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comments9.xml" ContentType="application/vnd.openxmlformats-officedocument.spreadsheetml.comments+xml"/>
  <Override PartName="/xl/threadedComments/threadedComment9.xml" ContentType="application/vnd.ms-excel.threadedcomments+xml"/>
  <Override PartName="/xl/comments10.xml" ContentType="application/vnd.openxmlformats-officedocument.spreadsheetml.comments+xml"/>
  <Override PartName="/xl/threadedComments/threadedComment10.xml" ContentType="application/vnd.ms-excel.threadedcomments+xml"/>
  <Override PartName="/xl/comments11.xml" ContentType="application/vnd.openxmlformats-officedocument.spreadsheetml.comments+xml"/>
  <Override PartName="/xl/threadedComments/threadedComment11.xml" ContentType="application/vnd.ms-excel.threadedcomments+xml"/>
  <Override PartName="/xl/comments12.xml" ContentType="application/vnd.openxmlformats-officedocument.spreadsheetml.comments+xml"/>
  <Override PartName="/xl/threadedComments/threadedComment12.xml" ContentType="application/vnd.ms-excel.threadedcomments+xml"/>
  <Override PartName="/xl/comments13.xml" ContentType="application/vnd.openxmlformats-officedocument.spreadsheetml.comments+xml"/>
  <Override PartName="/xl/threadedComments/threadedComment13.xml" ContentType="application/vnd.ms-excel.threadedcomments+xml"/>
  <Override PartName="/xl/comments14.xml" ContentType="application/vnd.openxmlformats-officedocument.spreadsheetml.comments+xml"/>
  <Override PartName="/xl/threadedComments/threadedComment14.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A:\CleanerAirOR\Facility Files\Existing facilities\245398_Covanta\Correspondence\Emissions Inventory\EI_Approval_2023-11-XX\"/>
    </mc:Choice>
  </mc:AlternateContent>
  <xr:revisionPtr revIDLastSave="0" documentId="13_ncr:1_{0A60F20B-4AA6-488F-A3DE-C5CD8D4BFBD1}" xr6:coauthVersionLast="47" xr6:coauthVersionMax="47" xr10:uidLastSave="{00000000-0000-0000-0000-000000000000}"/>
  <bookViews>
    <workbookView xWindow="-110" yWindow="-110" windowWidth="19420" windowHeight="10420" tabRatio="931" activeTab="12" xr2:uid="{19E59656-5860-485C-9DDB-12D710BFD9AD}"/>
  </bookViews>
  <sheets>
    <sheet name="Emissions Summary" sheetId="6" r:id="rId1"/>
    <sheet name="Emission Calculations--&gt;" sheetId="21" r:id="rId2"/>
    <sheet name="Weight Percent SDS" sheetId="26" state="hidden" r:id="rId3"/>
    <sheet name="Emission Factors" sheetId="30" r:id="rId4"/>
    <sheet name="Avg Wt Percent SDS" sheetId="29" r:id="rId5"/>
    <sheet name="Max Wt Percent SDS" sheetId="34" state="hidden" r:id="rId6"/>
    <sheet name="Boiler Emissions" sheetId="3" r:id="rId7"/>
    <sheet name="Boiler Building Emissions" sheetId="5" r:id="rId8"/>
    <sheet name="In-Shop Emissions" sheetId="4" r:id="rId9"/>
    <sheet name="Outside Emissions" sheetId="7" r:id="rId10"/>
    <sheet name="Usage" sheetId="2" r:id="rId11"/>
    <sheet name="Level 1 Risk Assessment--&gt;" sheetId="22" r:id="rId12"/>
    <sheet name="Risk Summary" sheetId="20" r:id="rId13"/>
    <sheet name="Worst-Case Product" sheetId="33" r:id="rId14"/>
    <sheet name="Worst-Case Product Acute Risk" sheetId="32" r:id="rId15"/>
    <sheet name="Residential REER" sheetId="15" r:id="rId16"/>
    <sheet name="Child REER" sheetId="18" r:id="rId17"/>
    <sheet name="Worker REER" sheetId="17" r:id="rId18"/>
    <sheet name="Acute REER" sheetId="19" r:id="rId19"/>
    <sheet name="Disp Factors" sheetId="16" r:id="rId20"/>
    <sheet name="Reference --&gt;" sheetId="14" r:id="rId21"/>
    <sheet name="SDAPCD Default EF" sheetId="1" r:id="rId22"/>
    <sheet name="Weight Percent SDAPCD" sheetId="27" r:id="rId23"/>
    <sheet name="Stack Disp Factors" sheetId="11" r:id="rId24"/>
    <sheet name="Fugitive Disp Factors" sheetId="12" r:id="rId25"/>
    <sheet name="DEQ RBC REF" sheetId="13" r:id="rId2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30" l="1"/>
  <c r="R16" i="30" l="1"/>
  <c r="M4" i="16" l="1"/>
  <c r="N4" i="16"/>
  <c r="D10" i="32"/>
  <c r="P6" i="16"/>
  <c r="P5" i="16"/>
  <c r="P4" i="16"/>
  <c r="N7" i="16"/>
  <c r="M7" i="16" l="1"/>
  <c r="O7" i="16" s="1"/>
  <c r="N6" i="16"/>
  <c r="M6" i="16"/>
  <c r="O6" i="16" s="1"/>
  <c r="N5" i="16"/>
  <c r="M5" i="16"/>
  <c r="O5" i="16" s="1"/>
  <c r="O4" i="16"/>
  <c r="M28" i="29" l="1"/>
  <c r="L28" i="29"/>
  <c r="I28" i="29"/>
  <c r="T15" i="15" l="1"/>
  <c r="T5" i="15"/>
  <c r="T15" i="18"/>
  <c r="T5" i="18"/>
  <c r="T14" i="17"/>
  <c r="T5" i="17"/>
  <c r="T27" i="32"/>
  <c r="T18" i="32"/>
  <c r="T8" i="32"/>
  <c r="S24" i="33"/>
  <c r="S19" i="33"/>
  <c r="S20" i="33"/>
  <c r="S13" i="33"/>
  <c r="T5" i="19" l="1"/>
  <c r="S6" i="3"/>
  <c r="M9" i="29" l="1"/>
  <c r="I7" i="33" l="1"/>
  <c r="S12" i="30"/>
  <c r="S12" i="33" s="1"/>
  <c r="L12" i="30"/>
  <c r="K12" i="30"/>
  <c r="J12" i="30"/>
  <c r="H12" i="30"/>
  <c r="I12" i="30" s="1"/>
  <c r="G12" i="30"/>
  <c r="O21" i="30"/>
  <c r="R18" i="30"/>
  <c r="M10" i="30"/>
  <c r="J10" i="30"/>
  <c r="M8" i="30"/>
  <c r="P33" i="29" l="1"/>
  <c r="K33" i="29"/>
  <c r="S32" i="29"/>
  <c r="S22" i="29"/>
  <c r="R21" i="30" s="1"/>
  <c r="P32" i="29"/>
  <c r="K32" i="29"/>
  <c r="H32" i="29"/>
  <c r="D32" i="29"/>
  <c r="R32" i="29"/>
  <c r="Q32" i="29"/>
  <c r="L32" i="29"/>
  <c r="T32" i="29"/>
  <c r="I32" i="29"/>
  <c r="M32" i="29"/>
  <c r="L27" i="29"/>
  <c r="P27" i="29"/>
  <c r="S27" i="29"/>
  <c r="P26" i="29"/>
  <c r="L26" i="29"/>
  <c r="S26" i="29"/>
  <c r="T25" i="29"/>
  <c r="P25" i="29"/>
  <c r="L25" i="29"/>
  <c r="S25" i="29"/>
  <c r="R22" i="30" s="1"/>
  <c r="S24" i="29"/>
  <c r="R13" i="30" s="1"/>
  <c r="D24" i="29"/>
  <c r="M24" i="29"/>
  <c r="L13" i="30" s="1"/>
  <c r="D22" i="29"/>
  <c r="C21" i="30" s="1"/>
  <c r="T22" i="29"/>
  <c r="L22" i="29"/>
  <c r="K21" i="30" s="1"/>
  <c r="I22" i="29"/>
  <c r="H21" i="30" s="1"/>
  <c r="I21" i="30" s="1"/>
  <c r="M22" i="29"/>
  <c r="L21" i="30" s="1"/>
  <c r="M21" i="29"/>
  <c r="E21" i="29"/>
  <c r="Q21" i="29"/>
  <c r="P21" i="29"/>
  <c r="P14" i="29"/>
  <c r="L21" i="29"/>
  <c r="T21" i="29"/>
  <c r="P20" i="29"/>
  <c r="L20" i="29"/>
  <c r="I16" i="29"/>
  <c r="H9" i="30" s="1"/>
  <c r="T16" i="29"/>
  <c r="P16" i="29"/>
  <c r="L16" i="29"/>
  <c r="T15" i="29"/>
  <c r="Q15" i="29"/>
  <c r="P15" i="29"/>
  <c r="N15" i="29"/>
  <c r="M15" i="29"/>
  <c r="L15" i="29"/>
  <c r="K15" i="29"/>
  <c r="I15" i="29"/>
  <c r="T14" i="29"/>
  <c r="I14" i="29"/>
  <c r="H8" i="30" s="1"/>
  <c r="P9" i="29"/>
  <c r="O11" i="30" s="1"/>
  <c r="L14" i="29"/>
  <c r="L18" i="29"/>
  <c r="L19" i="29"/>
  <c r="P19" i="29"/>
  <c r="P18" i="29"/>
  <c r="P17" i="29"/>
  <c r="L17" i="29"/>
  <c r="L13" i="29"/>
  <c r="P13" i="29"/>
  <c r="P12" i="29"/>
  <c r="O10" i="30" s="1"/>
  <c r="L12" i="29"/>
  <c r="K10" i="30" s="1"/>
  <c r="M12" i="29"/>
  <c r="L10" i="30" s="1"/>
  <c r="I12" i="29"/>
  <c r="E29" i="29"/>
  <c r="D17" i="30" s="1"/>
  <c r="K29" i="29"/>
  <c r="J17" i="30" s="1"/>
  <c r="T29" i="29"/>
  <c r="S29" i="29"/>
  <c r="R17" i="30" s="1"/>
  <c r="P29" i="29"/>
  <c r="L29" i="29"/>
  <c r="K17" i="30" s="1"/>
  <c r="M29" i="29"/>
  <c r="L17" i="30" s="1"/>
  <c r="I29" i="29"/>
  <c r="S18" i="30"/>
  <c r="S18" i="33" s="1"/>
  <c r="M11" i="30"/>
  <c r="J11" i="30"/>
  <c r="D11" i="30"/>
  <c r="T9" i="29"/>
  <c r="S11" i="30" s="1"/>
  <c r="S11" i="33" s="1"/>
  <c r="L9" i="29"/>
  <c r="I9" i="29"/>
  <c r="P6" i="29"/>
  <c r="T6" i="29"/>
  <c r="T28" i="29"/>
  <c r="E28" i="29"/>
  <c r="D18" i="30" s="1"/>
  <c r="P28" i="29"/>
  <c r="O18" i="30" s="1"/>
  <c r="P8" i="29"/>
  <c r="S34" i="32" l="1"/>
  <c r="L8" i="29"/>
  <c r="Q6" i="29"/>
  <c r="N6" i="29"/>
  <c r="M6" i="29"/>
  <c r="L6" i="29"/>
  <c r="K6" i="29"/>
  <c r="J7" i="30" s="1"/>
  <c r="I6" i="29"/>
  <c r="E30" i="34"/>
  <c r="E29" i="34"/>
  <c r="S25" i="34"/>
  <c r="S23" i="34"/>
  <c r="E22" i="34"/>
  <c r="E11" i="34"/>
  <c r="E10" i="34"/>
  <c r="I21" i="29" l="1"/>
  <c r="H15" i="30" s="1"/>
  <c r="I15" i="30" s="1"/>
  <c r="T35" i="32" l="1"/>
  <c r="S35" i="32"/>
  <c r="Q35" i="32"/>
  <c r="M35" i="32"/>
  <c r="L35" i="32"/>
  <c r="K35" i="32"/>
  <c r="J35" i="32"/>
  <c r="S27" i="32"/>
  <c r="Q27" i="32"/>
  <c r="M27" i="32"/>
  <c r="L27" i="32"/>
  <c r="K27" i="32"/>
  <c r="J27" i="32"/>
  <c r="S18" i="32"/>
  <c r="Q18" i="32"/>
  <c r="M18" i="32"/>
  <c r="L18" i="32"/>
  <c r="K18" i="32"/>
  <c r="J18" i="32"/>
  <c r="J8" i="32"/>
  <c r="K8" i="32"/>
  <c r="L8" i="32"/>
  <c r="M8" i="32"/>
  <c r="Q8" i="32"/>
  <c r="S8" i="32"/>
  <c r="H16" i="30"/>
  <c r="I16" i="30" l="1"/>
  <c r="I34" i="32"/>
  <c r="R24" i="33"/>
  <c r="I16" i="33"/>
  <c r="I17" i="33"/>
  <c r="P17" i="33"/>
  <c r="I18" i="33"/>
  <c r="K18" i="33"/>
  <c r="L18" i="33"/>
  <c r="P18" i="33"/>
  <c r="I19" i="33"/>
  <c r="J19" i="33"/>
  <c r="K19" i="33"/>
  <c r="L19" i="33"/>
  <c r="P19" i="33"/>
  <c r="R19" i="33"/>
  <c r="I20" i="33"/>
  <c r="J20" i="33"/>
  <c r="K20" i="33"/>
  <c r="L20" i="33"/>
  <c r="P20" i="33"/>
  <c r="R20" i="33"/>
  <c r="J21" i="33"/>
  <c r="P21" i="33"/>
  <c r="I22" i="33"/>
  <c r="J22" i="33"/>
  <c r="K22" i="33"/>
  <c r="L22" i="33"/>
  <c r="P22" i="33"/>
  <c r="R15" i="33"/>
  <c r="J15" i="33"/>
  <c r="P8" i="33"/>
  <c r="R8" i="33"/>
  <c r="P9" i="33"/>
  <c r="R9" i="33"/>
  <c r="I10" i="33"/>
  <c r="P10" i="33"/>
  <c r="R10" i="33"/>
  <c r="I11" i="33"/>
  <c r="K11" i="33"/>
  <c r="L11" i="33"/>
  <c r="P11" i="33"/>
  <c r="R12" i="33"/>
  <c r="I13" i="33"/>
  <c r="J13" i="33"/>
  <c r="K13" i="33"/>
  <c r="P13" i="33"/>
  <c r="K7" i="33"/>
  <c r="L7" i="33"/>
  <c r="R7" i="33"/>
  <c r="J34" i="32" l="1"/>
  <c r="J36" i="32" s="1"/>
  <c r="R22" i="33" l="1"/>
  <c r="O22" i="30"/>
  <c r="R21" i="33"/>
  <c r="R18" i="33"/>
  <c r="R17" i="33"/>
  <c r="O17" i="30"/>
  <c r="O16" i="30"/>
  <c r="R13" i="33"/>
  <c r="R11" i="33"/>
  <c r="C12" i="30"/>
  <c r="P34" i="32" l="1"/>
  <c r="S36" i="32"/>
  <c r="R16" i="33"/>
  <c r="L21" i="33"/>
  <c r="K21" i="33"/>
  <c r="J18" i="33"/>
  <c r="K15" i="30"/>
  <c r="K15" i="33" s="1"/>
  <c r="L15" i="30"/>
  <c r="L15" i="33" s="1"/>
  <c r="L13" i="33"/>
  <c r="C13" i="30"/>
  <c r="J11" i="33"/>
  <c r="M9" i="30"/>
  <c r="L9" i="30"/>
  <c r="L9" i="33" s="1"/>
  <c r="K9" i="30"/>
  <c r="K9" i="33" s="1"/>
  <c r="J9" i="30"/>
  <c r="J9" i="33" s="1"/>
  <c r="L8" i="30"/>
  <c r="L8" i="33" s="1"/>
  <c r="K8" i="30"/>
  <c r="K8" i="33" s="1"/>
  <c r="J8" i="30"/>
  <c r="J8" i="33" s="1"/>
  <c r="S22" i="30"/>
  <c r="S22" i="33" s="1"/>
  <c r="S21" i="30"/>
  <c r="S21" i="33" s="1"/>
  <c r="S17" i="30"/>
  <c r="S17" i="33" s="1"/>
  <c r="S16" i="30"/>
  <c r="S15" i="30"/>
  <c r="S15" i="33" s="1"/>
  <c r="S10" i="30"/>
  <c r="S10" i="33" s="1"/>
  <c r="S9" i="30"/>
  <c r="S9" i="33" s="1"/>
  <c r="S8" i="30"/>
  <c r="S8" i="33" s="1"/>
  <c r="S7" i="30"/>
  <c r="S7" i="33" s="1"/>
  <c r="O12" i="30"/>
  <c r="O7" i="30"/>
  <c r="S16" i="33" l="1"/>
  <c r="T34" i="32"/>
  <c r="T36" i="32" s="1"/>
  <c r="I8" i="33"/>
  <c r="I21" i="33"/>
  <c r="I9" i="30"/>
  <c r="I9" i="33" s="1"/>
  <c r="J21" i="4"/>
  <c r="I15" i="33"/>
  <c r="O9" i="30"/>
  <c r="O8" i="30"/>
  <c r="O24" i="30" l="1"/>
  <c r="J24" i="30"/>
  <c r="J24" i="33" s="1"/>
  <c r="M14" i="5"/>
  <c r="J16" i="30"/>
  <c r="I31" i="7"/>
  <c r="G16" i="30"/>
  <c r="C16" i="30"/>
  <c r="D34" i="32" s="1"/>
  <c r="M29" i="2"/>
  <c r="T30" i="7" s="1"/>
  <c r="M30" i="2"/>
  <c r="T31" i="7" s="1"/>
  <c r="K6" i="2"/>
  <c r="T7" i="5" s="1"/>
  <c r="K7" i="2"/>
  <c r="T8" i="5" s="1"/>
  <c r="K8" i="2"/>
  <c r="K9" i="2"/>
  <c r="T10" i="5" s="1"/>
  <c r="K10" i="2"/>
  <c r="T11" i="5" s="1"/>
  <c r="K11" i="2"/>
  <c r="K12" i="2"/>
  <c r="T13" i="5" s="1"/>
  <c r="K13" i="2"/>
  <c r="T14" i="5" s="1"/>
  <c r="K14" i="2"/>
  <c r="T15" i="5" s="1"/>
  <c r="K15" i="2"/>
  <c r="T16" i="5" s="1"/>
  <c r="K16" i="2"/>
  <c r="K17" i="2"/>
  <c r="T18" i="5" s="1"/>
  <c r="K18" i="2"/>
  <c r="T19" i="5" s="1"/>
  <c r="K19" i="2"/>
  <c r="K20" i="2"/>
  <c r="T21" i="5" s="1"/>
  <c r="K21" i="2"/>
  <c r="T22" i="5" s="1"/>
  <c r="K22" i="2"/>
  <c r="T23" i="5" s="1"/>
  <c r="K23" i="2"/>
  <c r="T24" i="5" s="1"/>
  <c r="K24" i="2"/>
  <c r="K25" i="2"/>
  <c r="T26" i="5" s="1"/>
  <c r="K26" i="2"/>
  <c r="T27" i="5" s="1"/>
  <c r="K27" i="2"/>
  <c r="K28" i="2"/>
  <c r="T29" i="5" s="1"/>
  <c r="K29" i="2"/>
  <c r="T30" i="5" s="1"/>
  <c r="K30" i="2"/>
  <c r="I31" i="5" s="1"/>
  <c r="E30" i="7"/>
  <c r="N30" i="7"/>
  <c r="P30" i="7"/>
  <c r="S30" i="7"/>
  <c r="P7" i="5"/>
  <c r="D8" i="5"/>
  <c r="E8" i="5"/>
  <c r="F8" i="5"/>
  <c r="G8" i="5"/>
  <c r="H8" i="5"/>
  <c r="I8" i="5"/>
  <c r="J8" i="5"/>
  <c r="L8" i="5"/>
  <c r="M8" i="5"/>
  <c r="O8" i="5"/>
  <c r="P8" i="5"/>
  <c r="R8" i="5"/>
  <c r="S8" i="5"/>
  <c r="H9" i="5"/>
  <c r="K9" i="5"/>
  <c r="Q9" i="5"/>
  <c r="F10" i="5"/>
  <c r="G10" i="5"/>
  <c r="H10" i="5"/>
  <c r="K10" i="5"/>
  <c r="N10" i="5"/>
  <c r="O10" i="5"/>
  <c r="Q10" i="5"/>
  <c r="D12" i="5"/>
  <c r="D13" i="5"/>
  <c r="E13" i="5"/>
  <c r="F13" i="5"/>
  <c r="G13" i="5"/>
  <c r="H13" i="5"/>
  <c r="I13" i="5"/>
  <c r="J13" i="5"/>
  <c r="K13" i="5"/>
  <c r="L13" i="5"/>
  <c r="M13" i="5"/>
  <c r="N13" i="5"/>
  <c r="O13" i="5"/>
  <c r="Q13" i="5"/>
  <c r="R13" i="5"/>
  <c r="S13" i="5"/>
  <c r="D14" i="5"/>
  <c r="E14" i="5"/>
  <c r="F14" i="5"/>
  <c r="G14" i="5"/>
  <c r="H14" i="5"/>
  <c r="I14" i="5"/>
  <c r="J14" i="5"/>
  <c r="K14" i="5"/>
  <c r="L14" i="5"/>
  <c r="O14" i="5"/>
  <c r="P14" i="5"/>
  <c r="Q14" i="5"/>
  <c r="R14" i="5"/>
  <c r="S14" i="5"/>
  <c r="D15" i="5"/>
  <c r="G15" i="5"/>
  <c r="H15" i="5"/>
  <c r="I15" i="5"/>
  <c r="M15" i="5"/>
  <c r="R15" i="5"/>
  <c r="S15" i="5"/>
  <c r="D16" i="5"/>
  <c r="E16" i="5"/>
  <c r="F16" i="5"/>
  <c r="G16" i="5"/>
  <c r="H16" i="5"/>
  <c r="I16" i="5"/>
  <c r="J16" i="5"/>
  <c r="K16" i="5"/>
  <c r="L16" i="5"/>
  <c r="M16" i="5"/>
  <c r="N16" i="5"/>
  <c r="O16" i="5"/>
  <c r="P16" i="5"/>
  <c r="Q16" i="5"/>
  <c r="R16" i="5"/>
  <c r="S16" i="5"/>
  <c r="G17" i="5"/>
  <c r="J17" i="5"/>
  <c r="O17" i="5"/>
  <c r="S17" i="5"/>
  <c r="F20" i="5"/>
  <c r="I20" i="5"/>
  <c r="N20" i="5"/>
  <c r="D21" i="5"/>
  <c r="F21" i="5"/>
  <c r="G21" i="5"/>
  <c r="H21" i="5"/>
  <c r="K21" i="5"/>
  <c r="N21" i="5"/>
  <c r="O21" i="5"/>
  <c r="R21" i="5"/>
  <c r="S21" i="5"/>
  <c r="D22" i="5"/>
  <c r="E22" i="5"/>
  <c r="F22" i="5"/>
  <c r="G22" i="5"/>
  <c r="H22" i="5"/>
  <c r="I22" i="5"/>
  <c r="J22" i="5"/>
  <c r="K22" i="5"/>
  <c r="L22" i="5"/>
  <c r="M22" i="5"/>
  <c r="N22" i="5"/>
  <c r="O22" i="5"/>
  <c r="Q22" i="5"/>
  <c r="R22" i="5"/>
  <c r="S22" i="5"/>
  <c r="N23" i="5"/>
  <c r="E24" i="5"/>
  <c r="F24" i="5"/>
  <c r="G24" i="5"/>
  <c r="H24" i="5"/>
  <c r="I24" i="5"/>
  <c r="J24" i="5"/>
  <c r="K24" i="5"/>
  <c r="L24" i="5"/>
  <c r="N24" i="5"/>
  <c r="O24" i="5"/>
  <c r="P24" i="5"/>
  <c r="Q24" i="5"/>
  <c r="R24" i="5"/>
  <c r="S24" i="5"/>
  <c r="E25" i="5"/>
  <c r="H25" i="5"/>
  <c r="M25" i="5"/>
  <c r="Q25" i="5"/>
  <c r="D26" i="5"/>
  <c r="G26" i="5"/>
  <c r="J26" i="5"/>
  <c r="K26" i="5"/>
  <c r="L26" i="5"/>
  <c r="O26" i="5"/>
  <c r="I28" i="5"/>
  <c r="L28" i="5"/>
  <c r="D29" i="5"/>
  <c r="F29" i="5"/>
  <c r="G29" i="5"/>
  <c r="H29" i="5"/>
  <c r="I29" i="5"/>
  <c r="J29" i="5"/>
  <c r="N29" i="5"/>
  <c r="O29" i="5"/>
  <c r="Q29" i="5"/>
  <c r="R29" i="5"/>
  <c r="K31" i="3"/>
  <c r="E31" i="2"/>
  <c r="I31" i="2" s="1"/>
  <c r="T32" i="4" s="1"/>
  <c r="I30" i="2"/>
  <c r="T31" i="4" s="1"/>
  <c r="G30" i="2"/>
  <c r="D5" i="19"/>
  <c r="E5" i="19"/>
  <c r="F5" i="19"/>
  <c r="G5" i="19"/>
  <c r="H5" i="19"/>
  <c r="I5" i="19"/>
  <c r="N5" i="19"/>
  <c r="O5" i="19"/>
  <c r="P5" i="19"/>
  <c r="R5" i="19"/>
  <c r="R15" i="18"/>
  <c r="S5" i="18"/>
  <c r="S5" i="17"/>
  <c r="S5" i="15"/>
  <c r="O15" i="30"/>
  <c r="D15" i="30"/>
  <c r="D15" i="33" s="1"/>
  <c r="H34" i="32" l="1"/>
  <c r="K31" i="7"/>
  <c r="K34" i="32"/>
  <c r="D35" i="32"/>
  <c r="D36" i="32" s="1"/>
  <c r="D8" i="32"/>
  <c r="D27" i="32"/>
  <c r="D18" i="32"/>
  <c r="C18" i="33"/>
  <c r="C21" i="33"/>
  <c r="C15" i="33"/>
  <c r="C20" i="33"/>
  <c r="C22" i="33"/>
  <c r="C8" i="33"/>
  <c r="C19" i="33"/>
  <c r="C9" i="33"/>
  <c r="C7" i="33"/>
  <c r="C10" i="33"/>
  <c r="C17" i="33"/>
  <c r="C11" i="33"/>
  <c r="C12" i="33"/>
  <c r="C13" i="33"/>
  <c r="N8" i="32"/>
  <c r="N18" i="32"/>
  <c r="N35" i="32"/>
  <c r="N27" i="32"/>
  <c r="M12" i="33"/>
  <c r="M15" i="33"/>
  <c r="M17" i="33"/>
  <c r="M20" i="33"/>
  <c r="M22" i="33"/>
  <c r="M13" i="33"/>
  <c r="M19" i="33"/>
  <c r="M21" i="33"/>
  <c r="M11" i="33"/>
  <c r="M9" i="33"/>
  <c r="O15" i="33"/>
  <c r="I27" i="32"/>
  <c r="I8" i="32"/>
  <c r="I18" i="32"/>
  <c r="I35" i="32"/>
  <c r="I36" i="32" s="1"/>
  <c r="H19" i="33"/>
  <c r="H17" i="33"/>
  <c r="H11" i="33"/>
  <c r="H15" i="33"/>
  <c r="H7" i="33"/>
  <c r="H16" i="33"/>
  <c r="H18" i="33"/>
  <c r="H20" i="33"/>
  <c r="H22" i="33"/>
  <c r="H10" i="33"/>
  <c r="H13" i="33"/>
  <c r="H9" i="33"/>
  <c r="H8" i="33"/>
  <c r="H21" i="33"/>
  <c r="P35" i="32"/>
  <c r="P36" i="32" s="1"/>
  <c r="P27" i="32"/>
  <c r="P18" i="32"/>
  <c r="P8" i="32"/>
  <c r="O13" i="33"/>
  <c r="O11" i="33"/>
  <c r="O17" i="33"/>
  <c r="O18" i="33"/>
  <c r="O22" i="33"/>
  <c r="O16" i="33"/>
  <c r="O10" i="33"/>
  <c r="O12" i="33"/>
  <c r="O7" i="33"/>
  <c r="H35" i="32"/>
  <c r="H27" i="32"/>
  <c r="H18" i="32"/>
  <c r="H8" i="32"/>
  <c r="G17" i="33"/>
  <c r="G11" i="33"/>
  <c r="G18" i="33"/>
  <c r="G21" i="33"/>
  <c r="G7" i="33"/>
  <c r="G20" i="33"/>
  <c r="G22" i="33"/>
  <c r="G15" i="33"/>
  <c r="G8" i="33"/>
  <c r="G19" i="33"/>
  <c r="G9" i="33"/>
  <c r="G10" i="33"/>
  <c r="G13" i="33"/>
  <c r="O24" i="33"/>
  <c r="O35" i="32"/>
  <c r="O8" i="32"/>
  <c r="O18" i="32"/>
  <c r="O27" i="32"/>
  <c r="N18" i="33"/>
  <c r="N15" i="33"/>
  <c r="N10" i="33"/>
  <c r="N22" i="33"/>
  <c r="N7" i="33"/>
  <c r="N17" i="33"/>
  <c r="N20" i="33"/>
  <c r="N13" i="33"/>
  <c r="N19" i="33"/>
  <c r="N11" i="33"/>
  <c r="N21" i="33"/>
  <c r="N8" i="33"/>
  <c r="N9" i="33"/>
  <c r="G35" i="32"/>
  <c r="G8" i="32"/>
  <c r="G27" i="32"/>
  <c r="G18" i="32"/>
  <c r="F17" i="33"/>
  <c r="F18" i="33"/>
  <c r="F20" i="33"/>
  <c r="F22" i="33"/>
  <c r="F21" i="33"/>
  <c r="F7" i="33"/>
  <c r="F8" i="33"/>
  <c r="F19" i="33"/>
  <c r="F9" i="33"/>
  <c r="F10" i="33"/>
  <c r="F13" i="33"/>
  <c r="F15" i="33"/>
  <c r="F11" i="33"/>
  <c r="M8" i="33"/>
  <c r="F8" i="32"/>
  <c r="F27" i="32"/>
  <c r="F18" i="32"/>
  <c r="F35" i="32"/>
  <c r="E18" i="33"/>
  <c r="E21" i="33"/>
  <c r="E7" i="33"/>
  <c r="E9" i="33"/>
  <c r="E13" i="33"/>
  <c r="E20" i="33"/>
  <c r="E22" i="33"/>
  <c r="E8" i="33"/>
  <c r="E19" i="33"/>
  <c r="E10" i="33"/>
  <c r="E17" i="33"/>
  <c r="E11" i="33"/>
  <c r="E15" i="33"/>
  <c r="O9" i="33"/>
  <c r="R18" i="32"/>
  <c r="R8" i="32"/>
  <c r="R35" i="32"/>
  <c r="R27" i="32"/>
  <c r="Q19" i="33"/>
  <c r="Q21" i="33"/>
  <c r="Q15" i="33"/>
  <c r="Q8" i="33"/>
  <c r="Q7" i="33"/>
  <c r="Q18" i="33"/>
  <c r="Q9" i="33"/>
  <c r="Q10" i="33"/>
  <c r="Q13" i="33"/>
  <c r="Q17" i="33"/>
  <c r="Q20" i="33"/>
  <c r="Q22" i="33"/>
  <c r="Q11" i="33"/>
  <c r="E8" i="32"/>
  <c r="E35" i="32"/>
  <c r="E27" i="32"/>
  <c r="E18" i="32"/>
  <c r="D12" i="33"/>
  <c r="D7" i="33"/>
  <c r="D20" i="33"/>
  <c r="D22" i="33"/>
  <c r="D8" i="33"/>
  <c r="D19" i="33"/>
  <c r="D9" i="33"/>
  <c r="D13" i="33"/>
  <c r="D21" i="33"/>
  <c r="D18" i="33"/>
  <c r="O8" i="33"/>
  <c r="K36" i="32"/>
  <c r="J16" i="33"/>
  <c r="D31" i="7"/>
  <c r="D19" i="32"/>
  <c r="C16" i="33"/>
  <c r="H31" i="7"/>
  <c r="G16" i="33"/>
  <c r="K28" i="5"/>
  <c r="T28" i="5"/>
  <c r="H20" i="5"/>
  <c r="T20" i="5"/>
  <c r="G12" i="5"/>
  <c r="T12" i="5"/>
  <c r="K27" i="5"/>
  <c r="K31" i="5"/>
  <c r="R26" i="5"/>
  <c r="I26" i="5"/>
  <c r="S23" i="5"/>
  <c r="O19" i="5"/>
  <c r="P15" i="5"/>
  <c r="F15" i="5"/>
  <c r="Q12" i="5"/>
  <c r="M10" i="5"/>
  <c r="D10" i="5"/>
  <c r="F25" i="5"/>
  <c r="T25" i="5"/>
  <c r="H17" i="5"/>
  <c r="T17" i="5"/>
  <c r="I9" i="5"/>
  <c r="T9" i="5"/>
  <c r="Q26" i="5"/>
  <c r="H26" i="5"/>
  <c r="P23" i="5"/>
  <c r="G19" i="5"/>
  <c r="O15" i="5"/>
  <c r="E15" i="5"/>
  <c r="H12" i="5"/>
  <c r="L10" i="5"/>
  <c r="S7" i="5"/>
  <c r="N26" i="5"/>
  <c r="F26" i="5"/>
  <c r="E23" i="5"/>
  <c r="L15" i="5"/>
  <c r="H11" i="5"/>
  <c r="J10" i="5"/>
  <c r="N7" i="5"/>
  <c r="T31" i="5"/>
  <c r="K61" i="2"/>
  <c r="S31" i="5"/>
  <c r="R28" i="5"/>
  <c r="M26" i="5"/>
  <c r="E26" i="5"/>
  <c r="R20" i="5"/>
  <c r="J15" i="5"/>
  <c r="R10" i="5"/>
  <c r="I10" i="5"/>
  <c r="E7" i="5"/>
  <c r="O25" i="5"/>
  <c r="G25" i="5"/>
  <c r="Q20" i="5"/>
  <c r="R17" i="5"/>
  <c r="I17" i="5"/>
  <c r="S12" i="5"/>
  <c r="J9" i="5"/>
  <c r="K58" i="2"/>
  <c r="K50" i="2"/>
  <c r="K42" i="2"/>
  <c r="G61" i="2"/>
  <c r="T31" i="3"/>
  <c r="S28" i="5"/>
  <c r="J28" i="5"/>
  <c r="N25" i="5"/>
  <c r="O20" i="5"/>
  <c r="G20" i="5"/>
  <c r="Q17" i="5"/>
  <c r="R12" i="5"/>
  <c r="F12" i="5"/>
  <c r="R9" i="5"/>
  <c r="K56" i="2"/>
  <c r="K40" i="2"/>
  <c r="K55" i="2"/>
  <c r="K47" i="2"/>
  <c r="K39" i="2"/>
  <c r="Q28" i="5"/>
  <c r="H28" i="5"/>
  <c r="L25" i="5"/>
  <c r="D25" i="5"/>
  <c r="M20" i="5"/>
  <c r="E20" i="5"/>
  <c r="N17" i="5"/>
  <c r="F17" i="5"/>
  <c r="P12" i="5"/>
  <c r="O9" i="5"/>
  <c r="G9" i="5"/>
  <c r="K54" i="2"/>
  <c r="K46" i="2"/>
  <c r="K38" i="2"/>
  <c r="K25" i="5"/>
  <c r="L20" i="5"/>
  <c r="D20" i="5"/>
  <c r="M17" i="5"/>
  <c r="E17" i="5"/>
  <c r="O12" i="5"/>
  <c r="N9" i="5"/>
  <c r="F9" i="5"/>
  <c r="K53" i="2"/>
  <c r="K45" i="2"/>
  <c r="K37" i="2"/>
  <c r="P28" i="5"/>
  <c r="O28" i="5"/>
  <c r="F28" i="5"/>
  <c r="J25" i="5"/>
  <c r="K20" i="5"/>
  <c r="L17" i="5"/>
  <c r="D17" i="5"/>
  <c r="J12" i="5"/>
  <c r="M9" i="5"/>
  <c r="D9" i="5"/>
  <c r="K60" i="2"/>
  <c r="K52" i="2"/>
  <c r="K44" i="2"/>
  <c r="M61" i="2"/>
  <c r="I61" i="2"/>
  <c r="G28" i="5"/>
  <c r="M28" i="5"/>
  <c r="D28" i="5"/>
  <c r="R25" i="5"/>
  <c r="I25" i="5"/>
  <c r="S20" i="5"/>
  <c r="J20" i="5"/>
  <c r="K17" i="5"/>
  <c r="I12" i="5"/>
  <c r="L9" i="5"/>
  <c r="K59" i="2"/>
  <c r="K51" i="2"/>
  <c r="K43" i="2"/>
  <c r="M60" i="2"/>
  <c r="D31" i="5"/>
  <c r="S32" i="4"/>
  <c r="I62" i="2"/>
  <c r="I31" i="3"/>
  <c r="K57" i="2"/>
  <c r="D27" i="5"/>
  <c r="L27" i="5"/>
  <c r="E27" i="5"/>
  <c r="M27" i="5"/>
  <c r="F27" i="5"/>
  <c r="N27" i="5"/>
  <c r="G27" i="5"/>
  <c r="O27" i="5"/>
  <c r="H27" i="5"/>
  <c r="Q27" i="5"/>
  <c r="I27" i="5"/>
  <c r="R27" i="5"/>
  <c r="J27" i="5"/>
  <c r="K49" i="2"/>
  <c r="H19" i="5"/>
  <c r="Q19" i="5"/>
  <c r="I19" i="5"/>
  <c r="R19" i="5"/>
  <c r="J19" i="5"/>
  <c r="S19" i="5"/>
  <c r="K19" i="5"/>
  <c r="D19" i="5"/>
  <c r="L19" i="5"/>
  <c r="E19" i="5"/>
  <c r="M19" i="5"/>
  <c r="F19" i="5"/>
  <c r="N19" i="5"/>
  <c r="K41" i="2"/>
  <c r="I11" i="5"/>
  <c r="J11" i="5"/>
  <c r="O11" i="5"/>
  <c r="P11" i="5"/>
  <c r="D11" i="5"/>
  <c r="Q11" i="5"/>
  <c r="F11" i="5"/>
  <c r="R11" i="5"/>
  <c r="G11" i="5"/>
  <c r="S11" i="5"/>
  <c r="M31" i="2"/>
  <c r="T32" i="7" s="1"/>
  <c r="K31" i="2"/>
  <c r="T32" i="5" s="1"/>
  <c r="G31" i="2"/>
  <c r="K32" i="3" s="1"/>
  <c r="E18" i="5"/>
  <c r="K48" i="2"/>
  <c r="D31" i="3"/>
  <c r="N14" i="5"/>
  <c r="E28" i="5"/>
  <c r="E21" i="5"/>
  <c r="S29" i="5"/>
  <c r="S27" i="5"/>
  <c r="S26" i="5"/>
  <c r="S25" i="5"/>
  <c r="S10" i="5"/>
  <c r="S9" i="5"/>
  <c r="S31" i="7"/>
  <c r="S31" i="4"/>
  <c r="H31" i="5"/>
  <c r="P21" i="5"/>
  <c r="E30" i="5"/>
  <c r="F18" i="5"/>
  <c r="Q18" i="5"/>
  <c r="P30" i="5"/>
  <c r="D18" i="5"/>
  <c r="O18" i="5"/>
  <c r="N30" i="5"/>
  <c r="N18" i="5"/>
  <c r="M18" i="5"/>
  <c r="L18" i="5"/>
  <c r="K18" i="5"/>
  <c r="J18" i="5"/>
  <c r="I18" i="5"/>
  <c r="H18" i="5"/>
  <c r="S30" i="5"/>
  <c r="S18" i="5"/>
  <c r="G18" i="5"/>
  <c r="R18" i="5"/>
  <c r="H31" i="3"/>
  <c r="S31" i="3"/>
  <c r="H36" i="32" l="1"/>
  <c r="T8" i="33"/>
  <c r="T9" i="33"/>
  <c r="T13" i="33"/>
  <c r="T22" i="33"/>
  <c r="T32" i="3"/>
  <c r="S32" i="3"/>
  <c r="M62" i="2"/>
  <c r="K32" i="7"/>
  <c r="P32" i="7"/>
  <c r="S32" i="7"/>
  <c r="G62" i="2"/>
  <c r="P32" i="3"/>
  <c r="K62" i="2"/>
  <c r="K32" i="5"/>
  <c r="P32" i="5"/>
  <c r="S32" i="5"/>
  <c r="I5" i="15" l="1"/>
  <c r="E15" i="15"/>
  <c r="D24" i="30"/>
  <c r="D24" i="33" s="1"/>
  <c r="E24" i="30"/>
  <c r="E24" i="33" s="1"/>
  <c r="F24" i="30"/>
  <c r="F24" i="33" s="1"/>
  <c r="G24" i="30"/>
  <c r="G24" i="33" s="1"/>
  <c r="H24" i="30"/>
  <c r="H24" i="33" s="1"/>
  <c r="I24" i="30"/>
  <c r="I24" i="33" s="1"/>
  <c r="K24" i="30"/>
  <c r="K24" i="33" s="1"/>
  <c r="L24" i="30"/>
  <c r="L24" i="33" s="1"/>
  <c r="M24" i="30"/>
  <c r="M24" i="33" s="1"/>
  <c r="N24" i="30"/>
  <c r="N24" i="33" s="1"/>
  <c r="P32" i="4"/>
  <c r="P24" i="30"/>
  <c r="P24" i="33" s="1"/>
  <c r="Q24" i="30"/>
  <c r="Q24" i="33" s="1"/>
  <c r="C24" i="30"/>
  <c r="C24" i="33" s="1"/>
  <c r="D16" i="30"/>
  <c r="E16" i="30"/>
  <c r="F16" i="30"/>
  <c r="H31" i="4"/>
  <c r="I31" i="4"/>
  <c r="K16" i="30"/>
  <c r="L16" i="30"/>
  <c r="M16" i="30"/>
  <c r="N16" i="30"/>
  <c r="P16" i="30"/>
  <c r="Q16" i="30"/>
  <c r="N34" i="32" l="1"/>
  <c r="N36" i="32" s="1"/>
  <c r="M34" i="32"/>
  <c r="G34" i="32"/>
  <c r="G36" i="32" s="1"/>
  <c r="Q34" i="32"/>
  <c r="Q36" i="32" s="1"/>
  <c r="F34" i="32"/>
  <c r="F36" i="32" s="1"/>
  <c r="L34" i="32"/>
  <c r="L36" i="32" s="1"/>
  <c r="R34" i="32"/>
  <c r="O34" i="32"/>
  <c r="O36" i="32" s="1"/>
  <c r="E34" i="32"/>
  <c r="E36" i="32" s="1"/>
  <c r="T24" i="33"/>
  <c r="N7" i="32"/>
  <c r="N9" i="32" s="1"/>
  <c r="M16" i="33"/>
  <c r="M36" i="32"/>
  <c r="L16" i="33"/>
  <c r="K16" i="33"/>
  <c r="R36" i="32"/>
  <c r="Q16" i="33"/>
  <c r="G7" i="32"/>
  <c r="G9" i="32" s="1"/>
  <c r="F16" i="33"/>
  <c r="F7" i="32"/>
  <c r="F9" i="32" s="1"/>
  <c r="E16" i="33"/>
  <c r="P16" i="33"/>
  <c r="O7" i="32"/>
  <c r="O9" i="32" s="1"/>
  <c r="N16" i="33"/>
  <c r="E7" i="32"/>
  <c r="E9" i="32" s="1"/>
  <c r="D16" i="33"/>
  <c r="E31" i="5"/>
  <c r="E31" i="7"/>
  <c r="E31" i="3"/>
  <c r="J32" i="7"/>
  <c r="J32" i="5"/>
  <c r="J32" i="3"/>
  <c r="L31" i="7"/>
  <c r="L31" i="5"/>
  <c r="L31" i="3"/>
  <c r="R32" i="4"/>
  <c r="R32" i="7"/>
  <c r="R32" i="5"/>
  <c r="R32" i="3"/>
  <c r="I32" i="7"/>
  <c r="I32" i="5"/>
  <c r="I32" i="3"/>
  <c r="N31" i="5"/>
  <c r="N31" i="3"/>
  <c r="N31" i="7"/>
  <c r="J31" i="7"/>
  <c r="J31" i="3"/>
  <c r="J31" i="5"/>
  <c r="Q32" i="4"/>
  <c r="Q32" i="3"/>
  <c r="Q32" i="7"/>
  <c r="Q32" i="5"/>
  <c r="H32" i="7"/>
  <c r="H32" i="5"/>
  <c r="H32" i="3"/>
  <c r="G32" i="7"/>
  <c r="G32" i="5"/>
  <c r="G32" i="3"/>
  <c r="M31" i="3"/>
  <c r="M31" i="5"/>
  <c r="M31" i="7"/>
  <c r="D32" i="4"/>
  <c r="D32" i="3"/>
  <c r="D32" i="7"/>
  <c r="D32" i="5"/>
  <c r="R31" i="7"/>
  <c r="R31" i="5"/>
  <c r="R31" i="3"/>
  <c r="O32" i="7"/>
  <c r="O32" i="5"/>
  <c r="O32" i="3"/>
  <c r="F32" i="4"/>
  <c r="F32" i="5"/>
  <c r="F32" i="7"/>
  <c r="F32" i="3"/>
  <c r="Q31" i="7"/>
  <c r="Q31" i="5"/>
  <c r="Q31" i="3"/>
  <c r="G31" i="4"/>
  <c r="G31" i="7"/>
  <c r="G31" i="5"/>
  <c r="G31" i="3"/>
  <c r="N32" i="5"/>
  <c r="N32" i="7"/>
  <c r="N32" i="3"/>
  <c r="E32" i="4"/>
  <c r="E32" i="5"/>
  <c r="E32" i="3"/>
  <c r="E32" i="7"/>
  <c r="P31" i="7"/>
  <c r="P31" i="5"/>
  <c r="P31" i="3"/>
  <c r="O31" i="7"/>
  <c r="O31" i="5"/>
  <c r="O31" i="3"/>
  <c r="F31" i="5"/>
  <c r="F31" i="7"/>
  <c r="F31" i="3"/>
  <c r="M32" i="5"/>
  <c r="M32" i="7"/>
  <c r="M32" i="3"/>
  <c r="L32" i="7"/>
  <c r="L32" i="5"/>
  <c r="L32" i="3"/>
  <c r="L32" i="4"/>
  <c r="O31" i="4"/>
  <c r="O32" i="4"/>
  <c r="R31" i="4"/>
  <c r="F31" i="4"/>
  <c r="N32" i="4"/>
  <c r="Q31" i="4"/>
  <c r="E31" i="4"/>
  <c r="M32" i="4"/>
  <c r="P31" i="4"/>
  <c r="D31" i="4"/>
  <c r="K32" i="4"/>
  <c r="N31" i="4"/>
  <c r="J32" i="4"/>
  <c r="M31" i="4"/>
  <c r="I32" i="4"/>
  <c r="L31" i="4"/>
  <c r="H32" i="4"/>
  <c r="K31" i="4"/>
  <c r="G32" i="4"/>
  <c r="J31" i="4"/>
  <c r="O21" i="33"/>
  <c r="T21" i="33" s="1"/>
  <c r="O20" i="30"/>
  <c r="O20" i="33" s="1"/>
  <c r="T20" i="33" s="1"/>
  <c r="O19" i="30"/>
  <c r="O19" i="33" s="1"/>
  <c r="T19" i="33" s="1"/>
  <c r="K17" i="33"/>
  <c r="P15" i="30"/>
  <c r="P15" i="33" s="1"/>
  <c r="T15" i="33" s="1"/>
  <c r="P12" i="30"/>
  <c r="M7" i="30"/>
  <c r="M7" i="33" s="1"/>
  <c r="M18" i="33"/>
  <c r="T18" i="33" s="1"/>
  <c r="D11" i="33"/>
  <c r="T11" i="33" s="1"/>
  <c r="D17" i="33"/>
  <c r="D10" i="33"/>
  <c r="U36" i="32" l="1"/>
  <c r="G12" i="33"/>
  <c r="P12" i="33"/>
  <c r="T16" i="33"/>
  <c r="E9" i="5"/>
  <c r="E10" i="5"/>
  <c r="P9" i="5"/>
  <c r="P10" i="5"/>
  <c r="H30" i="7"/>
  <c r="H7" i="5"/>
  <c r="H23" i="5"/>
  <c r="H30" i="5"/>
  <c r="P29" i="5"/>
  <c r="N28" i="5"/>
  <c r="P13" i="5"/>
  <c r="P17" i="5"/>
  <c r="P19" i="5"/>
  <c r="P18" i="5"/>
  <c r="N8" i="5"/>
  <c r="N15" i="5"/>
  <c r="P20" i="5"/>
  <c r="D30" i="7"/>
  <c r="D7" i="5"/>
  <c r="D23" i="5"/>
  <c r="D30" i="5"/>
  <c r="Q30" i="5"/>
  <c r="Q30" i="7"/>
  <c r="Q7" i="5"/>
  <c r="Q23" i="5"/>
  <c r="P22" i="5"/>
  <c r="D24" i="5"/>
  <c r="Q21" i="5"/>
  <c r="E11" i="5"/>
  <c r="E12" i="5"/>
  <c r="L29" i="5"/>
  <c r="E29" i="5"/>
  <c r="M24" i="5"/>
  <c r="L17" i="33"/>
  <c r="J17" i="33"/>
  <c r="P7" i="30"/>
  <c r="P7" i="33" s="1"/>
  <c r="K10" i="33"/>
  <c r="L10" i="33"/>
  <c r="M10" i="33"/>
  <c r="J10" i="33"/>
  <c r="J7" i="33"/>
  <c r="Q12" i="30"/>
  <c r="N12" i="30"/>
  <c r="F12" i="30"/>
  <c r="E12" i="30"/>
  <c r="T10" i="33" l="1"/>
  <c r="T17" i="33"/>
  <c r="J12" i="33"/>
  <c r="L12" i="33"/>
  <c r="K12" i="33"/>
  <c r="F12" i="33"/>
  <c r="T7" i="33"/>
  <c r="N12" i="33"/>
  <c r="E12" i="33"/>
  <c r="Q12" i="33"/>
  <c r="H12" i="33"/>
  <c r="I12" i="33"/>
  <c r="F7" i="5"/>
  <c r="F23" i="5"/>
  <c r="F30" i="7"/>
  <c r="F30" i="5"/>
  <c r="L7" i="5"/>
  <c r="L23" i="5"/>
  <c r="L30" i="7"/>
  <c r="L30" i="5"/>
  <c r="K29" i="5"/>
  <c r="K8" i="5"/>
  <c r="K15" i="5"/>
  <c r="J30" i="7"/>
  <c r="J7" i="5"/>
  <c r="J23" i="5"/>
  <c r="J30" i="5"/>
  <c r="L11" i="5"/>
  <c r="L12" i="5"/>
  <c r="M21" i="5"/>
  <c r="K30" i="7"/>
  <c r="K7" i="5"/>
  <c r="K23" i="5"/>
  <c r="K30" i="5"/>
  <c r="Q8" i="5"/>
  <c r="Q15" i="5"/>
  <c r="P25" i="5"/>
  <c r="P26" i="5"/>
  <c r="P27" i="5"/>
  <c r="O30" i="7"/>
  <c r="O7" i="5"/>
  <c r="O23" i="5"/>
  <c r="O30" i="5"/>
  <c r="K11" i="5"/>
  <c r="K12" i="5"/>
  <c r="I21" i="5"/>
  <c r="M30" i="7"/>
  <c r="M7" i="5"/>
  <c r="M23" i="5"/>
  <c r="M30" i="5"/>
  <c r="R30" i="7"/>
  <c r="R7" i="5"/>
  <c r="R23" i="5"/>
  <c r="R30" i="5"/>
  <c r="N11" i="5"/>
  <c r="N12" i="5"/>
  <c r="J21" i="5"/>
  <c r="G30" i="7"/>
  <c r="G7" i="5"/>
  <c r="G23" i="5"/>
  <c r="G30" i="5"/>
  <c r="M29" i="5"/>
  <c r="I30" i="7"/>
  <c r="I7" i="5"/>
  <c r="I23" i="5"/>
  <c r="I30" i="5"/>
  <c r="M11" i="5"/>
  <c r="M12" i="5"/>
  <c r="L21" i="5"/>
  <c r="V28" i="32"/>
  <c r="P7" i="16"/>
  <c r="V36" i="32" s="1"/>
  <c r="W36" i="32" s="1"/>
  <c r="J7" i="20" s="1"/>
  <c r="L5" i="16"/>
  <c r="L6" i="16"/>
  <c r="L7" i="16"/>
  <c r="L4" i="16"/>
  <c r="V9" i="32"/>
  <c r="V19" i="32"/>
  <c r="G6" i="2"/>
  <c r="T27" i="33" l="1"/>
  <c r="T12" i="33"/>
  <c r="T26" i="33" s="1"/>
  <c r="G7" i="3"/>
  <c r="T7" i="3"/>
  <c r="G37" i="2"/>
  <c r="E7" i="3"/>
  <c r="N7" i="3"/>
  <c r="P7" i="3"/>
  <c r="S7" i="3"/>
  <c r="D7" i="3"/>
  <c r="H7" i="3"/>
  <c r="Q7" i="3"/>
  <c r="M7" i="3"/>
  <c r="L7" i="3"/>
  <c r="R7" i="3"/>
  <c r="J7" i="3"/>
  <c r="I7" i="3"/>
  <c r="O7" i="3"/>
  <c r="K7" i="3"/>
  <c r="F7" i="3"/>
  <c r="F5" i="15"/>
  <c r="G5" i="15"/>
  <c r="H5" i="15"/>
  <c r="K5" i="15"/>
  <c r="L5" i="15"/>
  <c r="N5" i="15"/>
  <c r="O5" i="15"/>
  <c r="P5" i="15"/>
  <c r="Q5" i="15"/>
  <c r="R5" i="15"/>
  <c r="D5" i="15"/>
  <c r="E5" i="15"/>
  <c r="E15" i="18"/>
  <c r="F15" i="18"/>
  <c r="G15" i="18"/>
  <c r="I15" i="18"/>
  <c r="K15" i="18"/>
  <c r="N15" i="18"/>
  <c r="O15" i="18"/>
  <c r="E5" i="18"/>
  <c r="F5" i="18"/>
  <c r="G5" i="18"/>
  <c r="H5" i="18"/>
  <c r="I5" i="18"/>
  <c r="K5" i="18"/>
  <c r="L5" i="18"/>
  <c r="N5" i="18"/>
  <c r="O5" i="18"/>
  <c r="P5" i="18"/>
  <c r="Q5" i="18"/>
  <c r="R5" i="18"/>
  <c r="D5" i="18"/>
  <c r="D4" i="16" l="1"/>
  <c r="E14" i="17"/>
  <c r="F14" i="17"/>
  <c r="G14" i="17"/>
  <c r="I14" i="17"/>
  <c r="K14" i="17"/>
  <c r="N14" i="17"/>
  <c r="O14" i="17"/>
  <c r="R14" i="17"/>
  <c r="E5" i="17"/>
  <c r="F5" i="17"/>
  <c r="G5" i="17"/>
  <c r="H5" i="17"/>
  <c r="I5" i="17"/>
  <c r="K5" i="17"/>
  <c r="L5" i="17"/>
  <c r="N5" i="17"/>
  <c r="O5" i="17"/>
  <c r="P5" i="17"/>
  <c r="Q5" i="17"/>
  <c r="R5" i="17"/>
  <c r="D5" i="17"/>
  <c r="F15" i="15"/>
  <c r="G15" i="15"/>
  <c r="I15" i="15"/>
  <c r="K15" i="15"/>
  <c r="N15" i="15"/>
  <c r="O15" i="15"/>
  <c r="R15" i="15"/>
  <c r="F5" i="16"/>
  <c r="AB50" i="13" a="1"/>
  <c r="AB50" i="13" s="1"/>
  <c r="AA50" i="13" a="1"/>
  <c r="AA50" i="13" s="1"/>
  <c r="Z50" i="13" a="1"/>
  <c r="Z50" i="13" s="1"/>
  <c r="Y50" i="13" a="1"/>
  <c r="Y50" i="13" s="1"/>
  <c r="X50" i="13" a="1"/>
  <c r="X50" i="13" s="1"/>
  <c r="W50" i="13" a="1"/>
  <c r="W50" i="13" s="1"/>
  <c r="V50" i="13" a="1"/>
  <c r="V50" i="13" s="1"/>
  <c r="AB49" i="13" a="1"/>
  <c r="AB49" i="13" s="1"/>
  <c r="AA49" i="13" a="1"/>
  <c r="AA49" i="13" s="1"/>
  <c r="Z49" i="13" a="1"/>
  <c r="Z49" i="13" s="1"/>
  <c r="Y49" i="13" a="1"/>
  <c r="Y49" i="13" s="1"/>
  <c r="X49" i="13" a="1"/>
  <c r="X49" i="13" s="1"/>
  <c r="W49" i="13" a="1"/>
  <c r="W49" i="13" s="1"/>
  <c r="V49" i="13" a="1"/>
  <c r="V49" i="13" s="1"/>
  <c r="AB48" i="13" a="1"/>
  <c r="AB48" i="13" s="1"/>
  <c r="AA48" i="13" a="1"/>
  <c r="AA48" i="13" s="1"/>
  <c r="Z48" i="13" a="1"/>
  <c r="Z48" i="13" s="1"/>
  <c r="Y48" i="13" a="1"/>
  <c r="Y48" i="13" s="1"/>
  <c r="X48" i="13" a="1"/>
  <c r="X48" i="13" s="1"/>
  <c r="W48" i="13" a="1"/>
  <c r="W48" i="13" s="1"/>
  <c r="V48" i="13" a="1"/>
  <c r="V48" i="13" s="1"/>
  <c r="AB47" i="13" a="1"/>
  <c r="AB47" i="13" s="1"/>
  <c r="AA47" i="13" a="1"/>
  <c r="AA47" i="13" s="1"/>
  <c r="Z47" i="13" a="1"/>
  <c r="Z47" i="13" s="1"/>
  <c r="Y47" i="13" a="1"/>
  <c r="Y47" i="13" s="1"/>
  <c r="X47" i="13" a="1"/>
  <c r="X47" i="13" s="1"/>
  <c r="W47" i="13" a="1"/>
  <c r="W47" i="13" s="1"/>
  <c r="V47" i="13" a="1"/>
  <c r="V47" i="13" s="1"/>
  <c r="AB46" i="13" a="1"/>
  <c r="AB46" i="13" s="1"/>
  <c r="AA46" i="13" a="1"/>
  <c r="AA46" i="13" s="1"/>
  <c r="Z46" i="13" a="1"/>
  <c r="Z46" i="13" s="1"/>
  <c r="Y46" i="13" a="1"/>
  <c r="Y46" i="13" s="1"/>
  <c r="X46" i="13" a="1"/>
  <c r="X46" i="13" s="1"/>
  <c r="W46" i="13" a="1"/>
  <c r="W46" i="13" s="1"/>
  <c r="V46" i="13" a="1"/>
  <c r="V46" i="13" s="1"/>
  <c r="AB45" i="13" a="1"/>
  <c r="AB45" i="13" s="1"/>
  <c r="AA45" i="13" a="1"/>
  <c r="AA45" i="13" s="1"/>
  <c r="Z45" i="13" a="1"/>
  <c r="Z45" i="13" s="1"/>
  <c r="Y45" i="13" a="1"/>
  <c r="Y45" i="13" s="1"/>
  <c r="X45" i="13" a="1"/>
  <c r="X45" i="13" s="1"/>
  <c r="W45" i="13" a="1"/>
  <c r="W45" i="13" s="1"/>
  <c r="V45" i="13" a="1"/>
  <c r="V45" i="13" s="1"/>
  <c r="AB44" i="13" a="1"/>
  <c r="AB44" i="13" s="1"/>
  <c r="AA44" i="13" a="1"/>
  <c r="AA44" i="13" s="1"/>
  <c r="Z44" i="13" a="1"/>
  <c r="Z44" i="13" s="1"/>
  <c r="Y44" i="13" a="1"/>
  <c r="Y44" i="13" s="1"/>
  <c r="X44" i="13" a="1"/>
  <c r="X44" i="13" s="1"/>
  <c r="W44" i="13" a="1"/>
  <c r="W44" i="13" s="1"/>
  <c r="V44" i="13" a="1"/>
  <c r="V44" i="13" s="1"/>
  <c r="AB43" i="13" a="1"/>
  <c r="AB43" i="13" s="1"/>
  <c r="AA43" i="13" a="1"/>
  <c r="AA43" i="13" s="1"/>
  <c r="Z43" i="13" a="1"/>
  <c r="Z43" i="13" s="1"/>
  <c r="Y43" i="13" a="1"/>
  <c r="Y43" i="13" s="1"/>
  <c r="X43" i="13" a="1"/>
  <c r="X43" i="13" s="1"/>
  <c r="W43" i="13" a="1"/>
  <c r="W43" i="13" s="1"/>
  <c r="V43" i="13" a="1"/>
  <c r="V43" i="13" s="1"/>
  <c r="AB42" i="13" a="1"/>
  <c r="AB42" i="13" s="1"/>
  <c r="AA42" i="13" a="1"/>
  <c r="AA42" i="13" s="1"/>
  <c r="Z42" i="13" a="1"/>
  <c r="Z42" i="13" s="1"/>
  <c r="Y42" i="13" a="1"/>
  <c r="Y42" i="13" s="1"/>
  <c r="X42" i="13" a="1"/>
  <c r="X42" i="13" s="1"/>
  <c r="W42" i="13" a="1"/>
  <c r="W42" i="13" s="1"/>
  <c r="V42" i="13" a="1"/>
  <c r="V42" i="13" s="1"/>
  <c r="AB41" i="13" a="1"/>
  <c r="AB41" i="13" s="1"/>
  <c r="AA41" i="13" a="1"/>
  <c r="AA41" i="13" s="1"/>
  <c r="Z41" i="13" a="1"/>
  <c r="Z41" i="13" s="1"/>
  <c r="Y41" i="13" a="1"/>
  <c r="Y41" i="13" s="1"/>
  <c r="X41" i="13" a="1"/>
  <c r="X41" i="13" s="1"/>
  <c r="W41" i="13" a="1"/>
  <c r="W41" i="13" s="1"/>
  <c r="V41" i="13" a="1"/>
  <c r="V41" i="13" s="1"/>
  <c r="AB40" i="13" a="1"/>
  <c r="AB40" i="13" s="1"/>
  <c r="AA40" i="13" a="1"/>
  <c r="AA40" i="13" s="1"/>
  <c r="Z40" i="13" a="1"/>
  <c r="Z40" i="13" s="1"/>
  <c r="Y40" i="13" a="1"/>
  <c r="Y40" i="13" s="1"/>
  <c r="X40" i="13" a="1"/>
  <c r="X40" i="13" s="1"/>
  <c r="W40" i="13" a="1"/>
  <c r="W40" i="13" s="1"/>
  <c r="V40" i="13" a="1"/>
  <c r="V40" i="13" s="1"/>
  <c r="AB39" i="13" a="1"/>
  <c r="AB39" i="13" s="1"/>
  <c r="AA39" i="13" a="1"/>
  <c r="AA39" i="13" s="1"/>
  <c r="Z39" i="13" a="1"/>
  <c r="Z39" i="13" s="1"/>
  <c r="Y39" i="13" a="1"/>
  <c r="Y39" i="13" s="1"/>
  <c r="X39" i="13" a="1"/>
  <c r="X39" i="13" s="1"/>
  <c r="W39" i="13" a="1"/>
  <c r="W39" i="13" s="1"/>
  <c r="V39" i="13" a="1"/>
  <c r="V39" i="13" s="1"/>
  <c r="AB38" i="13" a="1"/>
  <c r="AB38" i="13" s="1"/>
  <c r="AA38" i="13" a="1"/>
  <c r="AA38" i="13" s="1"/>
  <c r="Z38" i="13" a="1"/>
  <c r="Z38" i="13" s="1"/>
  <c r="Y38" i="13" a="1"/>
  <c r="Y38" i="13" s="1"/>
  <c r="X38" i="13" a="1"/>
  <c r="X38" i="13" s="1"/>
  <c r="W38" i="13" a="1"/>
  <c r="W38" i="13" s="1"/>
  <c r="V38" i="13" a="1"/>
  <c r="V38" i="13" s="1"/>
  <c r="AB37" i="13" a="1"/>
  <c r="AB37" i="13" s="1"/>
  <c r="AA37" i="13" a="1"/>
  <c r="AA37" i="13" s="1"/>
  <c r="Z37" i="13" a="1"/>
  <c r="Z37" i="13" s="1"/>
  <c r="Y37" i="13" a="1"/>
  <c r="Y37" i="13" s="1"/>
  <c r="X37" i="13" a="1"/>
  <c r="X37" i="13" s="1"/>
  <c r="W37" i="13" a="1"/>
  <c r="W37" i="13" s="1"/>
  <c r="V37" i="13" a="1"/>
  <c r="V37" i="13" s="1"/>
  <c r="AB36" i="13" a="1"/>
  <c r="AB36" i="13" s="1"/>
  <c r="AA36" i="13" a="1"/>
  <c r="AA36" i="13" s="1"/>
  <c r="Z36" i="13" a="1"/>
  <c r="Z36" i="13" s="1"/>
  <c r="Y36" i="13" a="1"/>
  <c r="Y36" i="13" s="1"/>
  <c r="X36" i="13" a="1"/>
  <c r="X36" i="13" s="1"/>
  <c r="W36" i="13" a="1"/>
  <c r="W36" i="13" s="1"/>
  <c r="V36" i="13" a="1"/>
  <c r="V36" i="13" s="1"/>
  <c r="AB35" i="13" a="1"/>
  <c r="AB35" i="13" s="1"/>
  <c r="AA35" i="13" a="1"/>
  <c r="AA35" i="13" s="1"/>
  <c r="Z35" i="13" a="1"/>
  <c r="Z35" i="13" s="1"/>
  <c r="Y35" i="13" a="1"/>
  <c r="Y35" i="13" s="1"/>
  <c r="X35" i="13" a="1"/>
  <c r="X35" i="13" s="1"/>
  <c r="W35" i="13" a="1"/>
  <c r="W35" i="13" s="1"/>
  <c r="V35" i="13" a="1"/>
  <c r="V35" i="13" s="1"/>
  <c r="AB34" i="13" a="1"/>
  <c r="AB34" i="13" s="1"/>
  <c r="AA34" i="13" a="1"/>
  <c r="AA34" i="13" s="1"/>
  <c r="Z34" i="13" a="1"/>
  <c r="Z34" i="13" s="1"/>
  <c r="Y34" i="13" a="1"/>
  <c r="Y34" i="13" s="1"/>
  <c r="X34" i="13" a="1"/>
  <c r="X34" i="13" s="1"/>
  <c r="W34" i="13" a="1"/>
  <c r="W34" i="13" s="1"/>
  <c r="V34" i="13" a="1"/>
  <c r="V34" i="13" s="1"/>
  <c r="AB33" i="13" a="1"/>
  <c r="AB33" i="13" s="1"/>
  <c r="AA33" i="13" a="1"/>
  <c r="AA33" i="13" s="1"/>
  <c r="Z33" i="13" a="1"/>
  <c r="Z33" i="13" s="1"/>
  <c r="Y33" i="13" a="1"/>
  <c r="Y33" i="13" s="1"/>
  <c r="X33" i="13" a="1"/>
  <c r="X33" i="13" s="1"/>
  <c r="W33" i="13" a="1"/>
  <c r="W33" i="13" s="1"/>
  <c r="V33" i="13" a="1"/>
  <c r="V33" i="13" s="1"/>
  <c r="AB32" i="13" a="1"/>
  <c r="AB32" i="13" s="1"/>
  <c r="AA32" i="13" a="1"/>
  <c r="AA32" i="13" s="1"/>
  <c r="Z32" i="13" a="1"/>
  <c r="Z32" i="13" s="1"/>
  <c r="Y32" i="13" a="1"/>
  <c r="Y32" i="13" s="1"/>
  <c r="X32" i="13" a="1"/>
  <c r="X32" i="13" s="1"/>
  <c r="W32" i="13" a="1"/>
  <c r="W32" i="13" s="1"/>
  <c r="V32" i="13" a="1"/>
  <c r="V32" i="13" s="1"/>
  <c r="AB31" i="13" a="1"/>
  <c r="AB31" i="13" s="1"/>
  <c r="AA31" i="13" a="1"/>
  <c r="AA31" i="13" s="1"/>
  <c r="Z31" i="13" a="1"/>
  <c r="Z31" i="13" s="1"/>
  <c r="Y31" i="13" a="1"/>
  <c r="Y31" i="13" s="1"/>
  <c r="X31" i="13" a="1"/>
  <c r="X31" i="13" s="1"/>
  <c r="W31" i="13" a="1"/>
  <c r="W31" i="13" s="1"/>
  <c r="V31" i="13" a="1"/>
  <c r="V31" i="13" s="1"/>
  <c r="AB30" i="13" a="1"/>
  <c r="AB30" i="13" s="1"/>
  <c r="AA30" i="13" a="1"/>
  <c r="AA30" i="13" s="1"/>
  <c r="Z30" i="13" a="1"/>
  <c r="Z30" i="13" s="1"/>
  <c r="Y30" i="13" a="1"/>
  <c r="Y30" i="13" s="1"/>
  <c r="X30" i="13" a="1"/>
  <c r="X30" i="13" s="1"/>
  <c r="W30" i="13" a="1"/>
  <c r="W30" i="13" s="1"/>
  <c r="V30" i="13" a="1"/>
  <c r="V30" i="13" s="1"/>
  <c r="AB29" i="13" a="1"/>
  <c r="AB29" i="13" s="1"/>
  <c r="AA29" i="13" a="1"/>
  <c r="AA29" i="13" s="1"/>
  <c r="Z29" i="13" a="1"/>
  <c r="Z29" i="13" s="1"/>
  <c r="Y29" i="13" a="1"/>
  <c r="Y29" i="13" s="1"/>
  <c r="X29" i="13" a="1"/>
  <c r="X29" i="13" s="1"/>
  <c r="W29" i="13" a="1"/>
  <c r="W29" i="13" s="1"/>
  <c r="V29" i="13" a="1"/>
  <c r="V29" i="13" s="1"/>
  <c r="AB28" i="13" a="1"/>
  <c r="AB28" i="13" s="1"/>
  <c r="AA28" i="13" a="1"/>
  <c r="AA28" i="13" s="1"/>
  <c r="Z28" i="13" a="1"/>
  <c r="Z28" i="13" s="1"/>
  <c r="Y28" i="13" a="1"/>
  <c r="Y28" i="13" s="1"/>
  <c r="X28" i="13" a="1"/>
  <c r="X28" i="13" s="1"/>
  <c r="W28" i="13" a="1"/>
  <c r="W28" i="13" s="1"/>
  <c r="V28" i="13" a="1"/>
  <c r="V28" i="13" s="1"/>
  <c r="AB27" i="13" a="1"/>
  <c r="AB27" i="13" s="1"/>
  <c r="AA27" i="13" a="1"/>
  <c r="AA27" i="13" s="1"/>
  <c r="Z27" i="13" a="1"/>
  <c r="Z27" i="13" s="1"/>
  <c r="Y27" i="13" a="1"/>
  <c r="Y27" i="13" s="1"/>
  <c r="X27" i="13" a="1"/>
  <c r="X27" i="13" s="1"/>
  <c r="W27" i="13" a="1"/>
  <c r="W27" i="13" s="1"/>
  <c r="V27" i="13" a="1"/>
  <c r="V27" i="13" s="1"/>
  <c r="AB26" i="13" a="1"/>
  <c r="AB26" i="13" s="1"/>
  <c r="AA26" i="13" a="1"/>
  <c r="AA26" i="13" s="1"/>
  <c r="Z26" i="13" a="1"/>
  <c r="Z26" i="13" s="1"/>
  <c r="Y26" i="13" a="1"/>
  <c r="Y26" i="13" s="1"/>
  <c r="X26" i="13" a="1"/>
  <c r="X26" i="13" s="1"/>
  <c r="W26" i="13" a="1"/>
  <c r="W26" i="13" s="1"/>
  <c r="V26" i="13" a="1"/>
  <c r="V26" i="13" s="1"/>
  <c r="AB25" i="13" a="1"/>
  <c r="AB25" i="13" s="1"/>
  <c r="AA25" i="13" a="1"/>
  <c r="AA25" i="13" s="1"/>
  <c r="Z25" i="13" a="1"/>
  <c r="Z25" i="13" s="1"/>
  <c r="Y25" i="13" a="1"/>
  <c r="Y25" i="13" s="1"/>
  <c r="X25" i="13" a="1"/>
  <c r="X25" i="13" s="1"/>
  <c r="W25" i="13" a="1"/>
  <c r="W25" i="13" s="1"/>
  <c r="V25" i="13" a="1"/>
  <c r="V25" i="13" s="1"/>
  <c r="AB24" i="13" a="1"/>
  <c r="AB24" i="13" s="1"/>
  <c r="AA24" i="13" a="1"/>
  <c r="AA24" i="13" s="1"/>
  <c r="Z24" i="13" a="1"/>
  <c r="Z24" i="13" s="1"/>
  <c r="Y24" i="13" a="1"/>
  <c r="Y24" i="13" s="1"/>
  <c r="X24" i="13" a="1"/>
  <c r="X24" i="13" s="1"/>
  <c r="W24" i="13" a="1"/>
  <c r="W24" i="13" s="1"/>
  <c r="V24" i="13" a="1"/>
  <c r="V24" i="13" s="1"/>
  <c r="AB23" i="13" a="1"/>
  <c r="AB23" i="13" s="1"/>
  <c r="AA23" i="13" a="1"/>
  <c r="AA23" i="13" s="1"/>
  <c r="Z23" i="13" a="1"/>
  <c r="Z23" i="13" s="1"/>
  <c r="Y23" i="13" a="1"/>
  <c r="Y23" i="13" s="1"/>
  <c r="X23" i="13" a="1"/>
  <c r="X23" i="13" s="1"/>
  <c r="W23" i="13" a="1"/>
  <c r="W23" i="13" s="1"/>
  <c r="V23" i="13" a="1"/>
  <c r="V23" i="13" s="1"/>
  <c r="AB22" i="13" a="1"/>
  <c r="AB22" i="13" s="1"/>
  <c r="AA22" i="13" a="1"/>
  <c r="AA22" i="13" s="1"/>
  <c r="Z22" i="13" a="1"/>
  <c r="Z22" i="13" s="1"/>
  <c r="Y22" i="13" a="1"/>
  <c r="Y22" i="13" s="1"/>
  <c r="X22" i="13" a="1"/>
  <c r="X22" i="13" s="1"/>
  <c r="W22" i="13" a="1"/>
  <c r="W22" i="13" s="1"/>
  <c r="V22" i="13" a="1"/>
  <c r="V22" i="13" s="1"/>
  <c r="AB21" i="13" a="1"/>
  <c r="AB21" i="13" s="1"/>
  <c r="AA21" i="13" a="1"/>
  <c r="AA21" i="13" s="1"/>
  <c r="Z21" i="13" a="1"/>
  <c r="Z21" i="13" s="1"/>
  <c r="Y21" i="13" a="1"/>
  <c r="Y21" i="13" s="1"/>
  <c r="X21" i="13" a="1"/>
  <c r="X21" i="13" s="1"/>
  <c r="W21" i="13" a="1"/>
  <c r="W21" i="13" s="1"/>
  <c r="V21" i="13" a="1"/>
  <c r="V21" i="13" s="1"/>
  <c r="AB20" i="13" a="1"/>
  <c r="AB20" i="13" s="1"/>
  <c r="AA20" i="13" a="1"/>
  <c r="AA20" i="13" s="1"/>
  <c r="Z20" i="13" a="1"/>
  <c r="Z20" i="13" s="1"/>
  <c r="Y20" i="13" a="1"/>
  <c r="Y20" i="13" s="1"/>
  <c r="X20" i="13" a="1"/>
  <c r="X20" i="13" s="1"/>
  <c r="W20" i="13" a="1"/>
  <c r="W20" i="13" s="1"/>
  <c r="V20" i="13" a="1"/>
  <c r="V20" i="13" s="1"/>
  <c r="AB19" i="13" a="1"/>
  <c r="AB19" i="13" s="1"/>
  <c r="AA19" i="13" a="1"/>
  <c r="AA19" i="13" s="1"/>
  <c r="Z19" i="13" a="1"/>
  <c r="Z19" i="13" s="1"/>
  <c r="Y19" i="13" a="1"/>
  <c r="Y19" i="13" s="1"/>
  <c r="X19" i="13" a="1"/>
  <c r="X19" i="13" s="1"/>
  <c r="W19" i="13" a="1"/>
  <c r="W19" i="13" s="1"/>
  <c r="V19" i="13" a="1"/>
  <c r="V19" i="13" s="1"/>
  <c r="AB18" i="13" a="1"/>
  <c r="AB18" i="13" s="1"/>
  <c r="AA18" i="13" a="1"/>
  <c r="AA18" i="13" s="1"/>
  <c r="Z18" i="13" a="1"/>
  <c r="Z18" i="13" s="1"/>
  <c r="Y18" i="13" a="1"/>
  <c r="Y18" i="13" s="1"/>
  <c r="X18" i="13" a="1"/>
  <c r="X18" i="13" s="1"/>
  <c r="W18" i="13" a="1"/>
  <c r="W18" i="13" s="1"/>
  <c r="V18" i="13" a="1"/>
  <c r="V18" i="13" s="1"/>
  <c r="AB17" i="13" a="1"/>
  <c r="AB17" i="13" s="1"/>
  <c r="AA17" i="13" a="1"/>
  <c r="AA17" i="13" s="1"/>
  <c r="Z17" i="13" a="1"/>
  <c r="Z17" i="13" s="1"/>
  <c r="Y17" i="13" a="1"/>
  <c r="Y17" i="13" s="1"/>
  <c r="X17" i="13" a="1"/>
  <c r="X17" i="13" s="1"/>
  <c r="W17" i="13" a="1"/>
  <c r="W17" i="13" s="1"/>
  <c r="V17" i="13" a="1"/>
  <c r="V17" i="13" s="1"/>
  <c r="AB16" i="13" a="1"/>
  <c r="AB16" i="13" s="1"/>
  <c r="AA16" i="13" a="1"/>
  <c r="AA16" i="13" s="1"/>
  <c r="Z16" i="13" a="1"/>
  <c r="Z16" i="13" s="1"/>
  <c r="Y16" i="13" a="1"/>
  <c r="Y16" i="13" s="1"/>
  <c r="X16" i="13" a="1"/>
  <c r="X16" i="13" s="1"/>
  <c r="W16" i="13" a="1"/>
  <c r="W16" i="13" s="1"/>
  <c r="V16" i="13" a="1"/>
  <c r="V16" i="13" s="1"/>
  <c r="AB15" i="13" a="1"/>
  <c r="AB15" i="13" s="1"/>
  <c r="AA15" i="13" a="1"/>
  <c r="AA15" i="13" s="1"/>
  <c r="Z15" i="13" a="1"/>
  <c r="Z15" i="13" s="1"/>
  <c r="Y15" i="13" a="1"/>
  <c r="Y15" i="13" s="1"/>
  <c r="X15" i="13" a="1"/>
  <c r="X15" i="13" s="1"/>
  <c r="W15" i="13" a="1"/>
  <c r="W15" i="13" s="1"/>
  <c r="V15" i="13" a="1"/>
  <c r="V15" i="13" s="1"/>
  <c r="AB14" i="13" a="1"/>
  <c r="AB14" i="13" s="1"/>
  <c r="AA14" i="13" a="1"/>
  <c r="AA14" i="13" s="1"/>
  <c r="Z14" i="13" a="1"/>
  <c r="Z14" i="13" s="1"/>
  <c r="Y14" i="13" a="1"/>
  <c r="Y14" i="13" s="1"/>
  <c r="X14" i="13" a="1"/>
  <c r="X14" i="13" s="1"/>
  <c r="W14" i="13" a="1"/>
  <c r="W14" i="13" s="1"/>
  <c r="V14" i="13" a="1"/>
  <c r="V14" i="13" s="1"/>
  <c r="AB13" i="13" a="1"/>
  <c r="AB13" i="13" s="1"/>
  <c r="AA13" i="13" a="1"/>
  <c r="AA13" i="13" s="1"/>
  <c r="Z13" i="13" a="1"/>
  <c r="Z13" i="13" s="1"/>
  <c r="Y13" i="13" a="1"/>
  <c r="Y13" i="13" s="1"/>
  <c r="X13" i="13" a="1"/>
  <c r="X13" i="13" s="1"/>
  <c r="W13" i="13" a="1"/>
  <c r="W13" i="13" s="1"/>
  <c r="V13" i="13" a="1"/>
  <c r="V13" i="13" s="1"/>
  <c r="AB12" i="13" a="1"/>
  <c r="AB12" i="13" s="1"/>
  <c r="AA12" i="13" a="1"/>
  <c r="AA12" i="13" s="1"/>
  <c r="Z12" i="13" a="1"/>
  <c r="Z12" i="13" s="1"/>
  <c r="Y12" i="13" a="1"/>
  <c r="Y12" i="13" s="1"/>
  <c r="X12" i="13" a="1"/>
  <c r="X12" i="13" s="1"/>
  <c r="W12" i="13" a="1"/>
  <c r="W12" i="13" s="1"/>
  <c r="V12" i="13" a="1"/>
  <c r="V12" i="13" s="1"/>
  <c r="AB11" i="13" a="1"/>
  <c r="AB11" i="13" s="1"/>
  <c r="AA11" i="13" a="1"/>
  <c r="AA11" i="13" s="1"/>
  <c r="Z11" i="13" a="1"/>
  <c r="Z11" i="13" s="1"/>
  <c r="Y11" i="13" a="1"/>
  <c r="Y11" i="13" s="1"/>
  <c r="X11" i="13" a="1"/>
  <c r="X11" i="13" s="1"/>
  <c r="W11" i="13" a="1"/>
  <c r="W11" i="13" s="1"/>
  <c r="V11" i="13" a="1"/>
  <c r="V11" i="13" s="1"/>
  <c r="AB10" i="13" a="1"/>
  <c r="AB10" i="13" s="1"/>
  <c r="AA10" i="13" a="1"/>
  <c r="AA10" i="13" s="1"/>
  <c r="Z10" i="13" a="1"/>
  <c r="Z10" i="13" s="1"/>
  <c r="Y10" i="13" a="1"/>
  <c r="Y10" i="13" s="1"/>
  <c r="X10" i="13" a="1"/>
  <c r="X10" i="13" s="1"/>
  <c r="W10" i="13" a="1"/>
  <c r="W10" i="13" s="1"/>
  <c r="V10" i="13" a="1"/>
  <c r="V10" i="13" s="1"/>
  <c r="AB9" i="13" a="1"/>
  <c r="AB9" i="13" s="1"/>
  <c r="AA9" i="13" a="1"/>
  <c r="AA9" i="13" s="1"/>
  <c r="Z9" i="13" a="1"/>
  <c r="Z9" i="13" s="1"/>
  <c r="Y9" i="13" a="1"/>
  <c r="Y9" i="13" s="1"/>
  <c r="X9" i="13" a="1"/>
  <c r="X9" i="13" s="1"/>
  <c r="W9" i="13" a="1"/>
  <c r="W9" i="13" s="1"/>
  <c r="V9" i="13" a="1"/>
  <c r="V9" i="13" s="1"/>
  <c r="AB8" i="13" a="1"/>
  <c r="AB8" i="13" s="1"/>
  <c r="AA8" i="13" a="1"/>
  <c r="AA8" i="13" s="1"/>
  <c r="Z8" i="13" a="1"/>
  <c r="Z8" i="13" s="1"/>
  <c r="Y8" i="13" a="1"/>
  <c r="Y8" i="13" s="1"/>
  <c r="X8" i="13" a="1"/>
  <c r="X8" i="13" s="1"/>
  <c r="W8" i="13" a="1"/>
  <c r="W8" i="13" s="1"/>
  <c r="V8" i="13" a="1"/>
  <c r="V8" i="13" s="1"/>
  <c r="AB7" i="13" a="1"/>
  <c r="AB7" i="13" s="1"/>
  <c r="AA7" i="13" a="1"/>
  <c r="AA7" i="13" s="1"/>
  <c r="Z7" i="13" a="1"/>
  <c r="Z7" i="13" s="1"/>
  <c r="Y7" i="13" a="1"/>
  <c r="Y7" i="13" s="1"/>
  <c r="X7" i="13" a="1"/>
  <c r="X7" i="13" s="1"/>
  <c r="W7" i="13" a="1"/>
  <c r="W7" i="13" s="1"/>
  <c r="V7" i="13" a="1"/>
  <c r="V7" i="13" s="1"/>
  <c r="AB6" i="13" a="1"/>
  <c r="AB6" i="13" s="1"/>
  <c r="AA6" i="13" a="1"/>
  <c r="AA6" i="13" s="1"/>
  <c r="Z6" i="13" a="1"/>
  <c r="Z6" i="13" s="1"/>
  <c r="Y6" i="13" a="1"/>
  <c r="Y6" i="13" s="1"/>
  <c r="X6" i="13" a="1"/>
  <c r="X6" i="13" s="1"/>
  <c r="W6" i="13" a="1"/>
  <c r="W6" i="13" s="1"/>
  <c r="V6" i="13" a="1"/>
  <c r="V6" i="13" s="1"/>
  <c r="AB5" i="13" a="1"/>
  <c r="AB5" i="13" s="1"/>
  <c r="AA5" i="13" a="1"/>
  <c r="AA5" i="13" s="1"/>
  <c r="Z5" i="13" a="1"/>
  <c r="Z5" i="13" s="1"/>
  <c r="Y5" i="13" a="1"/>
  <c r="Y5" i="13" s="1"/>
  <c r="X5" i="13" a="1"/>
  <c r="X5" i="13" s="1"/>
  <c r="W5" i="13" a="1"/>
  <c r="W5" i="13" s="1"/>
  <c r="V5" i="13" a="1"/>
  <c r="V5" i="13" s="1"/>
  <c r="F7" i="16" l="1"/>
  <c r="F6" i="16"/>
  <c r="AB51" i="13" a="1"/>
  <c r="AB51" i="13" s="1"/>
  <c r="X51" i="13" a="1"/>
  <c r="X51" i="13" s="1"/>
  <c r="AA51" i="13" a="1"/>
  <c r="AA51" i="13" s="1"/>
  <c r="W51" i="13" a="1"/>
  <c r="W51" i="13" s="1"/>
  <c r="Z51" i="13" a="1"/>
  <c r="Z51" i="13" s="1"/>
  <c r="Y51" i="13" a="1"/>
  <c r="Y51" i="13" s="1"/>
  <c r="M6" i="2"/>
  <c r="T7" i="7" s="1"/>
  <c r="M7" i="2"/>
  <c r="T8" i="7" s="1"/>
  <c r="M8" i="2"/>
  <c r="T9" i="7" s="1"/>
  <c r="M9" i="2"/>
  <c r="T10" i="7" s="1"/>
  <c r="M10" i="2"/>
  <c r="T11" i="7" s="1"/>
  <c r="M11" i="2"/>
  <c r="T12" i="7" s="1"/>
  <c r="M12" i="2"/>
  <c r="T13" i="7" s="1"/>
  <c r="M13" i="2"/>
  <c r="T14" i="7" s="1"/>
  <c r="M14" i="2"/>
  <c r="T15" i="7" s="1"/>
  <c r="M15" i="2"/>
  <c r="T16" i="7" s="1"/>
  <c r="M16" i="2"/>
  <c r="T17" i="7" s="1"/>
  <c r="M17" i="2"/>
  <c r="T18" i="7" s="1"/>
  <c r="M18" i="2"/>
  <c r="T19" i="7" s="1"/>
  <c r="M19" i="2"/>
  <c r="T20" i="7" s="1"/>
  <c r="M20" i="2"/>
  <c r="T21" i="7" s="1"/>
  <c r="M21" i="2"/>
  <c r="T22" i="7" s="1"/>
  <c r="M22" i="2"/>
  <c r="T23" i="7" s="1"/>
  <c r="M23" i="2"/>
  <c r="T24" i="7" s="1"/>
  <c r="M24" i="2"/>
  <c r="T25" i="7" s="1"/>
  <c r="M25" i="2"/>
  <c r="T26" i="7" s="1"/>
  <c r="M26" i="2"/>
  <c r="T27" i="7" s="1"/>
  <c r="M27" i="2"/>
  <c r="T28" i="7" s="1"/>
  <c r="M28" i="2"/>
  <c r="T29" i="7" s="1"/>
  <c r="M5" i="2"/>
  <c r="T6" i="7" s="1"/>
  <c r="K5" i="2"/>
  <c r="T6" i="5" s="1"/>
  <c r="T33" i="5" s="1"/>
  <c r="I8" i="2"/>
  <c r="T9" i="4" s="1"/>
  <c r="I9" i="2"/>
  <c r="T10" i="4" s="1"/>
  <c r="I10" i="2"/>
  <c r="T11" i="4" s="1"/>
  <c r="I11" i="2"/>
  <c r="T12" i="4" s="1"/>
  <c r="I12" i="2"/>
  <c r="T13" i="4" s="1"/>
  <c r="I13" i="2"/>
  <c r="T14" i="4" s="1"/>
  <c r="I14" i="2"/>
  <c r="T15" i="4" s="1"/>
  <c r="I15" i="2"/>
  <c r="T16" i="4" s="1"/>
  <c r="I16" i="2"/>
  <c r="T17" i="4" s="1"/>
  <c r="I17" i="2"/>
  <c r="T18" i="4" s="1"/>
  <c r="I18" i="2"/>
  <c r="T19" i="4" s="1"/>
  <c r="I19" i="2"/>
  <c r="T20" i="4" s="1"/>
  <c r="I20" i="2"/>
  <c r="T21" i="4" s="1"/>
  <c r="I21" i="2"/>
  <c r="T22" i="4" s="1"/>
  <c r="I22" i="2"/>
  <c r="T23" i="4" s="1"/>
  <c r="I23" i="2"/>
  <c r="T24" i="4" s="1"/>
  <c r="I24" i="2"/>
  <c r="T25" i="4" s="1"/>
  <c r="I25" i="2"/>
  <c r="T26" i="4" s="1"/>
  <c r="I26" i="2"/>
  <c r="T27" i="4" s="1"/>
  <c r="I27" i="2"/>
  <c r="T28" i="4" s="1"/>
  <c r="I28" i="2"/>
  <c r="T29" i="4" s="1"/>
  <c r="I29" i="2"/>
  <c r="T30" i="4" s="1"/>
  <c r="I5" i="2"/>
  <c r="T6" i="4" s="1"/>
  <c r="I6" i="2"/>
  <c r="T7" i="4" s="1"/>
  <c r="I7" i="2"/>
  <c r="T8" i="4" s="1"/>
  <c r="G7" i="2"/>
  <c r="G8" i="2"/>
  <c r="G9" i="2"/>
  <c r="G10" i="2"/>
  <c r="G11" i="2"/>
  <c r="G12" i="2"/>
  <c r="G13" i="2"/>
  <c r="G14" i="2"/>
  <c r="G15" i="2"/>
  <c r="G16" i="2"/>
  <c r="G17" i="2"/>
  <c r="G18" i="2"/>
  <c r="G19" i="2"/>
  <c r="G20" i="2"/>
  <c r="G21" i="2"/>
  <c r="G22" i="2"/>
  <c r="G23" i="2"/>
  <c r="G24" i="2"/>
  <c r="G25" i="2"/>
  <c r="G26" i="2"/>
  <c r="G27" i="2"/>
  <c r="G28" i="2"/>
  <c r="G29" i="2"/>
  <c r="G5" i="2"/>
  <c r="T33" i="7" l="1"/>
  <c r="T33" i="4"/>
  <c r="T13" i="3"/>
  <c r="M36" i="2"/>
  <c r="T19" i="3"/>
  <c r="T29" i="3"/>
  <c r="T18" i="3"/>
  <c r="T10" i="3"/>
  <c r="T9" i="3"/>
  <c r="I36" i="2"/>
  <c r="T28" i="3"/>
  <c r="T27" i="3"/>
  <c r="T26" i="3"/>
  <c r="T17" i="3"/>
  <c r="T24" i="3"/>
  <c r="T16" i="3"/>
  <c r="T8" i="3"/>
  <c r="T21" i="3"/>
  <c r="T12" i="3"/>
  <c r="T6" i="3"/>
  <c r="G36" i="2"/>
  <c r="T23" i="3"/>
  <c r="D23" i="3"/>
  <c r="T15" i="3"/>
  <c r="T20" i="3"/>
  <c r="T11" i="3"/>
  <c r="T25" i="3"/>
  <c r="H25" i="3"/>
  <c r="T30" i="3"/>
  <c r="T22" i="3"/>
  <c r="T14" i="3"/>
  <c r="K36" i="2"/>
  <c r="G57" i="2"/>
  <c r="K27" i="3"/>
  <c r="L27" i="3"/>
  <c r="J27" i="3"/>
  <c r="D27" i="3"/>
  <c r="M27" i="3"/>
  <c r="E27" i="3"/>
  <c r="N27" i="3"/>
  <c r="F27" i="3"/>
  <c r="O27" i="3"/>
  <c r="G27" i="3"/>
  <c r="Q27" i="3"/>
  <c r="R27" i="3"/>
  <c r="H27" i="3"/>
  <c r="I27" i="3"/>
  <c r="S27" i="3"/>
  <c r="P27" i="3"/>
  <c r="I53" i="2"/>
  <c r="S23" i="4"/>
  <c r="E23" i="4"/>
  <c r="N23" i="4"/>
  <c r="P23" i="4"/>
  <c r="D23" i="4"/>
  <c r="H23" i="4"/>
  <c r="Q23" i="4"/>
  <c r="I23" i="4"/>
  <c r="L23" i="4"/>
  <c r="R23" i="4"/>
  <c r="G23" i="4"/>
  <c r="M23" i="4"/>
  <c r="F23" i="4"/>
  <c r="K23" i="4"/>
  <c r="J23" i="4"/>
  <c r="O23" i="4"/>
  <c r="G50" i="2"/>
  <c r="J20" i="3"/>
  <c r="S20" i="3"/>
  <c r="K20" i="3"/>
  <c r="D20" i="3"/>
  <c r="L20" i="3"/>
  <c r="E20" i="3"/>
  <c r="M20" i="3"/>
  <c r="H20" i="3"/>
  <c r="Q20" i="3"/>
  <c r="G20" i="3"/>
  <c r="I20" i="3"/>
  <c r="N20" i="3"/>
  <c r="O20" i="3"/>
  <c r="R20" i="3"/>
  <c r="F20" i="3"/>
  <c r="P20" i="3"/>
  <c r="I50" i="2"/>
  <c r="S20" i="4"/>
  <c r="D20" i="4"/>
  <c r="L20" i="4"/>
  <c r="E20" i="4"/>
  <c r="M20" i="4"/>
  <c r="F20" i="4"/>
  <c r="N20" i="4"/>
  <c r="K20" i="4"/>
  <c r="G20" i="4"/>
  <c r="O20" i="4"/>
  <c r="H20" i="4"/>
  <c r="Q20" i="4"/>
  <c r="I20" i="4"/>
  <c r="R20" i="4"/>
  <c r="J20" i="4"/>
  <c r="P20" i="4"/>
  <c r="G51" i="2"/>
  <c r="R21" i="3"/>
  <c r="D21" i="3"/>
  <c r="S21" i="3"/>
  <c r="F21" i="3"/>
  <c r="G21" i="3"/>
  <c r="N21" i="3"/>
  <c r="O21" i="3"/>
  <c r="H21" i="3"/>
  <c r="K21" i="3"/>
  <c r="P21" i="3"/>
  <c r="E21" i="3"/>
  <c r="Q21" i="3"/>
  <c r="L21" i="3"/>
  <c r="I21" i="3"/>
  <c r="M21" i="3"/>
  <c r="J21" i="3"/>
  <c r="I45" i="2"/>
  <c r="S15" i="4"/>
  <c r="I15" i="4"/>
  <c r="J15" i="4"/>
  <c r="L15" i="4"/>
  <c r="D15" i="4"/>
  <c r="M15" i="4"/>
  <c r="R15" i="4"/>
  <c r="E15" i="4"/>
  <c r="O15" i="4"/>
  <c r="G15" i="4"/>
  <c r="H15" i="4"/>
  <c r="F15" i="4"/>
  <c r="P15" i="4"/>
  <c r="N15" i="4"/>
  <c r="K15" i="4"/>
  <c r="Q15" i="4"/>
  <c r="M52" i="2"/>
  <c r="E22" i="7"/>
  <c r="M22" i="7"/>
  <c r="F22" i="7"/>
  <c r="N22" i="7"/>
  <c r="G22" i="7"/>
  <c r="O22" i="7"/>
  <c r="H22" i="7"/>
  <c r="Q22" i="7"/>
  <c r="I22" i="7"/>
  <c r="R22" i="7"/>
  <c r="J22" i="7"/>
  <c r="S22" i="7"/>
  <c r="K22" i="7"/>
  <c r="D22" i="7"/>
  <c r="L22" i="7"/>
  <c r="P22" i="7"/>
  <c r="I60" i="2"/>
  <c r="S30" i="4"/>
  <c r="E30" i="4"/>
  <c r="N30" i="4"/>
  <c r="P30" i="4"/>
  <c r="D30" i="4"/>
  <c r="H30" i="4"/>
  <c r="Q30" i="4"/>
  <c r="M30" i="4"/>
  <c r="I30" i="4"/>
  <c r="G30" i="4"/>
  <c r="L30" i="4"/>
  <c r="F30" i="4"/>
  <c r="J30" i="4"/>
  <c r="K30" i="4"/>
  <c r="R30" i="4"/>
  <c r="O30" i="4"/>
  <c r="I44" i="2"/>
  <c r="S14" i="4"/>
  <c r="H14" i="4"/>
  <c r="P14" i="4"/>
  <c r="I14" i="4"/>
  <c r="Q14" i="4"/>
  <c r="J14" i="4"/>
  <c r="R14" i="4"/>
  <c r="K14" i="4"/>
  <c r="F14" i="4"/>
  <c r="G14" i="4"/>
  <c r="D14" i="4"/>
  <c r="L14" i="4"/>
  <c r="E14" i="4"/>
  <c r="M14" i="4"/>
  <c r="N14" i="4"/>
  <c r="O14" i="4"/>
  <c r="M43" i="2"/>
  <c r="F13" i="7"/>
  <c r="N13" i="7"/>
  <c r="G13" i="7"/>
  <c r="O13" i="7"/>
  <c r="H13" i="7"/>
  <c r="Q13" i="7"/>
  <c r="I13" i="7"/>
  <c r="R13" i="7"/>
  <c r="J13" i="7"/>
  <c r="S13" i="7"/>
  <c r="K13" i="7"/>
  <c r="D13" i="7"/>
  <c r="L13" i="7"/>
  <c r="E13" i="7"/>
  <c r="M13" i="7"/>
  <c r="P13" i="7"/>
  <c r="G49" i="2"/>
  <c r="I19" i="3"/>
  <c r="R19" i="3"/>
  <c r="J19" i="3"/>
  <c r="S19" i="3"/>
  <c r="K19" i="3"/>
  <c r="D19" i="3"/>
  <c r="L19" i="3"/>
  <c r="G19" i="3"/>
  <c r="O19" i="3"/>
  <c r="E19" i="3"/>
  <c r="F19" i="3"/>
  <c r="H19" i="3"/>
  <c r="M19" i="3"/>
  <c r="N19" i="3"/>
  <c r="Q19" i="3"/>
  <c r="P19" i="3"/>
  <c r="I59" i="2"/>
  <c r="S29" i="4"/>
  <c r="J29" i="4"/>
  <c r="N29" i="4"/>
  <c r="I29" i="4"/>
  <c r="O29" i="4"/>
  <c r="H29" i="4"/>
  <c r="D29" i="4"/>
  <c r="Q29" i="4"/>
  <c r="F29" i="4"/>
  <c r="G29" i="4"/>
  <c r="R29" i="4"/>
  <c r="E29" i="4"/>
  <c r="L29" i="4"/>
  <c r="P29" i="4"/>
  <c r="M29" i="4"/>
  <c r="K29" i="4"/>
  <c r="I43" i="2"/>
  <c r="S13" i="4"/>
  <c r="F13" i="4"/>
  <c r="N13" i="4"/>
  <c r="G13" i="4"/>
  <c r="O13" i="4"/>
  <c r="E13" i="4"/>
  <c r="H13" i="4"/>
  <c r="Q13" i="4"/>
  <c r="M13" i="4"/>
  <c r="I13" i="4"/>
  <c r="R13" i="4"/>
  <c r="D13" i="4"/>
  <c r="J13" i="4"/>
  <c r="K13" i="4"/>
  <c r="L13" i="4"/>
  <c r="P13" i="4"/>
  <c r="M50" i="2"/>
  <c r="E20" i="7"/>
  <c r="M20" i="7"/>
  <c r="F20" i="7"/>
  <c r="N20" i="7"/>
  <c r="G20" i="7"/>
  <c r="O20" i="7"/>
  <c r="H20" i="7"/>
  <c r="Q20" i="7"/>
  <c r="I20" i="7"/>
  <c r="R20" i="7"/>
  <c r="J20" i="7"/>
  <c r="S20" i="7"/>
  <c r="K20" i="7"/>
  <c r="D20" i="7"/>
  <c r="L20" i="7"/>
  <c r="P20" i="7"/>
  <c r="G48" i="2"/>
  <c r="H18" i="3"/>
  <c r="Q18" i="3"/>
  <c r="I18" i="3"/>
  <c r="R18" i="3"/>
  <c r="J18" i="3"/>
  <c r="S18" i="3"/>
  <c r="K18" i="3"/>
  <c r="F18" i="3"/>
  <c r="N18" i="3"/>
  <c r="O18" i="3"/>
  <c r="M18" i="3"/>
  <c r="D18" i="3"/>
  <c r="E18" i="3"/>
  <c r="G18" i="3"/>
  <c r="L18" i="3"/>
  <c r="P18" i="3"/>
  <c r="G40" i="2"/>
  <c r="F10" i="3"/>
  <c r="N10" i="3"/>
  <c r="G10" i="3"/>
  <c r="O10" i="3"/>
  <c r="H10" i="3"/>
  <c r="Q10" i="3"/>
  <c r="I10" i="3"/>
  <c r="R10" i="3"/>
  <c r="J10" i="3"/>
  <c r="K10" i="3"/>
  <c r="L10" i="3"/>
  <c r="D10" i="3"/>
  <c r="M10" i="3"/>
  <c r="S10" i="3"/>
  <c r="E10" i="3"/>
  <c r="P10" i="3"/>
  <c r="I42" i="2"/>
  <c r="S12" i="4"/>
  <c r="I12" i="4"/>
  <c r="J12" i="4"/>
  <c r="O12" i="4"/>
  <c r="P12" i="4"/>
  <c r="D12" i="4"/>
  <c r="Q12" i="4"/>
  <c r="F12" i="4"/>
  <c r="R12" i="4"/>
  <c r="H12" i="4"/>
  <c r="G12" i="4"/>
  <c r="E12" i="4"/>
  <c r="N12" i="4"/>
  <c r="M12" i="4"/>
  <c r="K12" i="4"/>
  <c r="L12" i="4"/>
  <c r="M49" i="2"/>
  <c r="D19" i="7"/>
  <c r="L19" i="7"/>
  <c r="E19" i="7"/>
  <c r="M19" i="7"/>
  <c r="F19" i="7"/>
  <c r="N19" i="7"/>
  <c r="G19" i="7"/>
  <c r="O19" i="7"/>
  <c r="H19" i="7"/>
  <c r="Q19" i="7"/>
  <c r="I19" i="7"/>
  <c r="R19" i="7"/>
  <c r="J19" i="7"/>
  <c r="S19" i="7"/>
  <c r="K19" i="7"/>
  <c r="P19" i="7"/>
  <c r="G55" i="2"/>
  <c r="G25" i="3"/>
  <c r="O25" i="3"/>
  <c r="L25" i="3"/>
  <c r="D25" i="3"/>
  <c r="M25" i="3"/>
  <c r="E25" i="3"/>
  <c r="N25" i="3"/>
  <c r="K25" i="3"/>
  <c r="F25" i="3"/>
  <c r="Q25" i="3"/>
  <c r="R25" i="3"/>
  <c r="I25" i="3"/>
  <c r="J25" i="3"/>
  <c r="S25" i="3"/>
  <c r="P25" i="3"/>
  <c r="G47" i="2"/>
  <c r="G17" i="3"/>
  <c r="O17" i="3"/>
  <c r="H17" i="3"/>
  <c r="Q17" i="3"/>
  <c r="I17" i="3"/>
  <c r="R17" i="3"/>
  <c r="J17" i="3"/>
  <c r="S17" i="3"/>
  <c r="E17" i="3"/>
  <c r="M17" i="3"/>
  <c r="K17" i="3"/>
  <c r="L17" i="3"/>
  <c r="N17" i="3"/>
  <c r="F17" i="3"/>
  <c r="D17" i="3"/>
  <c r="P17" i="3"/>
  <c r="G39" i="2"/>
  <c r="K9" i="3"/>
  <c r="L9" i="3"/>
  <c r="D9" i="3"/>
  <c r="M9" i="3"/>
  <c r="F9" i="3"/>
  <c r="N9" i="3"/>
  <c r="G9" i="3"/>
  <c r="O9" i="3"/>
  <c r="H9" i="3"/>
  <c r="Q9" i="3"/>
  <c r="I9" i="3"/>
  <c r="R9" i="3"/>
  <c r="J9" i="3"/>
  <c r="S9" i="3"/>
  <c r="E9" i="3"/>
  <c r="P9" i="3"/>
  <c r="I57" i="2"/>
  <c r="S27" i="4"/>
  <c r="D27" i="4"/>
  <c r="L27" i="4"/>
  <c r="E27" i="4"/>
  <c r="M27" i="4"/>
  <c r="F27" i="4"/>
  <c r="N27" i="4"/>
  <c r="J27" i="4"/>
  <c r="K27" i="4"/>
  <c r="G27" i="4"/>
  <c r="O27" i="4"/>
  <c r="H27" i="4"/>
  <c r="I27" i="4"/>
  <c r="Q27" i="4"/>
  <c r="R27" i="4"/>
  <c r="P27" i="4"/>
  <c r="I49" i="2"/>
  <c r="S19" i="4"/>
  <c r="J19" i="4"/>
  <c r="K19" i="4"/>
  <c r="H19" i="4"/>
  <c r="D19" i="4"/>
  <c r="L19" i="4"/>
  <c r="E19" i="4"/>
  <c r="M19" i="4"/>
  <c r="Q19" i="4"/>
  <c r="F19" i="4"/>
  <c r="N19" i="4"/>
  <c r="R19" i="4"/>
  <c r="G19" i="4"/>
  <c r="O19" i="4"/>
  <c r="I19" i="4"/>
  <c r="P19" i="4"/>
  <c r="I41" i="2"/>
  <c r="S11" i="4"/>
  <c r="O11" i="4"/>
  <c r="P11" i="4"/>
  <c r="D11" i="4"/>
  <c r="Q11" i="4"/>
  <c r="F11" i="4"/>
  <c r="R11" i="4"/>
  <c r="J11" i="4"/>
  <c r="G11" i="4"/>
  <c r="I11" i="4"/>
  <c r="H11" i="4"/>
  <c r="E11" i="4"/>
  <c r="M11" i="4"/>
  <c r="L11" i="4"/>
  <c r="K11" i="4"/>
  <c r="N11" i="4"/>
  <c r="M56" i="2"/>
  <c r="F26" i="7"/>
  <c r="N26" i="7"/>
  <c r="G26" i="7"/>
  <c r="O26" i="7"/>
  <c r="H26" i="7"/>
  <c r="Q26" i="7"/>
  <c r="I26" i="7"/>
  <c r="R26" i="7"/>
  <c r="J26" i="7"/>
  <c r="K26" i="7"/>
  <c r="D26" i="7"/>
  <c r="L26" i="7"/>
  <c r="E26" i="7"/>
  <c r="M26" i="7"/>
  <c r="S26" i="7"/>
  <c r="P26" i="7"/>
  <c r="M48" i="2"/>
  <c r="K18" i="7"/>
  <c r="D18" i="7"/>
  <c r="L18" i="7"/>
  <c r="E18" i="7"/>
  <c r="M18" i="7"/>
  <c r="F18" i="7"/>
  <c r="N18" i="7"/>
  <c r="G18" i="7"/>
  <c r="O18" i="7"/>
  <c r="H18" i="7"/>
  <c r="Q18" i="7"/>
  <c r="I18" i="7"/>
  <c r="R18" i="7"/>
  <c r="J18" i="7"/>
  <c r="S18" i="7"/>
  <c r="P18" i="7"/>
  <c r="M40" i="2"/>
  <c r="J10" i="7"/>
  <c r="K10" i="7"/>
  <c r="L10" i="7"/>
  <c r="D10" i="7"/>
  <c r="M10" i="7"/>
  <c r="F10" i="7"/>
  <c r="N10" i="7"/>
  <c r="G10" i="7"/>
  <c r="O10" i="7"/>
  <c r="H10" i="7"/>
  <c r="Q10" i="7"/>
  <c r="R10" i="7"/>
  <c r="I10" i="7"/>
  <c r="S10" i="7"/>
  <c r="E10" i="7"/>
  <c r="P10" i="7"/>
  <c r="G43" i="2"/>
  <c r="J13" i="3"/>
  <c r="S13" i="3"/>
  <c r="K13" i="3"/>
  <c r="D13" i="3"/>
  <c r="L13" i="3"/>
  <c r="E13" i="3"/>
  <c r="M13" i="3"/>
  <c r="F13" i="3"/>
  <c r="N13" i="3"/>
  <c r="G13" i="3"/>
  <c r="O13" i="3"/>
  <c r="H13" i="3"/>
  <c r="Q13" i="3"/>
  <c r="R13" i="3"/>
  <c r="I13" i="3"/>
  <c r="P13" i="3"/>
  <c r="I6" i="7"/>
  <c r="D6" i="7"/>
  <c r="J6" i="7"/>
  <c r="L6" i="7"/>
  <c r="M6" i="7"/>
  <c r="E6" i="7"/>
  <c r="O6" i="7"/>
  <c r="F6" i="7"/>
  <c r="P6" i="7"/>
  <c r="G6" i="7"/>
  <c r="R6" i="7"/>
  <c r="S6" i="7"/>
  <c r="H6" i="7"/>
  <c r="N6" i="7"/>
  <c r="Q6" i="7"/>
  <c r="K6" i="7"/>
  <c r="M44" i="2"/>
  <c r="G14" i="7"/>
  <c r="O14" i="7"/>
  <c r="H14" i="7"/>
  <c r="P14" i="7"/>
  <c r="I14" i="7"/>
  <c r="Q14" i="7"/>
  <c r="J14" i="7"/>
  <c r="R14" i="7"/>
  <c r="K14" i="7"/>
  <c r="S14" i="7"/>
  <c r="D14" i="7"/>
  <c r="L14" i="7"/>
  <c r="E14" i="7"/>
  <c r="M14" i="7"/>
  <c r="F14" i="7"/>
  <c r="N14" i="7"/>
  <c r="G42" i="2"/>
  <c r="F12" i="3"/>
  <c r="R12" i="3"/>
  <c r="G12" i="3"/>
  <c r="S12" i="3"/>
  <c r="H12" i="3"/>
  <c r="I12" i="3"/>
  <c r="J12" i="3"/>
  <c r="O12" i="3"/>
  <c r="P12" i="3"/>
  <c r="D12" i="3"/>
  <c r="Q12" i="3"/>
  <c r="E12" i="3"/>
  <c r="N12" i="3"/>
  <c r="L12" i="3"/>
  <c r="M12" i="3"/>
  <c r="K12" i="3"/>
  <c r="I52" i="2"/>
  <c r="S22" i="4"/>
  <c r="F22" i="4"/>
  <c r="N22" i="4"/>
  <c r="G22" i="4"/>
  <c r="O22" i="4"/>
  <c r="D22" i="4"/>
  <c r="E22" i="4"/>
  <c r="H22" i="4"/>
  <c r="Q22" i="4"/>
  <c r="M22" i="4"/>
  <c r="I22" i="4"/>
  <c r="R22" i="4"/>
  <c r="L22" i="4"/>
  <c r="J22" i="4"/>
  <c r="K22" i="4"/>
  <c r="P22" i="4"/>
  <c r="M59" i="2"/>
  <c r="D29" i="7"/>
  <c r="Q29" i="7"/>
  <c r="F29" i="7"/>
  <c r="R29" i="7"/>
  <c r="G29" i="7"/>
  <c r="H29" i="7"/>
  <c r="I29" i="7"/>
  <c r="J29" i="7"/>
  <c r="N29" i="7"/>
  <c r="O29" i="7"/>
  <c r="S29" i="7"/>
  <c r="L29" i="7"/>
  <c r="P29" i="7"/>
  <c r="E29" i="7"/>
  <c r="M29" i="7"/>
  <c r="K29" i="7"/>
  <c r="G41" i="2"/>
  <c r="I11" i="3"/>
  <c r="J11" i="3"/>
  <c r="O11" i="3"/>
  <c r="P11" i="3"/>
  <c r="D11" i="3"/>
  <c r="Q11" i="3"/>
  <c r="F11" i="3"/>
  <c r="R11" i="3"/>
  <c r="G11" i="3"/>
  <c r="S11" i="3"/>
  <c r="H11" i="3"/>
  <c r="E11" i="3"/>
  <c r="L11" i="3"/>
  <c r="M11" i="3"/>
  <c r="K11" i="3"/>
  <c r="N11" i="3"/>
  <c r="I51" i="2"/>
  <c r="S21" i="4"/>
  <c r="G21" i="4"/>
  <c r="H21" i="4"/>
  <c r="K21" i="4"/>
  <c r="D21" i="4"/>
  <c r="N21" i="4"/>
  <c r="F21" i="4"/>
  <c r="O21" i="4"/>
  <c r="R21" i="4"/>
  <c r="P21" i="4"/>
  <c r="Q21" i="4"/>
  <c r="E21" i="4"/>
  <c r="I21" i="4"/>
  <c r="M21" i="4"/>
  <c r="L21" i="4"/>
  <c r="M58" i="2"/>
  <c r="K28" i="7"/>
  <c r="L28" i="7"/>
  <c r="D28" i="7"/>
  <c r="M28" i="7"/>
  <c r="F28" i="7"/>
  <c r="O28" i="7"/>
  <c r="G28" i="7"/>
  <c r="P28" i="7"/>
  <c r="H28" i="7"/>
  <c r="Q28" i="7"/>
  <c r="I28" i="7"/>
  <c r="R28" i="7"/>
  <c r="J28" i="7"/>
  <c r="S28" i="7"/>
  <c r="E28" i="7"/>
  <c r="N28" i="7"/>
  <c r="M42" i="2"/>
  <c r="J12" i="7"/>
  <c r="O12" i="7"/>
  <c r="P12" i="7"/>
  <c r="D12" i="7"/>
  <c r="Q12" i="7"/>
  <c r="F12" i="7"/>
  <c r="R12" i="7"/>
  <c r="G12" i="7"/>
  <c r="S12" i="7"/>
  <c r="H12" i="7"/>
  <c r="I12" i="7"/>
  <c r="E12" i="7"/>
  <c r="M12" i="7"/>
  <c r="N12" i="7"/>
  <c r="L12" i="7"/>
  <c r="K12" i="7"/>
  <c r="G56" i="2"/>
  <c r="I26" i="3"/>
  <c r="R26" i="3"/>
  <c r="G26" i="3"/>
  <c r="Q26" i="3"/>
  <c r="H26" i="3"/>
  <c r="J26" i="3"/>
  <c r="K26" i="3"/>
  <c r="L26" i="3"/>
  <c r="O26" i="3"/>
  <c r="D26" i="3"/>
  <c r="M26" i="3"/>
  <c r="E26" i="3"/>
  <c r="N26" i="3"/>
  <c r="F26" i="3"/>
  <c r="S26" i="3"/>
  <c r="P26" i="3"/>
  <c r="I58" i="2"/>
  <c r="S28" i="4"/>
  <c r="G28" i="4"/>
  <c r="P28" i="4"/>
  <c r="H28" i="4"/>
  <c r="Q28" i="4"/>
  <c r="I28" i="4"/>
  <c r="R28" i="4"/>
  <c r="J28" i="4"/>
  <c r="K28" i="4"/>
  <c r="M28" i="4"/>
  <c r="O28" i="4"/>
  <c r="L28" i="4"/>
  <c r="F28" i="4"/>
  <c r="D28" i="4"/>
  <c r="N28" i="4"/>
  <c r="E28" i="4"/>
  <c r="M57" i="2"/>
  <c r="H27" i="7"/>
  <c r="Q27" i="7"/>
  <c r="I27" i="7"/>
  <c r="R27" i="7"/>
  <c r="J27" i="7"/>
  <c r="K27" i="7"/>
  <c r="D27" i="7"/>
  <c r="L27" i="7"/>
  <c r="E27" i="7"/>
  <c r="M27" i="7"/>
  <c r="F27" i="7"/>
  <c r="N27" i="7"/>
  <c r="G27" i="7"/>
  <c r="O27" i="7"/>
  <c r="S27" i="7"/>
  <c r="P27" i="7"/>
  <c r="M41" i="2"/>
  <c r="D11" i="7"/>
  <c r="Q11" i="7"/>
  <c r="F11" i="7"/>
  <c r="R11" i="7"/>
  <c r="G11" i="7"/>
  <c r="S11" i="7"/>
  <c r="H11" i="7"/>
  <c r="I11" i="7"/>
  <c r="J11" i="7"/>
  <c r="O11" i="7"/>
  <c r="P11" i="7"/>
  <c r="E11" i="7"/>
  <c r="L11" i="7"/>
  <c r="N11" i="7"/>
  <c r="K11" i="7"/>
  <c r="M11" i="7"/>
  <c r="G54" i="2"/>
  <c r="F24" i="3"/>
  <c r="O24" i="3"/>
  <c r="I24" i="3"/>
  <c r="S24" i="3"/>
  <c r="J24" i="3"/>
  <c r="K24" i="3"/>
  <c r="L24" i="3"/>
  <c r="N24" i="3"/>
  <c r="H24" i="3"/>
  <c r="E24" i="3"/>
  <c r="P24" i="3"/>
  <c r="R24" i="3"/>
  <c r="G24" i="3"/>
  <c r="Q24" i="3"/>
  <c r="D24" i="3"/>
  <c r="M24" i="3"/>
  <c r="G46" i="2"/>
  <c r="G16" i="3"/>
  <c r="O16" i="3"/>
  <c r="H16" i="3"/>
  <c r="P16" i="3"/>
  <c r="I16" i="3"/>
  <c r="Q16" i="3"/>
  <c r="J16" i="3"/>
  <c r="R16" i="3"/>
  <c r="E16" i="3"/>
  <c r="M16" i="3"/>
  <c r="D16" i="3"/>
  <c r="F16" i="3"/>
  <c r="K16" i="3"/>
  <c r="L16" i="3"/>
  <c r="N16" i="3"/>
  <c r="S16" i="3"/>
  <c r="G38" i="2"/>
  <c r="G8" i="3"/>
  <c r="R8" i="3"/>
  <c r="H8" i="3"/>
  <c r="S8" i="3"/>
  <c r="I8" i="3"/>
  <c r="J8" i="3"/>
  <c r="L8" i="3"/>
  <c r="D8" i="3"/>
  <c r="M8" i="3"/>
  <c r="E8" i="3"/>
  <c r="O8" i="3"/>
  <c r="P8" i="3"/>
  <c r="F8" i="3"/>
  <c r="N8" i="3"/>
  <c r="Q8" i="3"/>
  <c r="K8" i="3"/>
  <c r="I56" i="2"/>
  <c r="S26" i="4"/>
  <c r="J26" i="4"/>
  <c r="K26" i="4"/>
  <c r="I26" i="4"/>
  <c r="D26" i="4"/>
  <c r="L26" i="4"/>
  <c r="E26" i="4"/>
  <c r="M26" i="4"/>
  <c r="N26" i="4"/>
  <c r="R26" i="4"/>
  <c r="F26" i="4"/>
  <c r="Q26" i="4"/>
  <c r="G26" i="4"/>
  <c r="O26" i="4"/>
  <c r="H26" i="4"/>
  <c r="P26" i="4"/>
  <c r="I48" i="2"/>
  <c r="S18" i="4"/>
  <c r="H18" i="4"/>
  <c r="Q18" i="4"/>
  <c r="I18" i="4"/>
  <c r="R18" i="4"/>
  <c r="O18" i="4"/>
  <c r="J18" i="4"/>
  <c r="K18" i="4"/>
  <c r="G18" i="4"/>
  <c r="D18" i="4"/>
  <c r="L18" i="4"/>
  <c r="N18" i="4"/>
  <c r="E18" i="4"/>
  <c r="M18" i="4"/>
  <c r="F18" i="4"/>
  <c r="P18" i="4"/>
  <c r="I40" i="2"/>
  <c r="S10" i="4"/>
  <c r="H10" i="4"/>
  <c r="Q10" i="4"/>
  <c r="I10" i="4"/>
  <c r="R10" i="4"/>
  <c r="J10" i="4"/>
  <c r="G10" i="4"/>
  <c r="K10" i="4"/>
  <c r="N10" i="4"/>
  <c r="L10" i="4"/>
  <c r="O10" i="4"/>
  <c r="D10" i="4"/>
  <c r="M10" i="4"/>
  <c r="F10" i="4"/>
  <c r="E10" i="4"/>
  <c r="P10" i="4"/>
  <c r="M55" i="2"/>
  <c r="D25" i="7"/>
  <c r="L25" i="7"/>
  <c r="E25" i="7"/>
  <c r="M25" i="7"/>
  <c r="F25" i="7"/>
  <c r="N25" i="7"/>
  <c r="G25" i="7"/>
  <c r="O25" i="7"/>
  <c r="H25" i="7"/>
  <c r="Q25" i="7"/>
  <c r="I25" i="7"/>
  <c r="R25" i="7"/>
  <c r="J25" i="7"/>
  <c r="K25" i="7"/>
  <c r="S25" i="7"/>
  <c r="P25" i="7"/>
  <c r="M47" i="2"/>
  <c r="J17" i="7"/>
  <c r="S17" i="7"/>
  <c r="K17" i="7"/>
  <c r="D17" i="7"/>
  <c r="L17" i="7"/>
  <c r="E17" i="7"/>
  <c r="M17" i="7"/>
  <c r="F17" i="7"/>
  <c r="N17" i="7"/>
  <c r="G17" i="7"/>
  <c r="O17" i="7"/>
  <c r="H17" i="7"/>
  <c r="Q17" i="7"/>
  <c r="I17" i="7"/>
  <c r="R17" i="7"/>
  <c r="P17" i="7"/>
  <c r="M39" i="2"/>
  <c r="G9" i="7"/>
  <c r="O9" i="7"/>
  <c r="H9" i="7"/>
  <c r="Q9" i="7"/>
  <c r="I9" i="7"/>
  <c r="R9" i="7"/>
  <c r="J9" i="7"/>
  <c r="K9" i="7"/>
  <c r="L9" i="7"/>
  <c r="D9" i="7"/>
  <c r="M9" i="7"/>
  <c r="F9" i="7"/>
  <c r="N9" i="7"/>
  <c r="S9" i="7"/>
  <c r="E9" i="7"/>
  <c r="P9" i="7"/>
  <c r="S6" i="4"/>
  <c r="E6" i="4"/>
  <c r="O6" i="4"/>
  <c r="F6" i="4"/>
  <c r="P6" i="4"/>
  <c r="G6" i="4"/>
  <c r="R6" i="4"/>
  <c r="M6" i="4"/>
  <c r="H6" i="4"/>
  <c r="D6" i="4"/>
  <c r="I6" i="4"/>
  <c r="J6" i="4"/>
  <c r="L6" i="4"/>
  <c r="N6" i="4"/>
  <c r="Q6" i="4"/>
  <c r="K6" i="4"/>
  <c r="G58" i="2"/>
  <c r="F28" i="3"/>
  <c r="O28" i="3"/>
  <c r="H28" i="3"/>
  <c r="R28" i="3"/>
  <c r="I28" i="3"/>
  <c r="S28" i="3"/>
  <c r="J28" i="3"/>
  <c r="K28" i="3"/>
  <c r="Q28" i="3"/>
  <c r="L28" i="3"/>
  <c r="M28" i="3"/>
  <c r="G28" i="3"/>
  <c r="D28" i="3"/>
  <c r="P28" i="3"/>
  <c r="E28" i="3"/>
  <c r="N28" i="3"/>
  <c r="M51" i="2"/>
  <c r="G21" i="7"/>
  <c r="H21" i="7"/>
  <c r="K21" i="7"/>
  <c r="N21" i="7"/>
  <c r="O21" i="7"/>
  <c r="R21" i="7"/>
  <c r="D21" i="7"/>
  <c r="S21" i="7"/>
  <c r="F21" i="7"/>
  <c r="E21" i="7"/>
  <c r="P21" i="7"/>
  <c r="Q21" i="7"/>
  <c r="I21" i="7"/>
  <c r="L21" i="7"/>
  <c r="M21" i="7"/>
  <c r="J21" i="7"/>
  <c r="G6" i="3"/>
  <c r="O6" i="3"/>
  <c r="E6" i="3"/>
  <c r="P6" i="3"/>
  <c r="J6" i="3"/>
  <c r="F6" i="3"/>
  <c r="R6" i="3"/>
  <c r="H6" i="3"/>
  <c r="I6" i="3"/>
  <c r="D6" i="3"/>
  <c r="M6" i="3"/>
  <c r="L6" i="3"/>
  <c r="N6" i="3"/>
  <c r="K6" i="3"/>
  <c r="Q6" i="3"/>
  <c r="G53" i="2"/>
  <c r="E23" i="3"/>
  <c r="N23" i="3"/>
  <c r="P23" i="3"/>
  <c r="S23" i="3"/>
  <c r="H23" i="3"/>
  <c r="Q23" i="3"/>
  <c r="I23" i="3"/>
  <c r="F23" i="3"/>
  <c r="K23" i="3"/>
  <c r="O23" i="3"/>
  <c r="R23" i="3"/>
  <c r="G23" i="3"/>
  <c r="L23" i="3"/>
  <c r="M23" i="3"/>
  <c r="J23" i="3"/>
  <c r="G45" i="2"/>
  <c r="D15" i="3"/>
  <c r="M15" i="3"/>
  <c r="E15" i="3"/>
  <c r="O15" i="3"/>
  <c r="F15" i="3"/>
  <c r="P15" i="3"/>
  <c r="G15" i="3"/>
  <c r="R15" i="3"/>
  <c r="J15" i="3"/>
  <c r="S15" i="3"/>
  <c r="H15" i="3"/>
  <c r="I15" i="3"/>
  <c r="L15" i="3"/>
  <c r="N15" i="3"/>
  <c r="Q15" i="3"/>
  <c r="K15" i="3"/>
  <c r="I38" i="2"/>
  <c r="S8" i="4"/>
  <c r="H8" i="4"/>
  <c r="I8" i="4"/>
  <c r="G8" i="4"/>
  <c r="J8" i="4"/>
  <c r="L8" i="4"/>
  <c r="R8" i="4"/>
  <c r="D8" i="4"/>
  <c r="M8" i="4"/>
  <c r="E8" i="4"/>
  <c r="O8" i="4"/>
  <c r="F8" i="4"/>
  <c r="P8" i="4"/>
  <c r="N8" i="4"/>
  <c r="Q8" i="4"/>
  <c r="K8" i="4"/>
  <c r="I55" i="2"/>
  <c r="S25" i="4"/>
  <c r="H25" i="4"/>
  <c r="Q25" i="4"/>
  <c r="I25" i="4"/>
  <c r="R25" i="4"/>
  <c r="J25" i="4"/>
  <c r="F25" i="4"/>
  <c r="K25" i="4"/>
  <c r="D25" i="4"/>
  <c r="L25" i="4"/>
  <c r="N25" i="4"/>
  <c r="O25" i="4"/>
  <c r="E25" i="4"/>
  <c r="M25" i="4"/>
  <c r="G25" i="4"/>
  <c r="P25" i="4"/>
  <c r="I47" i="2"/>
  <c r="S17" i="4"/>
  <c r="F17" i="4"/>
  <c r="N17" i="4"/>
  <c r="G17" i="4"/>
  <c r="O17" i="4"/>
  <c r="H17" i="4"/>
  <c r="Q17" i="4"/>
  <c r="L17" i="4"/>
  <c r="I17" i="4"/>
  <c r="R17" i="4"/>
  <c r="D17" i="4"/>
  <c r="E17" i="4"/>
  <c r="J17" i="4"/>
  <c r="K17" i="4"/>
  <c r="M17" i="4"/>
  <c r="P17" i="4"/>
  <c r="I39" i="2"/>
  <c r="S9" i="4"/>
  <c r="D9" i="4"/>
  <c r="M9" i="4"/>
  <c r="F9" i="4"/>
  <c r="N9" i="4"/>
  <c r="G9" i="4"/>
  <c r="O9" i="4"/>
  <c r="H9" i="4"/>
  <c r="Q9" i="4"/>
  <c r="I9" i="4"/>
  <c r="R9" i="4"/>
  <c r="J9" i="4"/>
  <c r="K9" i="4"/>
  <c r="L9" i="4"/>
  <c r="E9" i="4"/>
  <c r="P9" i="4"/>
  <c r="M54" i="2"/>
  <c r="K24" i="7"/>
  <c r="L24" i="7"/>
  <c r="E24" i="7"/>
  <c r="N24" i="7"/>
  <c r="F24" i="7"/>
  <c r="O24" i="7"/>
  <c r="G24" i="7"/>
  <c r="P24" i="7"/>
  <c r="H24" i="7"/>
  <c r="Q24" i="7"/>
  <c r="I24" i="7"/>
  <c r="R24" i="7"/>
  <c r="J24" i="7"/>
  <c r="S24" i="7"/>
  <c r="M24" i="7"/>
  <c r="D24" i="7"/>
  <c r="M46" i="2"/>
  <c r="J16" i="7"/>
  <c r="R16" i="7"/>
  <c r="K16" i="7"/>
  <c r="S16" i="7"/>
  <c r="D16" i="7"/>
  <c r="L16" i="7"/>
  <c r="E16" i="7"/>
  <c r="M16" i="7"/>
  <c r="F16" i="7"/>
  <c r="N16" i="7"/>
  <c r="G16" i="7"/>
  <c r="O16" i="7"/>
  <c r="H16" i="7"/>
  <c r="P16" i="7"/>
  <c r="I16" i="7"/>
  <c r="Q16" i="7"/>
  <c r="M38" i="2"/>
  <c r="L8" i="7"/>
  <c r="D8" i="7"/>
  <c r="M8" i="7"/>
  <c r="E8" i="7"/>
  <c r="O8" i="7"/>
  <c r="F8" i="7"/>
  <c r="P8" i="7"/>
  <c r="G8" i="7"/>
  <c r="R8" i="7"/>
  <c r="H8" i="7"/>
  <c r="S8" i="7"/>
  <c r="I8" i="7"/>
  <c r="J8" i="7"/>
  <c r="N8" i="7"/>
  <c r="K8" i="7"/>
  <c r="Q8" i="7"/>
  <c r="G59" i="2"/>
  <c r="H29" i="3"/>
  <c r="O29" i="3"/>
  <c r="Q29" i="3"/>
  <c r="F29" i="3"/>
  <c r="N29" i="3"/>
  <c r="D29" i="3"/>
  <c r="R29" i="3"/>
  <c r="I29" i="3"/>
  <c r="G29" i="3"/>
  <c r="J29" i="3"/>
  <c r="S29" i="3"/>
  <c r="L29" i="3"/>
  <c r="P29" i="3"/>
  <c r="E29" i="3"/>
  <c r="M29" i="3"/>
  <c r="K29" i="3"/>
  <c r="G60" i="2"/>
  <c r="N30" i="3"/>
  <c r="E30" i="3"/>
  <c r="S30" i="3"/>
  <c r="P30" i="3"/>
  <c r="D30" i="3"/>
  <c r="H30" i="3"/>
  <c r="Q30" i="3"/>
  <c r="L30" i="3"/>
  <c r="F30" i="3"/>
  <c r="K30" i="3"/>
  <c r="O30" i="3"/>
  <c r="M30" i="3"/>
  <c r="I30" i="3"/>
  <c r="R30" i="3"/>
  <c r="G30" i="3"/>
  <c r="J30" i="3"/>
  <c r="G52" i="2"/>
  <c r="J22" i="3"/>
  <c r="K22" i="3"/>
  <c r="D22" i="3"/>
  <c r="E22" i="3"/>
  <c r="H22" i="3"/>
  <c r="Q22" i="3"/>
  <c r="F22" i="3"/>
  <c r="S22" i="3"/>
  <c r="G22" i="3"/>
  <c r="R22" i="3"/>
  <c r="I22" i="3"/>
  <c r="L22" i="3"/>
  <c r="M22" i="3"/>
  <c r="N22" i="3"/>
  <c r="O22" i="3"/>
  <c r="P22" i="3"/>
  <c r="G44" i="2"/>
  <c r="K14" i="3"/>
  <c r="D14" i="3"/>
  <c r="L14" i="3"/>
  <c r="E14" i="3"/>
  <c r="M14" i="3"/>
  <c r="F14" i="3"/>
  <c r="O14" i="3"/>
  <c r="G14" i="3"/>
  <c r="P14" i="3"/>
  <c r="H14" i="3"/>
  <c r="I14" i="3"/>
  <c r="R14" i="3"/>
  <c r="J14" i="3"/>
  <c r="Q14" i="3"/>
  <c r="S14" i="3"/>
  <c r="N14" i="3"/>
  <c r="I37" i="2"/>
  <c r="S7" i="4"/>
  <c r="E7" i="4"/>
  <c r="N7" i="4"/>
  <c r="P7" i="4"/>
  <c r="H7" i="4"/>
  <c r="D7" i="4"/>
  <c r="Q7" i="4"/>
  <c r="K7" i="4"/>
  <c r="O7" i="4"/>
  <c r="M7" i="4"/>
  <c r="F7" i="4"/>
  <c r="R7" i="4"/>
  <c r="J7" i="4"/>
  <c r="I7" i="4"/>
  <c r="G7" i="4"/>
  <c r="L7" i="4"/>
  <c r="I54" i="2"/>
  <c r="S24" i="4"/>
  <c r="F24" i="4"/>
  <c r="O24" i="4"/>
  <c r="G24" i="4"/>
  <c r="P24" i="4"/>
  <c r="H24" i="4"/>
  <c r="Q24" i="4"/>
  <c r="I24" i="4"/>
  <c r="R24" i="4"/>
  <c r="N24" i="4"/>
  <c r="J24" i="4"/>
  <c r="L24" i="4"/>
  <c r="K24" i="4"/>
  <c r="E24" i="4"/>
  <c r="D24" i="4"/>
  <c r="M24" i="4"/>
  <c r="I46" i="2"/>
  <c r="S16" i="4"/>
  <c r="E16" i="4"/>
  <c r="M16" i="4"/>
  <c r="F16" i="4"/>
  <c r="N16" i="4"/>
  <c r="D16" i="4"/>
  <c r="G16" i="4"/>
  <c r="O16" i="4"/>
  <c r="L16" i="4"/>
  <c r="H16" i="4"/>
  <c r="P16" i="4"/>
  <c r="I16" i="4"/>
  <c r="Q16" i="4"/>
  <c r="J16" i="4"/>
  <c r="R16" i="4"/>
  <c r="K16" i="4"/>
  <c r="I6" i="5"/>
  <c r="D6" i="5"/>
  <c r="J6" i="5"/>
  <c r="L6" i="5"/>
  <c r="M6" i="5"/>
  <c r="E6" i="5"/>
  <c r="O6" i="5"/>
  <c r="F6" i="5"/>
  <c r="P6" i="5"/>
  <c r="G6" i="5"/>
  <c r="R6" i="5"/>
  <c r="H6" i="5"/>
  <c r="S6" i="5"/>
  <c r="N6" i="5"/>
  <c r="Q6" i="5"/>
  <c r="K6" i="5"/>
  <c r="M53" i="2"/>
  <c r="P23" i="7"/>
  <c r="S23" i="7"/>
  <c r="E23" i="7"/>
  <c r="N23" i="7"/>
  <c r="D23" i="7"/>
  <c r="H23" i="7"/>
  <c r="Q23" i="7"/>
  <c r="M23" i="7"/>
  <c r="L23" i="7"/>
  <c r="O23" i="7"/>
  <c r="K23" i="7"/>
  <c r="F23" i="7"/>
  <c r="J23" i="7"/>
  <c r="R23" i="7"/>
  <c r="G23" i="7"/>
  <c r="I23" i="7"/>
  <c r="M45" i="2"/>
  <c r="G15" i="7"/>
  <c r="R15" i="7"/>
  <c r="H15" i="7"/>
  <c r="S15" i="7"/>
  <c r="I15" i="7"/>
  <c r="J15" i="7"/>
  <c r="L15" i="7"/>
  <c r="D15" i="7"/>
  <c r="M15" i="7"/>
  <c r="E15" i="7"/>
  <c r="O15" i="7"/>
  <c r="P15" i="7"/>
  <c r="F15" i="7"/>
  <c r="N15" i="7"/>
  <c r="K15" i="7"/>
  <c r="Q15" i="7"/>
  <c r="M37" i="2"/>
  <c r="S7" i="7"/>
  <c r="E7" i="7"/>
  <c r="N7" i="7"/>
  <c r="P7" i="7"/>
  <c r="H7" i="7"/>
  <c r="D7" i="7"/>
  <c r="Q7" i="7"/>
  <c r="M7" i="7"/>
  <c r="G7" i="7"/>
  <c r="L7" i="7"/>
  <c r="K7" i="7"/>
  <c r="O7" i="7"/>
  <c r="J7" i="7"/>
  <c r="R7" i="7"/>
  <c r="I7" i="7"/>
  <c r="F7" i="7"/>
  <c r="G63" i="2" l="1"/>
  <c r="D29" i="32" s="1"/>
  <c r="I63" i="2"/>
  <c r="D20" i="32" s="1"/>
  <c r="M63" i="2"/>
  <c r="D33" i="7"/>
  <c r="D33" i="4"/>
  <c r="D33" i="5"/>
  <c r="S33" i="5"/>
  <c r="N33" i="5"/>
  <c r="L33" i="5"/>
  <c r="R33" i="5"/>
  <c r="M33" i="5"/>
  <c r="P33" i="5"/>
  <c r="K33" i="5"/>
  <c r="Q33" i="5"/>
  <c r="O33" i="5"/>
  <c r="J33" i="5"/>
  <c r="H33" i="5"/>
  <c r="G33" i="5"/>
  <c r="I33" i="5"/>
  <c r="F33" i="5"/>
  <c r="T33" i="3"/>
  <c r="D33" i="3"/>
  <c r="O33" i="3"/>
  <c r="K33" i="4"/>
  <c r="M33" i="4"/>
  <c r="L33" i="3"/>
  <c r="R33" i="7"/>
  <c r="J33" i="7"/>
  <c r="S33" i="3"/>
  <c r="G33" i="3"/>
  <c r="J33" i="4"/>
  <c r="F33" i="4"/>
  <c r="G33" i="7"/>
  <c r="I33" i="3"/>
  <c r="P33" i="4"/>
  <c r="H33" i="3"/>
  <c r="I33" i="4"/>
  <c r="I33" i="7"/>
  <c r="L33" i="4"/>
  <c r="Q33" i="3"/>
  <c r="K33" i="3"/>
  <c r="R33" i="3"/>
  <c r="K33" i="7"/>
  <c r="F33" i="7"/>
  <c r="O33" i="4"/>
  <c r="P33" i="7"/>
  <c r="N33" i="3"/>
  <c r="F33" i="3"/>
  <c r="H33" i="4"/>
  <c r="S33" i="4"/>
  <c r="Q33" i="7"/>
  <c r="O33" i="7"/>
  <c r="J33" i="3"/>
  <c r="E9" i="19"/>
  <c r="M33" i="3"/>
  <c r="P33" i="3"/>
  <c r="Q33" i="4"/>
  <c r="R33" i="4"/>
  <c r="H33" i="7"/>
  <c r="M33" i="7"/>
  <c r="N33" i="7"/>
  <c r="E6" i="19"/>
  <c r="N33" i="4"/>
  <c r="G33" i="4"/>
  <c r="S33" i="7"/>
  <c r="L33" i="7"/>
  <c r="S26" i="32" l="1"/>
  <c r="S28" i="32" s="1"/>
  <c r="E26" i="32"/>
  <c r="E28" i="32" s="1"/>
  <c r="N26" i="32"/>
  <c r="N28" i="32" s="1"/>
  <c r="M26" i="32"/>
  <c r="M28" i="32" s="1"/>
  <c r="K26" i="32"/>
  <c r="K28" i="32" s="1"/>
  <c r="L26" i="32"/>
  <c r="L28" i="32" s="1"/>
  <c r="J26" i="32"/>
  <c r="J28" i="32" s="1"/>
  <c r="H26" i="32"/>
  <c r="H28" i="32" s="1"/>
  <c r="I26" i="32"/>
  <c r="I28" i="32" s="1"/>
  <c r="T26" i="32"/>
  <c r="T28" i="32" s="1"/>
  <c r="D26" i="32"/>
  <c r="D28" i="32" s="1"/>
  <c r="P26" i="32"/>
  <c r="P28" i="32" s="1"/>
  <c r="Q26" i="32"/>
  <c r="Q28" i="32" s="1"/>
  <c r="G26" i="32"/>
  <c r="G28" i="32" s="1"/>
  <c r="R26" i="32"/>
  <c r="R28" i="32" s="1"/>
  <c r="F26" i="32"/>
  <c r="F28" i="32" s="1"/>
  <c r="O26" i="32"/>
  <c r="O28" i="32" s="1"/>
  <c r="S17" i="32"/>
  <c r="S19" i="32" s="1"/>
  <c r="M17" i="32"/>
  <c r="M19" i="32" s="1"/>
  <c r="I17" i="32"/>
  <c r="I19" i="32" s="1"/>
  <c r="J17" i="32"/>
  <c r="J19" i="32" s="1"/>
  <c r="P17" i="32"/>
  <c r="P19" i="32" s="1"/>
  <c r="T17" i="32"/>
  <c r="T19" i="32" s="1"/>
  <c r="H17" i="32"/>
  <c r="H19" i="32" s="1"/>
  <c r="K17" i="32"/>
  <c r="K19" i="32" s="1"/>
  <c r="N17" i="32"/>
  <c r="N19" i="32" s="1"/>
  <c r="F17" i="32"/>
  <c r="F19" i="32" s="1"/>
  <c r="E17" i="32"/>
  <c r="E19" i="32" s="1"/>
  <c r="L17" i="32"/>
  <c r="L19" i="32" s="1"/>
  <c r="G17" i="32"/>
  <c r="G19" i="32" s="1"/>
  <c r="R17" i="32"/>
  <c r="R19" i="32" s="1"/>
  <c r="Q17" i="32"/>
  <c r="Q19" i="32" s="1"/>
  <c r="O17" i="32"/>
  <c r="O19" i="32" s="1"/>
  <c r="D9" i="19"/>
  <c r="L9" i="19"/>
  <c r="R9" i="19"/>
  <c r="G9" i="19"/>
  <c r="P9" i="19"/>
  <c r="I9" i="19"/>
  <c r="N9" i="19"/>
  <c r="M9" i="19"/>
  <c r="O9" i="19"/>
  <c r="F9" i="19"/>
  <c r="H9" i="19"/>
  <c r="Q9" i="19"/>
  <c r="K9" i="19"/>
  <c r="J9" i="19"/>
  <c r="R7" i="19"/>
  <c r="H7" i="19"/>
  <c r="G7" i="19"/>
  <c r="Q7" i="19"/>
  <c r="E7" i="19"/>
  <c r="M7" i="19"/>
  <c r="P7" i="19"/>
  <c r="N7" i="19"/>
  <c r="L7" i="19"/>
  <c r="F7" i="19"/>
  <c r="K7" i="19"/>
  <c r="O7" i="19"/>
  <c r="J7" i="19"/>
  <c r="D7" i="19"/>
  <c r="I7" i="19"/>
  <c r="D8" i="19"/>
  <c r="Q8" i="19"/>
  <c r="I8" i="19"/>
  <c r="P8" i="19"/>
  <c r="F8" i="19"/>
  <c r="G8" i="19"/>
  <c r="M8" i="19"/>
  <c r="H8" i="19"/>
  <c r="R8" i="19"/>
  <c r="E8" i="19"/>
  <c r="L8" i="19"/>
  <c r="K8" i="19"/>
  <c r="J8" i="19"/>
  <c r="N8" i="19"/>
  <c r="O8" i="19"/>
  <c r="S8" i="15"/>
  <c r="J18" i="18"/>
  <c r="L18" i="15"/>
  <c r="N8" i="15"/>
  <c r="M17" i="17"/>
  <c r="I8" i="15"/>
  <c r="J8" i="15"/>
  <c r="J8" i="17"/>
  <c r="N17" i="17"/>
  <c r="G8" i="15"/>
  <c r="G18" i="18"/>
  <c r="M18" i="15"/>
  <c r="J18" i="15"/>
  <c r="N8" i="17"/>
  <c r="P18" i="18"/>
  <c r="P17" i="17"/>
  <c r="P8" i="18"/>
  <c r="J17" i="17"/>
  <c r="N8" i="18"/>
  <c r="P8" i="15"/>
  <c r="O17" i="17"/>
  <c r="O8" i="18"/>
  <c r="S17" i="17"/>
  <c r="O18" i="18"/>
  <c r="S18" i="18"/>
  <c r="R18" i="15"/>
  <c r="O18" i="15"/>
  <c r="N18" i="15"/>
  <c r="I17" i="17"/>
  <c r="N18" i="18"/>
  <c r="S18" i="15"/>
  <c r="P18" i="15"/>
  <c r="P8" i="17"/>
  <c r="J8" i="18"/>
  <c r="G8" i="18"/>
  <c r="M8" i="15"/>
  <c r="M8" i="17"/>
  <c r="G17" i="17"/>
  <c r="G8" i="17"/>
  <c r="M18" i="18"/>
  <c r="G18" i="15"/>
  <c r="M8" i="18"/>
  <c r="Q8" i="17"/>
  <c r="O8" i="15"/>
  <c r="I8" i="17"/>
  <c r="S8" i="19"/>
  <c r="O8" i="17"/>
  <c r="I18" i="18"/>
  <c r="I8" i="18"/>
  <c r="S8" i="17"/>
  <c r="I18" i="15"/>
  <c r="S8" i="18"/>
  <c r="E17" i="17"/>
  <c r="E8" i="18"/>
  <c r="K8" i="15"/>
  <c r="L8" i="17"/>
  <c r="K18" i="18"/>
  <c r="F18" i="18"/>
  <c r="F18" i="15"/>
  <c r="E18" i="15"/>
  <c r="K8" i="18"/>
  <c r="F8" i="18"/>
  <c r="F8" i="15"/>
  <c r="E8" i="15"/>
  <c r="E18" i="18"/>
  <c r="L8" i="15"/>
  <c r="E8" i="17"/>
  <c r="L18" i="18"/>
  <c r="K17" i="17"/>
  <c r="F17" i="17"/>
  <c r="L8" i="18"/>
  <c r="K8" i="17"/>
  <c r="F8" i="17"/>
  <c r="K18" i="15"/>
  <c r="L17" i="17"/>
  <c r="R18" i="18"/>
  <c r="Q18" i="15"/>
  <c r="H8" i="17"/>
  <c r="R8" i="18"/>
  <c r="Q8" i="15"/>
  <c r="Q17" i="17"/>
  <c r="R17" i="17"/>
  <c r="R8" i="17"/>
  <c r="R8" i="15"/>
  <c r="Q18" i="18"/>
  <c r="Q8" i="18"/>
  <c r="H18" i="15"/>
  <c r="H8" i="15"/>
  <c r="H17" i="17"/>
  <c r="H18" i="18"/>
  <c r="H8" i="18"/>
  <c r="D8" i="18"/>
  <c r="D18" i="18"/>
  <c r="D17" i="17"/>
  <c r="D18" i="15"/>
  <c r="D8" i="15"/>
  <c r="D8" i="17"/>
  <c r="I6" i="19"/>
  <c r="P6" i="19"/>
  <c r="F6" i="19"/>
  <c r="G6" i="19"/>
  <c r="J6" i="19"/>
  <c r="H6" i="19"/>
  <c r="R6" i="19"/>
  <c r="K6" i="19"/>
  <c r="L6" i="19"/>
  <c r="M6" i="19"/>
  <c r="N6" i="19"/>
  <c r="Q6" i="19"/>
  <c r="D6" i="19"/>
  <c r="O6" i="19"/>
  <c r="S17" i="18"/>
  <c r="S7" i="17"/>
  <c r="S7" i="19"/>
  <c r="S7" i="15"/>
  <c r="S17" i="15"/>
  <c r="S7" i="18"/>
  <c r="S16" i="17"/>
  <c r="S9" i="19"/>
  <c r="S18" i="17"/>
  <c r="S19" i="18"/>
  <c r="S9" i="15"/>
  <c r="S19" i="15"/>
  <c r="S9" i="18"/>
  <c r="S9" i="17"/>
  <c r="S16" i="15"/>
  <c r="S6" i="18"/>
  <c r="S6" i="15"/>
  <c r="S16" i="18"/>
  <c r="S15" i="17"/>
  <c r="Q7" i="6"/>
  <c r="S6" i="17"/>
  <c r="S6" i="19"/>
  <c r="J6" i="15"/>
  <c r="Q6" i="18"/>
  <c r="Q16" i="18"/>
  <c r="H6" i="18"/>
  <c r="H16" i="18"/>
  <c r="N7" i="18"/>
  <c r="N17" i="18"/>
  <c r="K6" i="18"/>
  <c r="K16" i="18"/>
  <c r="K9" i="18"/>
  <c r="K19" i="18"/>
  <c r="M7" i="18"/>
  <c r="M17" i="18"/>
  <c r="M6" i="18"/>
  <c r="M16" i="18"/>
  <c r="Q7" i="18"/>
  <c r="Q17" i="18"/>
  <c r="G6" i="18"/>
  <c r="G16" i="18"/>
  <c r="O9" i="18"/>
  <c r="O19" i="18"/>
  <c r="M9" i="18"/>
  <c r="M19" i="18"/>
  <c r="O6" i="18"/>
  <c r="O16" i="18"/>
  <c r="G9" i="18"/>
  <c r="G19" i="18"/>
  <c r="N9" i="18"/>
  <c r="N19" i="18"/>
  <c r="J6" i="18"/>
  <c r="J16" i="18"/>
  <c r="I7" i="18"/>
  <c r="I17" i="18"/>
  <c r="R7" i="18"/>
  <c r="R17" i="18"/>
  <c r="E6" i="18"/>
  <c r="E16" i="18"/>
  <c r="O7" i="18"/>
  <c r="O17" i="18"/>
  <c r="F6" i="18"/>
  <c r="F16" i="18"/>
  <c r="N6" i="18"/>
  <c r="N16" i="18"/>
  <c r="P6" i="18"/>
  <c r="P16" i="18"/>
  <c r="P9" i="18"/>
  <c r="P19" i="18"/>
  <c r="L9" i="18"/>
  <c r="L19" i="18"/>
  <c r="R9" i="18"/>
  <c r="R19" i="18"/>
  <c r="F9" i="18"/>
  <c r="F19" i="18"/>
  <c r="J7" i="18"/>
  <c r="J17" i="18"/>
  <c r="H7" i="18"/>
  <c r="H17" i="18"/>
  <c r="L6" i="18"/>
  <c r="L16" i="18"/>
  <c r="J9" i="18"/>
  <c r="J19" i="18"/>
  <c r="F7" i="18"/>
  <c r="F17" i="18"/>
  <c r="I9" i="18"/>
  <c r="I19" i="18"/>
  <c r="I6" i="18"/>
  <c r="I16" i="18"/>
  <c r="R6" i="18"/>
  <c r="R16" i="18"/>
  <c r="L7" i="18"/>
  <c r="L17" i="18"/>
  <c r="Q9" i="18"/>
  <c r="Q19" i="18"/>
  <c r="H9" i="18"/>
  <c r="H19" i="18"/>
  <c r="G7" i="18"/>
  <c r="G17" i="18"/>
  <c r="E9" i="18"/>
  <c r="E19" i="18"/>
  <c r="E7" i="18"/>
  <c r="E17" i="18"/>
  <c r="K7" i="18"/>
  <c r="K17" i="18"/>
  <c r="P7" i="18"/>
  <c r="P17" i="18"/>
  <c r="D9" i="18"/>
  <c r="D19" i="18"/>
  <c r="D7" i="18"/>
  <c r="D17" i="18"/>
  <c r="D6" i="18"/>
  <c r="D16" i="18"/>
  <c r="R7" i="17"/>
  <c r="R16" i="17"/>
  <c r="M9" i="17"/>
  <c r="M18" i="17"/>
  <c r="J9" i="17"/>
  <c r="J18" i="17"/>
  <c r="K6" i="17"/>
  <c r="K15" i="17"/>
  <c r="P6" i="17"/>
  <c r="P15" i="17"/>
  <c r="F7" i="17"/>
  <c r="F16" i="17"/>
  <c r="O6" i="17"/>
  <c r="O15" i="17"/>
  <c r="K9" i="17"/>
  <c r="K18" i="17"/>
  <c r="M7" i="17"/>
  <c r="M16" i="17"/>
  <c r="M6" i="17"/>
  <c r="M15" i="17"/>
  <c r="Q7" i="17"/>
  <c r="Q16" i="17"/>
  <c r="G6" i="17"/>
  <c r="G15" i="17"/>
  <c r="I7" i="17"/>
  <c r="I16" i="17"/>
  <c r="L9" i="17"/>
  <c r="L18" i="17"/>
  <c r="F9" i="17"/>
  <c r="F18" i="17"/>
  <c r="J7" i="17"/>
  <c r="J16" i="17"/>
  <c r="H7" i="17"/>
  <c r="H16" i="17"/>
  <c r="J6" i="17"/>
  <c r="J15" i="17"/>
  <c r="I9" i="17"/>
  <c r="I18" i="17"/>
  <c r="I6" i="17"/>
  <c r="I15" i="17"/>
  <c r="R6" i="17"/>
  <c r="R15" i="17"/>
  <c r="L7" i="17"/>
  <c r="L16" i="17"/>
  <c r="N9" i="17"/>
  <c r="N18" i="17"/>
  <c r="E6" i="17"/>
  <c r="E15" i="17"/>
  <c r="R9" i="17"/>
  <c r="R18" i="17"/>
  <c r="E7" i="17"/>
  <c r="E16" i="17"/>
  <c r="K7" i="17"/>
  <c r="K16" i="17"/>
  <c r="P7" i="17"/>
  <c r="P16" i="17"/>
  <c r="P9" i="17"/>
  <c r="P18" i="17"/>
  <c r="E9" i="17"/>
  <c r="E18" i="17"/>
  <c r="Q9" i="17"/>
  <c r="Q18" i="17"/>
  <c r="Q6" i="17"/>
  <c r="Q15" i="17"/>
  <c r="O7" i="17"/>
  <c r="O16" i="17"/>
  <c r="F6" i="17"/>
  <c r="F15" i="17"/>
  <c r="H6" i="17"/>
  <c r="H15" i="17"/>
  <c r="G9" i="17"/>
  <c r="G18" i="17"/>
  <c r="O9" i="17"/>
  <c r="O18" i="17"/>
  <c r="H9" i="17"/>
  <c r="H18" i="17"/>
  <c r="L6" i="17"/>
  <c r="L15" i="17"/>
  <c r="N7" i="17"/>
  <c r="N16" i="17"/>
  <c r="N6" i="17"/>
  <c r="N15" i="17"/>
  <c r="G7" i="17"/>
  <c r="G16" i="17"/>
  <c r="D9" i="17"/>
  <c r="D18" i="17"/>
  <c r="D7" i="17"/>
  <c r="D16" i="17"/>
  <c r="D6" i="17"/>
  <c r="D15" i="17"/>
  <c r="P9" i="15"/>
  <c r="P19" i="15"/>
  <c r="L9" i="15"/>
  <c r="L19" i="15"/>
  <c r="R9" i="15"/>
  <c r="R19" i="15"/>
  <c r="F9" i="15"/>
  <c r="F19" i="15"/>
  <c r="J7" i="15"/>
  <c r="J17" i="15"/>
  <c r="H7" i="15"/>
  <c r="H17" i="15"/>
  <c r="N9" i="15"/>
  <c r="N19" i="15"/>
  <c r="E9" i="15"/>
  <c r="E19" i="15"/>
  <c r="E7" i="15"/>
  <c r="E17" i="15"/>
  <c r="K7" i="15"/>
  <c r="K17" i="15"/>
  <c r="P7" i="15"/>
  <c r="P17" i="15"/>
  <c r="E6" i="15"/>
  <c r="E16" i="15"/>
  <c r="Q9" i="15"/>
  <c r="Q19" i="15"/>
  <c r="Q6" i="15"/>
  <c r="Q16" i="15"/>
  <c r="O7" i="15"/>
  <c r="O17" i="15"/>
  <c r="F6" i="15"/>
  <c r="F16" i="15"/>
  <c r="H6" i="15"/>
  <c r="H16" i="15"/>
  <c r="I7" i="15"/>
  <c r="I17" i="15"/>
  <c r="I9" i="15"/>
  <c r="I19" i="15"/>
  <c r="L7" i="15"/>
  <c r="L17" i="15"/>
  <c r="O9" i="15"/>
  <c r="O19" i="15"/>
  <c r="H9" i="15"/>
  <c r="H19" i="15"/>
  <c r="L6" i="15"/>
  <c r="L16" i="15"/>
  <c r="N7" i="15"/>
  <c r="N17" i="15"/>
  <c r="N6" i="15"/>
  <c r="N16" i="15"/>
  <c r="G7" i="15"/>
  <c r="G17" i="15"/>
  <c r="J16" i="15"/>
  <c r="M9" i="15"/>
  <c r="M19" i="15"/>
  <c r="J9" i="15"/>
  <c r="J19" i="15"/>
  <c r="K6" i="15"/>
  <c r="K16" i="15"/>
  <c r="P6" i="15"/>
  <c r="P16" i="15"/>
  <c r="F7" i="15"/>
  <c r="F17" i="15"/>
  <c r="O6" i="15"/>
  <c r="O16" i="15"/>
  <c r="G9" i="15"/>
  <c r="G19" i="15"/>
  <c r="R7" i="15"/>
  <c r="R17" i="15"/>
  <c r="I6" i="15"/>
  <c r="I16" i="15"/>
  <c r="R6" i="15"/>
  <c r="R16" i="15"/>
  <c r="K9" i="15"/>
  <c r="K19" i="15"/>
  <c r="M7" i="15"/>
  <c r="M17" i="15"/>
  <c r="M6" i="15"/>
  <c r="M16" i="15"/>
  <c r="Q7" i="15"/>
  <c r="Q17" i="15"/>
  <c r="G6" i="15"/>
  <c r="G16" i="15"/>
  <c r="D9" i="15"/>
  <c r="D19" i="15"/>
  <c r="D7" i="15"/>
  <c r="D17" i="15"/>
  <c r="D6" i="15"/>
  <c r="D16" i="15"/>
  <c r="D7" i="6"/>
  <c r="F7" i="6"/>
  <c r="B7" i="6"/>
  <c r="K7" i="6"/>
  <c r="H7" i="6"/>
  <c r="E7" i="6"/>
  <c r="J7" i="6"/>
  <c r="L7" i="6"/>
  <c r="G7" i="6"/>
  <c r="O7" i="6"/>
  <c r="P7" i="6"/>
  <c r="C7" i="6"/>
  <c r="I7" i="6"/>
  <c r="M7" i="6"/>
  <c r="N7" i="6"/>
  <c r="U19" i="32" l="1"/>
  <c r="W19" i="32" s="1"/>
  <c r="J5" i="20" s="1"/>
  <c r="U28" i="32"/>
  <c r="W28" i="32" s="1"/>
  <c r="J4" i="20" s="1"/>
  <c r="U8" i="19"/>
  <c r="I6" i="20" s="1"/>
  <c r="U8" i="15"/>
  <c r="C6" i="20" s="1"/>
  <c r="U18" i="15"/>
  <c r="D6" i="20" s="1"/>
  <c r="U17" i="17"/>
  <c r="U8" i="18"/>
  <c r="E6" i="20" s="1"/>
  <c r="U8" i="17"/>
  <c r="G6" i="20" s="1"/>
  <c r="U18" i="18"/>
  <c r="F6" i="20" s="1"/>
  <c r="U7" i="19"/>
  <c r="I5" i="20" s="1"/>
  <c r="U9" i="19"/>
  <c r="I7" i="20" s="1"/>
  <c r="U6" i="15"/>
  <c r="U6" i="19"/>
  <c r="I4" i="20" s="1"/>
  <c r="U16" i="15"/>
  <c r="U17" i="15"/>
  <c r="D5" i="20" s="1"/>
  <c r="U16" i="18"/>
  <c r="U15" i="17"/>
  <c r="U6" i="17"/>
  <c r="U18" i="17"/>
  <c r="U16" i="17"/>
  <c r="U17" i="18"/>
  <c r="F5" i="20" s="1"/>
  <c r="U19" i="18"/>
  <c r="F7" i="20" s="1"/>
  <c r="U19" i="15"/>
  <c r="D7" i="20" s="1"/>
  <c r="U9" i="17"/>
  <c r="G7" i="20" s="1"/>
  <c r="U7" i="17"/>
  <c r="G5" i="20" s="1"/>
  <c r="U7" i="18"/>
  <c r="E5" i="20" s="1"/>
  <c r="U7" i="15"/>
  <c r="C5" i="20" s="1"/>
  <c r="U9" i="18"/>
  <c r="E7" i="20" s="1"/>
  <c r="U9" i="15"/>
  <c r="C7" i="20" s="1"/>
  <c r="U6" i="18"/>
  <c r="I8" i="20" l="1"/>
  <c r="D4" i="20"/>
  <c r="E4" i="20"/>
  <c r="C4" i="20"/>
  <c r="G4" i="20"/>
  <c r="F4" i="20"/>
  <c r="G8" i="20" l="1"/>
  <c r="C8" i="20"/>
  <c r="F8" i="20"/>
  <c r="D8" i="20"/>
  <c r="E8" i="20"/>
  <c r="H4" i="20"/>
  <c r="H5" i="20"/>
  <c r="H7" i="20"/>
  <c r="H6" i="20"/>
  <c r="H8" i="20" l="1"/>
  <c r="K63" i="2"/>
  <c r="T7" i="32" l="1"/>
  <c r="T9" i="32" s="1"/>
  <c r="J7" i="32"/>
  <c r="J9" i="32" s="1"/>
  <c r="S7" i="32"/>
  <c r="S9" i="32" s="1"/>
  <c r="I7" i="32"/>
  <c r="I9" i="32" s="1"/>
  <c r="R7" i="32"/>
  <c r="R9" i="32" s="1"/>
  <c r="H7" i="32"/>
  <c r="H9" i="32" s="1"/>
  <c r="D7" i="32"/>
  <c r="D9" i="32" s="1"/>
  <c r="L7" i="32"/>
  <c r="L9" i="32" s="1"/>
  <c r="Q7" i="32"/>
  <c r="Q9" i="32" s="1"/>
  <c r="P7" i="32"/>
  <c r="P9" i="32" s="1"/>
  <c r="M7" i="32"/>
  <c r="M9" i="32" s="1"/>
  <c r="K7" i="32"/>
  <c r="K9" i="32" s="1"/>
  <c r="U9" i="32" l="1"/>
  <c r="W9" i="32" s="1"/>
  <c r="J6" i="20" l="1"/>
  <c r="J8"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tc={FB8DF1EF-FB40-4867-91ED-3BBB2CA781C5}</author>
    <author>tc={7ADC25A5-26AD-49A6-986E-952291375A2D}</author>
    <author>tc={B7DD1ADC-4E51-4DE0-9599-644B82893467}</author>
    <author>tc={12C7B4BF-3668-46A6-9373-21D5691BCB2F}</author>
    <author>tc={B6766F50-0239-4202-9161-AD5A3E961EB8}</author>
    <author>tc={2D3CF8E6-4093-411C-953A-E7360721BAC1}</author>
    <author>tc={1EE88F61-D796-42B7-8477-CFBDC46D2D3A}</author>
    <author>tc={418849DF-71BE-47A5-A43D-60C943496B71}</author>
    <author>tc={332BDD99-2CBD-4491-8B04-DCC86087924F}</author>
    <author>tc={551A2D32-4C82-4D98-BFC6-96A902C8B1D4}</author>
    <author>tc={68EEF3B3-79A1-49A1-BFDB-08F86336D1E7}</author>
    <author>tc={D098B5FD-C287-4D10-8A25-D5B46735C95A}</author>
    <author>tc={2B5AB026-4102-4D0C-94C8-7CB3CE7AB8B2}</author>
    <author>tc={65D7D06A-DE90-4326-936B-7084F1C2BCC4}</author>
    <author>tc={D8E19E3D-3C84-4413-B235-4768E18E3278}</author>
    <author>tc={DD2EF669-AB40-4778-AEAD-95F7831E23A2}</author>
    <author>tc={FE5109FB-0E89-4666-811A-E151B7D99842}</author>
    <author>tc={9C6BA3FE-E115-43ED-9EE1-27B6733ED176}</author>
    <author>tc={9AD38F25-E1EB-4D25-8D0D-0C33FD50CC79}</author>
    <author>tc={216D39BD-8F45-4D9B-B3B8-B305C4CEF614}</author>
    <author>tc={A6F753AD-BBD9-4D0E-8A9E-6FABF7921F02}</author>
    <author>tc={8945F646-6C54-43BD-B0AA-A4FFF5C0043D}</author>
    <author>tc={7BE0B413-F48B-4082-823F-45ECC188089E}</author>
    <author>tc={8F0AD9F1-C4EB-4449-B76C-7BA9F73828B1}</author>
    <author>tc={17873EAB-577D-4788-A04D-526651A16061}</author>
    <author>tc={19C3296D-3B62-4C52-B8B1-1F34F136B7DD}</author>
    <author>tc={22E5595B-DFB5-472A-BB8B-88FF0C0932AA}</author>
    <author>tc={0EF0C51D-86E0-462C-A56B-3D845E2049DB}</author>
    <author>tc={26A9C3FA-F5E4-4E10-9A61-1FD2109FF793}</author>
    <author>tc={901BD0D9-19DB-4C91-97B1-3C0A23F1F402}</author>
    <author>tc={0DFC72DB-8006-40AB-AF00-B41ED042597D}</author>
    <author>tc={7E75B3FD-6229-4E86-92ED-ED3560A8C0E9}</author>
    <author>tc={E00628C9-05BD-489A-8C27-B9C59F28DF3B}</author>
    <author>tc={5752DC07-C6BE-400A-9BA2-824C46F40BA0}</author>
    <author>tc={88E76F50-0C87-4613-80EB-6968DA6AC767}</author>
    <author>tc={61593972-5B38-47DA-B13C-A8A749EB6870}</author>
    <author>tc={7441410F-85E6-4B12-85E8-490408D2F0EC}</author>
    <author>tc={80E729D3-E40C-47FA-B5AD-EA9F0D741B71}</author>
    <author>tc={AEB64356-C06A-426D-B0F3-207C35F9DEA0}</author>
    <author>tc={47373532-DC44-40D1-AFB9-90F0D0ECCEA8}</author>
    <author>tc={03559992-FBA0-4E41-B904-6FDAE4779190}</author>
    <author>tc={94E034A4-787E-4270-B9DD-BE5773DBF0B1}</author>
    <author>tc={724E5625-2C18-4A13-995F-CFB2E61C94DD}</author>
    <author>tc={A6E74F50-1054-4C58-B654-F3A385A7FA6C}</author>
    <author>tc={801B904D-64B9-4E2D-A989-15A2EB0B117E}</author>
    <author>tc={14E4937C-5565-425A-B46B-227A2F6BF8C7}</author>
    <author>tc={8157EB9E-F912-4081-B1AA-D20F03A5FE09}</author>
    <author>tc={21BAFF68-16CA-4A8A-92FA-FA15F2741C78}</author>
  </authors>
  <commentList>
    <comment ref="R5" authorId="0" shapeId="0" xr:uid="{FB8DF1EF-FB40-4867-91ED-3BBB2CA781C5}">
      <text>
        <t>[Threaded comment]
Your version of Excel allows you to read this threaded comment; however, any edits to it will get removed if the file is opened in a newer version of Excel. Learn more: https://go.microsoft.com/fwlink/?linkid=870924
Comment:
    Updated Fluoride emissions to use the PM emission factor and Fume Correction Factor, similar to other constituents.</t>
      </text>
    </comment>
    <comment ref="S5" authorId="1" shapeId="0" xr:uid="{7ADC25A5-26AD-49A6-986E-952291375A2D}">
      <text>
        <t>[Threaded comment]
Your version of Excel allows you to read this threaded comment; however, any edits to it will get removed if the file is opened in a newer version of Excel. Learn more: https://go.microsoft.com/fwlink/?linkid=870924
Comment:
    All molybdenum (Mo) is assumed emitted as molybdenum trioxide - elemental Mo is converted into MoO3 using the ratio of molecular weights.</t>
      </text>
    </comment>
    <comment ref="H8" authorId="2" shapeId="0" xr:uid="{B7DD1ADC-4E51-4DE0-9599-644B82893467}">
      <text>
        <t>[Threaded comment]
Your version of Excel allows you to read this threaded comment; however, any edits to it will get removed if the file is opened in a newer version of Excel. Learn more: https://go.microsoft.com/fwlink/?linkid=870924
Comment:
    Rod contains Cr per SDS - updated from "--".</t>
      </text>
    </comment>
    <comment ref="I8" authorId="3" shapeId="0" xr:uid="{12C7B4BF-3668-46A6-9373-21D5691BCB2F}">
      <text>
        <t>[Threaded comment]
Your version of Excel allows you to read this threaded comment; however, any edits to it will get removed if the file is opened in a newer version of Excel. Learn more: https://go.microsoft.com/fwlink/?linkid=870924
Comment:
    Per SDAPCD guidance, applied Total Chromium to Chromium VI conversion rate of 5% for GMAW.</t>
      </text>
    </comment>
    <comment ref="J8" authorId="4" shapeId="0" xr:uid="{B6766F50-0239-4202-9161-AD5A3E961EB8}">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K8" authorId="5" shapeId="0" xr:uid="{2D3CF8E6-4093-411C-953A-E7360721BAC1}">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L8" authorId="6" shapeId="0" xr:uid="{1EE88F61-D796-42B7-8477-CFBDC46D2D3A}">
      <text>
        <t>[Threaded comment]
Your version of Excel allows you to read this threaded comment; however, any edits to it will get removed if the file is opened in a newer version of Excel. Learn more: https://go.microsoft.com/fwlink/?linkid=870924
Comment:
    Updated formula for consistency</t>
      </text>
    </comment>
    <comment ref="M8" authorId="7" shapeId="0" xr:uid="{418849DF-71BE-47A5-A43D-60C943496B71}">
      <text>
        <t>[Threaded comment]
Your version of Excel allows you to read this threaded comment; however, any edits to it will get removed if the file is opened in a newer version of Excel. Learn more: https://go.microsoft.com/fwlink/?linkid=870924
Comment:
    Updated formula for consistency</t>
      </text>
    </comment>
    <comment ref="H9" authorId="8" shapeId="0" xr:uid="{332BDD99-2CBD-4491-8B04-DCC86087924F}">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I9" authorId="9" shapeId="0" xr:uid="{551A2D32-4C82-4D98-BFC6-96A902C8B1D4}">
      <text>
        <t>[Threaded comment]
Your version of Excel allows you to read this threaded comment; however, any edits to it will get removed if the file is opened in a newer version of Excel. Learn more: https://go.microsoft.com/fwlink/?linkid=870924
Comment:
    Per SDAPCD guidance, applied Total Chromium to Chromium VI conversion rate of 5% for GMAW.</t>
      </text>
    </comment>
    <comment ref="J9" authorId="10" shapeId="0" xr:uid="{68EEF3B3-79A1-49A1-BFDB-08F86336D1E7}">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K9" authorId="11" shapeId="0" xr:uid="{D098B5FD-C287-4D10-8A25-D5B46735C95A}">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L9" authorId="12" shapeId="0" xr:uid="{2B5AB026-4102-4D0C-94C8-7CB3CE7AB8B2}">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M9" authorId="13" shapeId="0" xr:uid="{65D7D06A-DE90-4326-936B-7084F1C2BCC4}">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D10" authorId="14" shapeId="0" xr:uid="{D8E19E3D-3C84-4413-B235-4768E18E3278}">
      <text>
        <t>[Threaded comment]
Your version of Excel allows you to read this threaded comment; however, any edits to it will get removed if the file is opened in a newer version of Excel. Learn more: https://go.microsoft.com/fwlink/?linkid=870924
Comment:
    No Aluminum in Washington Alloy SDS.</t>
      </text>
    </comment>
    <comment ref="J10" authorId="15" shapeId="0" xr:uid="{DD2EF669-AB40-4778-AEAD-95F7831E23A2}">
      <text>
        <t>[Threaded comment]
Your version of Excel allows you to read this threaded comment; however, any edits to it will get removed if the file is opened in a newer version of Excel. Learn more: https://go.microsoft.com/fwlink/?linkid=870924
Comment:
    Updated formula for consistency</t>
      </text>
    </comment>
    <comment ref="K10" authorId="16" shapeId="0" xr:uid="{FE5109FB-0E89-4666-811A-E151B7D99842}">
      <text>
        <t>[Threaded comment]
Your version of Excel allows you to read this threaded comment; however, any edits to it will get removed if the file is opened in a newer version of Excel. Learn more: https://go.microsoft.com/fwlink/?linkid=870924
Comment:
    Updated formula for consistency</t>
      </text>
    </comment>
    <comment ref="L10" authorId="17" shapeId="0" xr:uid="{9C6BA3FE-E115-43ED-9EE1-27B6733ED176}">
      <text>
        <t>[Threaded comment]
Your version of Excel allows you to read this threaded comment; however, any edits to it will get removed if the file is opened in a newer version of Excel. Learn more: https://go.microsoft.com/fwlink/?linkid=870924
Comment:
    Updated formula for consistency</t>
      </text>
    </comment>
    <comment ref="M10" authorId="18" shapeId="0" xr:uid="{9AD38F25-E1EB-4D25-8D0D-0C33FD50CC79}">
      <text>
        <t>[Threaded comment]
Your version of Excel allows you to read this threaded comment; however, any edits to it will get removed if the file is opened in a newer version of Excel. Learn more: https://go.microsoft.com/fwlink/?linkid=870924
Comment:
    Updated formula for consistency</t>
      </text>
    </comment>
    <comment ref="O10" authorId="19" shapeId="0" xr:uid="{216D39BD-8F45-4D9B-B3B8-B305C4CEF614}">
      <text>
        <t>[Threaded comment]
Your version of Excel allows you to read this threaded comment; however, any edits to it will get removed if the file is opened in a newer version of Excel. Learn more: https://go.microsoft.com/fwlink/?linkid=870924
Comment:
    Updated to pull SDS and PM data representing the 309L product recommended for GMAW (Washington Alloy)</t>
      </text>
    </comment>
    <comment ref="D11" authorId="20" shapeId="0" xr:uid="{A6F753AD-BBD9-4D0E-8A9E-6FABF7921F02}">
      <text>
        <t>[Threaded comment]
Your version of Excel allows you to read this threaded comment; however, any edits to it will get removed if the file is opened in a newer version of Excel. Learn more: https://go.microsoft.com/fwlink/?linkid=870924
Comment:
    No Aluminum in Washington Alloy SDS.</t>
      </text>
    </comment>
    <comment ref="J11" authorId="21" shapeId="0" xr:uid="{8945F646-6C54-43BD-B0AA-A4FFF5C0043D}">
      <text>
        <t>[Threaded comment]
Your version of Excel allows you to read this threaded comment; however, any edits to it will get removed if the file is opened in a newer version of Excel. Learn more: https://go.microsoft.com/fwlink/?linkid=870924
Comment:
    Updated to include copper from the Washington Alloy 316L 3/32 SDS, "WAS-316L-332-16--WASH-ALLOY STAINLESS-STEEL 316-309.pdf"</t>
      </text>
    </comment>
    <comment ref="M11" authorId="22" shapeId="0" xr:uid="{7BE0B413-F48B-4082-823F-45ECC188089E}">
      <text>
        <t>[Threaded comment]
Your version of Excel allows you to read this threaded comment; however, any edits to it will get removed if the file is opened in a newer version of Excel. Learn more: https://go.microsoft.com/fwlink/?linkid=870924
Comment:
    Updated to include phosphorus from the Washington Alloy 316L 3/32 SDS, "WAS-316L-332-16--WASH-ALLOY STAINLESS-STEEL 316-309.pdf"</t>
      </text>
    </comment>
    <comment ref="I12" authorId="23" shapeId="0" xr:uid="{8F0AD9F1-C4EB-4449-B76C-7BA9F73828B1}">
      <text>
        <t>[Threaded comment]
Your version of Excel allows you to read this threaded comment; however, any edits to it will get removed if the file is opened in a newer version of Excel. Learn more: https://go.microsoft.com/fwlink/?linkid=870924
Comment:
    Updated formula for consistency</t>
      </text>
    </comment>
    <comment ref="J12" authorId="24" shapeId="0" xr:uid="{17873EAB-577D-4788-A04D-526651A16061}">
      <text>
        <t>[Threaded comment]
Your version of Excel allows you to read this threaded comment; however, any edits to it will get removed if the file is opened in a newer version of Excel. Learn more: https://go.microsoft.com/fwlink/?linkid=870924
Comment:
    Updated formula for consistency</t>
      </text>
    </comment>
    <comment ref="K12" authorId="25" shapeId="0" xr:uid="{19C3296D-3B62-4C52-B8B1-1F34F136B7DD}">
      <text>
        <t>[Threaded comment]
Your version of Excel allows you to read this threaded comment; however, any edits to it will get removed if the file is opened in a newer version of Excel. Learn more: https://go.microsoft.com/fwlink/?linkid=870924
Comment:
    Updated formula for consistency</t>
      </text>
    </comment>
    <comment ref="L12" authorId="26" shapeId="0" xr:uid="{22E5595B-DFB5-472A-BB8B-88FF0C0932AA}">
      <text>
        <t>[Threaded comment]
Your version of Excel allows you to read this threaded comment; however, any edits to it will get removed if the file is opened in a newer version of Excel. Learn more: https://go.microsoft.com/fwlink/?linkid=870924
Comment:
    Updated formula for consistency</t>
      </text>
    </comment>
    <comment ref="M12" authorId="27" shapeId="0" xr:uid="{0EF0C51D-86E0-462C-A56B-3D845E2049DB}">
      <text>
        <t>[Threaded comment]
Your version of Excel allows you to read this threaded comment; however, any edits to it will get removed if the file is opened in a newer version of Excel. Learn more: https://go.microsoft.com/fwlink/?linkid=870924
Comment:
    No P in rod per SDS.</t>
      </text>
    </comment>
    <comment ref="C13" authorId="28" shapeId="0" xr:uid="{26A9C3FA-F5E4-4E10-9A61-1FD2109FF793}">
      <text>
        <t>[Threaded comment]
Your version of Excel allows you to read this threaded comment; however, any edits to it will get removed if the file is opened in a newer version of Excel. Learn more: https://go.microsoft.com/fwlink/?linkid=870924
Comment:
    Updated to use SMAW fume correction factor: This is a covered electrode and recommended for "SMAW" welding per the MG 289 SDS provided on 8/31/2023.</t>
      </text>
    </comment>
    <comment ref="L13" authorId="29" shapeId="0" xr:uid="{901BD0D9-19DB-4C91-97B1-3C0A23F1F402}">
      <text>
        <t>[Threaded comment]
Your version of Excel allows you to read this threaded comment; however, any edits to it will get removed if the file is opened in a newer version of Excel. Learn more: https://go.microsoft.com/fwlink/?linkid=870924
Comment:
    Updated to use SMAW fume correction factor: This is a covered electrode and recommended for "SMAW" welding per the MG 289 SDS provided on 8/31/2023.</t>
      </text>
    </comment>
    <comment ref="R13" authorId="30" shapeId="0" xr:uid="{0DFC72DB-8006-40AB-AF00-B41ED042597D}">
      <text>
        <t>[Threaded comment]
Your version of Excel allows you to read this threaded comment; however, any edits to it will get removed if the file is opened in a newer version of Excel. Learn more: https://go.microsoft.com/fwlink/?linkid=870924
Comment:
    Updated to use SMAW fume correction factor: This is a covered electrode and recommended for "SMAW" welding per the MG 289 SDS provided on 8/31/2023.</t>
      </text>
    </comment>
    <comment ref="H15" authorId="31" shapeId="0" xr:uid="{7E75B3FD-6229-4E86-92ED-ED3560A8C0E9}">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I15" authorId="32" shapeId="0" xr:uid="{E00628C9-05BD-489A-8C27-B9C59F28DF3B}">
      <text>
        <t>[Threaded comment]
Your version of Excel allows you to read this threaded comment; however, any edits to it will get removed if the file is opened in a newer version of Excel. Learn more: https://go.microsoft.com/fwlink/?linkid=870924
Comment:
    Per SDAPCD guidance, applied Total Chromium to Chromium VI conversion rate of 55% for SMAW.</t>
      </text>
    </comment>
    <comment ref="J15" authorId="33" shapeId="0" xr:uid="{5752DC07-C6BE-400A-9BA2-824C46F40BA0}">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 no Copper reported in SDS.</t>
      </text>
    </comment>
    <comment ref="K15" authorId="34" shapeId="0" xr:uid="{88E76F50-0C87-4613-80EB-6968DA6AC767}">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L15" authorId="35" shapeId="0" xr:uid="{61593972-5B38-47DA-B13C-A8A749EB6870}">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M15" authorId="36" shapeId="0" xr:uid="{7441410F-85E6-4B12-85E8-490408D2F0EC}">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 no phosphorus reported in the SDS.</t>
      </text>
    </comment>
    <comment ref="I16" authorId="37" shapeId="0" xr:uid="{80E729D3-E40C-47FA-B5AD-EA9F0D741B71}">
      <text>
        <t>[Threaded comment]
Your version of Excel allows you to read this threaded comment; however, any edits to it will get removed if the file is opened in a newer version of Excel. Learn more: https://go.microsoft.com/fwlink/?linkid=870924
Comment:
    Per SDAPCD guidance, applied Total Chromium to Chromium VI conversion rate of 55% for SMAW.</t>
      </text>
    </comment>
    <comment ref="M17" authorId="38" shapeId="0" xr:uid="{AEB64356-C06A-426D-B0F3-207C35F9DEA0}">
      <text>
        <t>[Threaded comment]
Your version of Excel allows you to read this threaded comment; however, any edits to it will get removed if the file is opened in a newer version of Excel. Learn more: https://go.microsoft.com/fwlink/?linkid=870924
Comment:
    No phosphorus in this SDS (bluemax)</t>
      </text>
    </comment>
    <comment ref="D18" authorId="39" shapeId="0" xr:uid="{47373532-DC44-40D1-AFB9-90F0D0ECCEA8}">
      <text>
        <t>[Threaded comment]
Your version of Excel allows you to read this threaded comment; however, any edits to it will get removed if the file is opened in a newer version of Excel. Learn more: https://go.microsoft.com/fwlink/?linkid=870924
Comment:
    Updated to pull from "AP-42" Fume emission column below instead of "ARB" column.</t>
      </text>
    </comment>
    <comment ref="C21" authorId="40" shapeId="0" xr:uid="{03559992-FBA0-4E41-B904-6FDAE4779190}">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H21" authorId="41" shapeId="0" xr:uid="{94E034A4-787E-4270-B9DD-BE5773DBF0B1}">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I21" authorId="42" shapeId="0" xr:uid="{724E5625-2C18-4A13-995F-CFB2E61C94DD}">
      <text>
        <t>[Threaded comment]
Your version of Excel allows you to read this threaded comment; however, any edits to it will get removed if the file is opened in a newer version of Excel. Learn more: https://go.microsoft.com/fwlink/?linkid=870924
Comment:
    Per SDAPCD guidance, applied Total Chromium to Chromium VI conversion rate of 55% for SMAW.</t>
      </text>
    </comment>
    <comment ref="K21" authorId="43" shapeId="0" xr:uid="{A6E74F50-1054-4C58-B654-F3A385A7FA6C}">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L21" authorId="44" shapeId="0" xr:uid="{801B904D-64B9-4E2D-A989-15A2EB0B117E}">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R21" authorId="45" shapeId="0" xr:uid="{14E4937C-5565-425A-B46B-227A2F6BF8C7}">
      <text>
        <t>[Threaded comment]
Your version of Excel allows you to read this threaded comment; however, any edits to it will get removed if the file is opened in a newer version of Excel. Learn more: https://go.microsoft.com/fwlink/?linkid=870924
Comment:
    Updated to use SDS information rather than SDAPCD default constituent percentages.</t>
      </text>
    </comment>
    <comment ref="E28" authorId="46" shapeId="0" xr:uid="{8157EB9E-F912-4081-B1AA-D20F03A5FE09}">
      <text>
        <t>[Threaded comment]
Your version of Excel allows you to read this threaded comment; however, any edits to it will get removed if the file is opened in a newer version of Excel. Learn more: https://go.microsoft.com/fwlink/?linkid=870924
Comment:
    Updated from 35% (99% for HEPA filters)</t>
      </text>
    </comment>
    <comment ref="D56" authorId="47" shapeId="0" xr:uid="{21BAFF68-16CA-4A8A-92FA-FA15F2741C78}">
      <text>
        <t>[Threaded comment]
Your version of Excel allows you to read this threaded comment; however, any edits to it will get removed if the file is opened in a newer version of Excel. Learn more: https://go.microsoft.com/fwlink/?linkid=870924
Comment:
    Updated to SMAW, based on SDS information.</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tc={45534E36-1308-44A8-8E4E-A1865F466A44}</author>
    <author>tc={B285C9C5-3AC0-45EA-815D-EC627A9B8EDB}</author>
    <author>tc={9AB556C1-E8A4-47D0-BBF6-B0661F96E397}</author>
  </authors>
  <commentList>
    <comment ref="A1" authorId="0" shapeId="0" xr:uid="{45534E36-1308-44A8-8E4E-A1865F466A44}">
      <text>
        <t>[Threaded comment]
Your version of Excel allows you to read this threaded comment; however, any edits to it will get removed if the file is opened in a newer version of Excel. Learn more: https://go.microsoft.com/fwlink/?linkid=870924
Comment:
    Note: updated RBCs for TACs with emissions on all REER tabs to use rounded values from OAR 340-245-8010 Table 2.</t>
      </text>
    </comment>
    <comment ref="T3" authorId="1" shapeId="0" xr:uid="{B285C9C5-3AC0-45EA-815D-EC627A9B8EDB}">
      <text>
        <t>[Threaded comment]
Your version of Excel allows you to read this threaded comment; however, any edits to it will get removed if the file is opened in a newer version of Excel. Learn more: https://go.microsoft.com/fwlink/?linkid=870924
Comment:
    Added MoO3</t>
      </text>
    </comment>
    <comment ref="T13" authorId="2" shapeId="0" xr:uid="{9AB556C1-E8A4-47D0-BBF6-B0661F96E397}">
      <text>
        <t>[Threaded comment]
Your version of Excel allows you to read this threaded comment; however, any edits to it will get removed if the file is opened in a newer version of Excel. Learn more: https://go.microsoft.com/fwlink/?linkid=870924
Comment:
    Added MoO3</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tc={604D4A7E-0E03-41F9-B7A1-B3E2E466B733}</author>
    <author>tc={F903BA3F-16C9-4709-BDF3-9192E9ED2244}</author>
  </authors>
  <commentList>
    <comment ref="T3" authorId="0" shapeId="0" xr:uid="{604D4A7E-0E03-41F9-B7A1-B3E2E466B733}">
      <text>
        <t>[Threaded comment]
Your version of Excel allows you to read this threaded comment; however, any edits to it will get removed if the file is opened in a newer version of Excel. Learn more: https://go.microsoft.com/fwlink/?linkid=870924
Comment:
    Added MoO3</t>
      </text>
    </comment>
    <comment ref="T13" authorId="1" shapeId="0" xr:uid="{F903BA3F-16C9-4709-BDF3-9192E9ED2244}">
      <text>
        <t>[Threaded comment]
Your version of Excel allows you to read this threaded comment; however, any edits to it will get removed if the file is opened in a newer version of Excel. Learn more: https://go.microsoft.com/fwlink/?linkid=870924
Comment:
    Added MoO3</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tc={36DD2177-A44A-4833-BFC5-E2C1262F7662}</author>
    <author>tc={B8958C5D-3211-4CC6-A906-1600789D82D4}</author>
  </authors>
  <commentList>
    <comment ref="T3" authorId="0" shapeId="0" xr:uid="{36DD2177-A44A-4833-BFC5-E2C1262F7662}">
      <text>
        <t>[Threaded comment]
Your version of Excel allows you to read this threaded comment; however, any edits to it will get removed if the file is opened in a newer version of Excel. Learn more: https://go.microsoft.com/fwlink/?linkid=870924
Comment:
    Added MoO3</t>
      </text>
    </comment>
    <comment ref="T12" authorId="1" shapeId="0" xr:uid="{B8958C5D-3211-4CC6-A906-1600789D82D4}">
      <text>
        <t>[Threaded comment]
Your version of Excel allows you to read this threaded comment; however, any edits to it will get removed if the file is opened in a newer version of Excel. Learn more: https://go.microsoft.com/fwlink/?linkid=870924
Comment:
    Added MoO3</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tc={F8DEAE1F-F00E-4263-B089-7A91FD1CA850}</author>
  </authors>
  <commentList>
    <comment ref="T3" authorId="0" shapeId="0" xr:uid="{F8DEAE1F-F00E-4263-B089-7A91FD1CA850}">
      <text>
        <t>[Threaded comment]
Your version of Excel allows you to read this threaded comment; however, any edits to it will get removed if the file is opened in a newer version of Excel. Learn more: https://go.microsoft.com/fwlink/?linkid=870924
Comment:
    Added MoO3</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tc={F7444A60-54BF-4167-927F-B24BB0F56CA5}</author>
    <author>tc={58BF087D-1655-4CBE-9733-DA6305FAA221}</author>
    <author>tc={5ECAD60A-9258-4CB8-8BEE-C78C5BC8949F}</author>
  </authors>
  <commentList>
    <comment ref="I3" authorId="0" shapeId="0" xr:uid="{F7444A60-54BF-4167-927F-B24BB0F56CA5}">
      <text>
        <t>[Threaded comment]
Your version of Excel allows you to read this threaded comment; however, any edits to it will get removed if the file is opened in a newer version of Excel. Learn more: https://go.microsoft.com/fwlink/?linkid=870924
Comment:
    Adjusted to measure distances from source edge to exposure location edge. Outside distances assume welding does not take place outside of paved areas.</t>
      </text>
    </comment>
    <comment ref="J3" authorId="1" shapeId="0" xr:uid="{58BF087D-1655-4CBE-9733-DA6305FAA221}">
      <text>
        <t>[Threaded comment]
Your version of Excel allows you to read this threaded comment; however, any edits to it will get removed if the file is opened in a newer version of Excel. Learn more: https://go.microsoft.com/fwlink/?linkid=870924
Comment:
    Adjusted to measure distances from source edge to  exposure location edge. Outside distances assume welding does not take place outside of paved areas.</t>
      </text>
    </comment>
    <comment ref="K3" authorId="2" shapeId="0" xr:uid="{5ECAD60A-9258-4CB8-8BEE-C78C5BC8949F}">
      <text>
        <t>[Threaded comment]
Your version of Excel allows you to read this threaded comment; however, any edits to it will get removed if the file is opened in a newer version of Excel. Learn more: https://go.microsoft.com/fwlink/?linkid=870924
Comment:
    Adjusted to measure distances from source edge to  exposure location edge. Outside distances assume welding does not take place outside of paved areas.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tc={5DEE917D-5624-44AC-B435-AFD3C389D552}</author>
    <author>tc={562C79D3-A0EF-420D-99FD-ED2A58BF15B2}</author>
    <author>tc={17C50901-ACDE-488F-A78A-C2DF4B0206C0}</author>
    <author>tc={C184773C-6903-4AAF-B4D4-B6D5619105CF}</author>
    <author>tc={CFDCAB3F-94BB-435E-AA48-E840447C60F2}</author>
    <author>tc={9D723733-8510-47FE-8191-D57941193391}</author>
    <author>tc={9DE0C32C-22F7-4D5A-999E-2CFFA709A3F6}</author>
    <author>tc={09AF3CEE-C428-4D7C-8285-AA5E87B3F8E5}</author>
    <author>tc={A8255C88-7095-47BE-B8C5-A092DCA8E481}</author>
    <author>tc={99E4F02E-BE67-4969-BB43-D95BDDA67A3E}</author>
    <author>tc={3BC70C68-649C-4183-B952-2676B6520852}</author>
    <author>tc={4C39D9F4-79D5-4D74-9623-1CC5957107E3}</author>
    <author>tc={6CE35CCC-B081-452D-86AD-E6B16FF7CE5E}</author>
    <author>tc={98F94804-6165-4A28-9FB3-92FC2A897398}</author>
    <author>tc={86DE7199-5355-4C6B-A724-797599CF17C6}</author>
    <author>tc={93B661A0-C5C9-4816-9B28-CF19E867B31F}</author>
    <author>tc={8BCB8DEC-225C-462C-B610-27D2A3A27EA1}</author>
    <author>tc={4F4E5003-7EDE-4E2F-BA4E-B46C4886E717}</author>
    <author>tc={BF223EB0-70D2-4EF4-A460-7C5AB0E68B85}</author>
    <author>tc={54B622CA-8E69-43AB-8747-8243C1FA7989}</author>
    <author>tc={DC1D14FC-C98A-40E9-BAE2-801D1E32624A}</author>
    <author>tc={4C2995BB-7C15-49AA-85BC-8393175D2B2D}</author>
    <author>tc={76518104-9F24-475E-8F39-E3E7F1670BAB}</author>
    <author>tc={D206B7CD-C18A-4810-B9D7-3FB3F8E32DE8}</author>
    <author>tc={6C65871F-319F-499D-8AE0-B2CDC84D9B66}</author>
    <author>tc={A5510399-7ED4-4C54-9EA9-ADA48614FC0D}</author>
    <author>tc={45B0CAA5-CFA5-4565-834F-50DC71CE7496}</author>
    <author>tc={644102AB-11D4-439A-878F-F30748D6F1BC}</author>
    <author>tc={E6930E5A-46CA-45BB-957B-904A630FB5FA}</author>
  </authors>
  <commentList>
    <comment ref="C2" authorId="0" shapeId="0" xr:uid="{5DEE917D-5624-44AC-B435-AFD3C389D552}">
      <text>
        <t>[Threaded comment]
Your version of Excel allows you to read this threaded comment; however, any edits to it will get removed if the file is opened in a newer version of Excel. Learn more: https://go.microsoft.com/fwlink/?linkid=870924
Comment:
    Percentages have been updated to use the average rather than the maximum percent composition from the SDS where appropriate - where this was the only change, it is indicated in orange highlighting.</t>
      </text>
    </comment>
    <comment ref="E5" authorId="1" shapeId="0" xr:uid="{562C79D3-A0EF-420D-99FD-ED2A58BF15B2}">
      <text>
        <t>[Threaded comment]
Your version of Excel allows you to read this threaded comment; however, any edits to it will get removed if the file is opened in a newer version of Excel. Learn more: https://go.microsoft.com/fwlink/?linkid=870924
Comment:
    Weight percentages have been updated to include only aluminum portion, to be reported as "Aluminum and Compounds"</t>
      </text>
    </comment>
    <comment ref="P5" authorId="2" shapeId="0" xr:uid="{17C50901-ACDE-488F-A78A-C2DF4B0206C0}">
      <text>
        <t>[Threaded comment]
Your version of Excel allows you to read this threaded comment; however, any edits to it will get removed if the file is opened in a newer version of Excel. Learn more: https://go.microsoft.com/fwlink/?linkid=870924
Comment:
    Where the SDS lists elemental silicon (Si) or sodium silicate (Na2SiO3), the percent has been converted to weight percent in SiO2 using ratio of molecular weights (60.08 for SiO2, 28.09 for Si, and 122.06 for Na2SiO3)</t>
      </text>
    </comment>
    <comment ref="T5" authorId="3" shapeId="0" xr:uid="{C184773C-6903-4AAF-B4D4-B6D5619105CF}">
      <text>
        <t>[Threaded comment]
Your version of Excel allows you to read this threaded comment; however, any edits to it will get removed if the file is opened in a newer version of Excel. Learn more: https://go.microsoft.com/fwlink/?linkid=870924
Comment:
    Molybdenum has been added when present in the SDS.</t>
      </text>
    </comment>
    <comment ref="C7" authorId="4" shapeId="0" xr:uid="{CFDCAB3F-94BB-435E-AA48-E840447C60F2}">
      <text>
        <t>[Threaded comment]
Your version of Excel allows you to read this threaded comment; however, any edits to it will get removed if the file is opened in a newer version of Excel. Learn more: https://go.microsoft.com/fwlink/?linkid=870924
Comment:
    For this wire, the maximum percentages have been used as the SDS did not generally provide composition ranges.</t>
      </text>
    </comment>
    <comment ref="C9" authorId="5" shapeId="0" xr:uid="{9D723733-8510-47FE-8191-D57941193391}">
      <text>
        <t>[Threaded comment]
Your version of Excel allows you to read this threaded comment; however, any edits to it will get removed if the file is opened in a newer version of Excel. Learn more: https://go.microsoft.com/fwlink/?linkid=870924
Comment:
    Based on the SDSs provided, this row has been updated to reflect the Washington Alloy ER316L product, which is a bare electrode recommended for arc and gas welding (GMAW)</t>
      </text>
    </comment>
    <comment ref="E9" authorId="6" shapeId="0" xr:uid="{9DE0C32C-22F7-4D5A-999E-2CFFA709A3F6}">
      <text>
        <t>[Threaded comment]
Your version of Excel allows you to read this threaded comment; however, any edits to it will get removed if the file is opened in a newer version of Excel. Learn more: https://go.microsoft.com/fwlink/?linkid=870924
Comment:
    Updated to reflect Washington alloy 316 SDS - no aluminum oxide in this product per SDS.</t>
      </text>
    </comment>
    <comment ref="C10" authorId="7" shapeId="0" xr:uid="{09AF3CEE-C428-4D7C-8285-AA5E87B3F8E5}">
      <text>
        <t>[Threaded comment]
Your version of Excel allows you to read this threaded comment; however, any edits to it will get removed if the file is opened in a newer version of Excel. Learn more: https://go.microsoft.com/fwlink/?linkid=870924
Comment:
    This row was not reviewed; could not be matched to an SDS.</t>
      </text>
    </comment>
    <comment ref="C11" authorId="8" shapeId="0" xr:uid="{A8255C88-7095-47BE-B8C5-A092DCA8E481}">
      <text>
        <t>[Threaded comment]
Your version of Excel allows you to read this threaded comment; however, any edits to it will get removed if the file is opened in a newer version of Excel. Learn more: https://go.microsoft.com/fwlink/?linkid=870924
Comment:
    This row was not reviewed; could not be matched to an SDS.</t>
      </text>
    </comment>
    <comment ref="E12" authorId="9" shapeId="0" xr:uid="{99E4F02E-BE67-4969-BB43-D95BDDA67A3E}">
      <text>
        <t>[Threaded comment]
Your version of Excel allows you to read this threaded comment; however, any edits to it will get removed if the file is opened in a newer version of Excel. Learn more: https://go.microsoft.com/fwlink/?linkid=870924
Comment:
    No Aluminum in SDS for Washington Alloy Company 309L (recommended for GMAW)</t>
      </text>
    </comment>
    <comment ref="K14" authorId="10" shapeId="0" xr:uid="{3BC70C68-649C-4183-B952-2676B6520852}">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M14" authorId="11" shapeId="0" xr:uid="{4C39D9F4-79D5-4D74-9623-1CC5957107E3}">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N14" authorId="12" shapeId="0" xr:uid="{6CE35CCC-B081-452D-86AD-E6B16FF7CE5E}">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Q14" authorId="13" shapeId="0" xr:uid="{98F94804-6165-4A28-9FB3-92FC2A897398}">
      <text>
        <t>[Threaded comment]
Your version of Excel allows you to read this threaded comment; however, any edits to it will get removed if the file is opened in a newer version of Excel. Learn more: https://go.microsoft.com/fwlink/?linkid=870924
Comment:
    Updated for consistency with SDS - no vanadium listed.</t>
      </text>
    </comment>
    <comment ref="C15" authorId="14" shapeId="0" xr:uid="{86DE7199-5355-4C6B-A724-797599CF17C6}">
      <text>
        <t>[Threaded comment]
Your version of Excel allows you to read this threaded comment; however, any edits to it will get removed if the file is opened in a newer version of Excel. Learn more: https://go.microsoft.com/fwlink/?linkid=870924
Comment:
    Appears to be a duplicate of the "Tig 70" row above.</t>
      </text>
    </comment>
    <comment ref="K16" authorId="15" shapeId="0" xr:uid="{93B661A0-C5C9-4816-9B28-CF19E867B31F}">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M16" authorId="16" shapeId="0" xr:uid="{8BCB8DEC-225C-462C-B610-27D2A3A27EA1}">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N16" authorId="17" shapeId="0" xr:uid="{4F4E5003-7EDE-4E2F-BA4E-B46C4886E717}">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D22" authorId="18" shapeId="0" xr:uid="{BF223EB0-70D2-4EF4-A460-7C5AB0E68B85}">
      <text>
        <t>[Threaded comment]
Your version of Excel allows you to read this threaded comment; however, any edits to it will get removed if the file is opened in a newer version of Excel. Learn more: https://go.microsoft.com/fwlink/?linkid=870924
Comment:
    Added percent Al (converted from lithium aluminum silicate in SDS)</t>
      </text>
    </comment>
    <comment ref="S22" authorId="19" shapeId="0" xr:uid="{54B622CA-8E69-43AB-8747-8243C1FA7989}">
      <text>
        <t>[Threaded comment]
Your version of Excel allows you to read this threaded comment; however, any edits to it will get removed if the file is opened in a newer version of Excel. Learn more: https://go.microsoft.com/fwlink/?linkid=870924
Comment:
    Includes fluoride portion of Calcium Fluoride (CaF2).</t>
      </text>
    </comment>
    <comment ref="S24" authorId="20" shapeId="0" xr:uid="{DC1D14FC-C98A-40E9-BAE2-801D1E32624A}">
      <text>
        <t>[Threaded comment]
Your version of Excel allows you to read this threaded comment; however, any edits to it will get removed if the file is opened in a newer version of Excel. Learn more: https://go.microsoft.com/fwlink/?linkid=870924
Comment:
    Added Fluorides for consistency with the MG 289 SDS provided on 8/31/2023, which includes 5% Calcium Fluoride. Only the fluoride portion of the compound is counted, using a ratio of the molecular weights of F and CaF2.</t>
      </text>
    </comment>
    <comment ref="S27" authorId="21" shapeId="0" xr:uid="{4C2995BB-7C15-49AA-85BC-8393175D2B2D}">
      <text>
        <t xml:space="preserve">[Threaded comment]
Your version of Excel allows you to read this threaded comment; however, any edits to it will get removed if the file is opened in a newer version of Excel. Learn more: https://go.microsoft.com/fwlink/?linkid=870924
Comment:
    Added Fluorides for consistency with the SDS provided 1-3% Fluorides. </t>
      </text>
    </comment>
    <comment ref="C28" authorId="22" shapeId="0" xr:uid="{76518104-9F24-475E-8F39-E3E7F1670BAB}">
      <text>
        <t>[Threaded comment]
Your version of Excel allows you to read this threaded comment; however, any edits to it will get removed if the file is opened in a newer version of Excel. Learn more: https://go.microsoft.com/fwlink/?linkid=870924
Comment:
    Based on the SDSs provided, this row has been updated to reflect the Lincoln Red Baron ER316L MR product, which is a covered electrode more likely used in SMAW.</t>
      </text>
    </comment>
    <comment ref="I28" authorId="23" shapeId="0" xr:uid="{D206B7CD-C18A-4810-B9D7-3FB3F8E32DE8}">
      <text>
        <t>[Threaded comment]
Your version of Excel allows you to read this threaded comment; however, any edits to it will get removed if the file is opened in a newer version of Excel. Learn more: https://go.microsoft.com/fwlink/?linkid=870924
Comment:
    Added the percent composition for the stainless steel core wire, as listed on the SDS. Because default AWMA EFs are used for calculations, there was no change to emission factor.</t>
      </text>
    </comment>
    <comment ref="L28" authorId="24" shapeId="0" xr:uid="{6C65871F-319F-499D-8AE0-B2CDC84D9B66}">
      <text>
        <t>[Threaded comment]
Your version of Excel allows you to read this threaded comment; however, any edits to it will get removed if the file is opened in a newer version of Excel. Learn more: https://go.microsoft.com/fwlink/?linkid=870924
Comment:
    Added the percent composition for the stainless steel core wire, as listed on the SDS. Because default AWMA EFs are used for calculations, there was no change to emission factor.</t>
      </text>
    </comment>
    <comment ref="M28" authorId="25" shapeId="0" xr:uid="{A5510399-7ED4-4C54-9EA9-ADA48614FC0D}">
      <text>
        <t>[Threaded comment]
Your version of Excel allows you to read this threaded comment; however, any edits to it will get removed if the file is opened in a newer version of Excel. Learn more: https://go.microsoft.com/fwlink/?linkid=870924
Comment:
    Added the percent composition for the stainless steel core wire, as listed on the SDS. Because default AWMA EFs are used for calculations, there was no change to emission factor.</t>
      </text>
    </comment>
    <comment ref="P29" authorId="26" shapeId="0" xr:uid="{45B0CAA5-CFA5-4565-834F-50DC71CE7496}">
      <text>
        <t>[Threaded comment]
Your version of Excel allows you to read this threaded comment; however, any edits to it will get removed if the file is opened in a newer version of Excel. Learn more: https://go.microsoft.com/fwlink/?linkid=870924
Comment:
    Updated for consistency with the Blue Max® 309/309L AC-DC SDS (LIN-ED025098 LINCOLN 316 SS 1_8 10# CAN.pdf) which lists 1-5% quartz.</t>
      </text>
    </comment>
    <comment ref="C31" authorId="27" shapeId="0" xr:uid="{644102AB-11D4-439A-878F-F30748D6F1BC}">
      <text>
        <t>[Threaded comment]
Your version of Excel allows you to read this threaded comment; however, any edits to it will get removed if the file is opened in a newer version of Excel. Learn more: https://go.microsoft.com/fwlink/?linkid=870924
Comment:
    For this wire, the maximum percentages have been used as the SDS did not generally provide composition ranges.</t>
      </text>
    </comment>
    <comment ref="S32" authorId="28" shapeId="0" xr:uid="{E6930E5A-46CA-45BB-957B-904A630FB5FA}">
      <text>
        <t>[Threaded comment]
Your version of Excel allows you to read this threaded comment; however, any edits to it will get removed if the file is opened in a newer version of Excel. Learn more: https://go.microsoft.com/fwlink/?linkid=870924
Comment:
    Includes fluoride portion of Calcium Fluoride (CaF2) and cryolite (Na3AlF6).</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tc={F294DD12-9244-487C-ACFE-99B178AFD35E}</author>
    <author>tc={6F19A53C-FEAC-40D7-9EE5-CC75632F013E}</author>
    <author>tc={E85D1C15-BD2E-4BBE-AC37-1E9D51522B61}</author>
    <author>tc={0590EDDA-DCA7-4AAF-92C6-42C79ED9FC29}</author>
    <author>tc={603F53AD-FA62-4374-97E9-3EC1C872CF6B}</author>
    <author>tc={7B1CBD46-5035-408D-B706-4908691D7115}</author>
    <author>tc={73F97E5E-D4A3-4302-9415-1CD195A418BA}</author>
    <author>tc={57B6161B-85AA-4346-AE76-01C522EA6566}</author>
    <author>tc={41249ACE-23FB-4D7A-9385-E45697F521D7}</author>
    <author>tc={DE68C677-DDFB-43FE-B00B-A5B38D113A79}</author>
    <author>tc={1320A811-2FDD-4D57-B3E8-DDA3418549A6}</author>
    <author>tc={D3EB3468-534D-4840-A8EA-FFBA34B76036}</author>
  </authors>
  <commentList>
    <comment ref="E6" authorId="0" shapeId="0" xr:uid="{F294DD12-9244-487C-ACFE-99B178AFD35E}">
      <text>
        <t>[Threaded comment]
Your version of Excel allows you to read this threaded comment; however, any edits to it will get removed if the file is opened in a newer version of Excel. Learn more: https://go.microsoft.com/fwlink/?linkid=870924
Comment:
    Updated to include only aluminum portion, to be reported as "Aluminum and Compounds"</t>
      </text>
    </comment>
    <comment ref="E13" authorId="1" shapeId="0" xr:uid="{6F19A53C-FEAC-40D7-9EE5-CC75632F013E}">
      <text>
        <t>[Threaded comment]
Your version of Excel allows you to read this threaded comment; however, any edits to it will get removed if the file is opened in a newer version of Excel. Learn more: https://go.microsoft.com/fwlink/?linkid=870924
Comment:
    No Aluminum in SDS for Washington Alloy Company 309L (recommended for GMAW)</t>
      </text>
    </comment>
    <comment ref="K15" authorId="2" shapeId="0" xr:uid="{E85D1C15-BD2E-4BBE-AC37-1E9D51522B61}">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M15" authorId="3" shapeId="0" xr:uid="{0590EDDA-DCA7-4AAF-92C6-42C79ED9FC29}">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N15" authorId="4" shapeId="0" xr:uid="{603F53AD-FA62-4374-97E9-3EC1C872CF6B}">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K17" authorId="5" shapeId="0" xr:uid="{7B1CBD46-5035-408D-B706-4908691D7115}">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M17" authorId="6" shapeId="0" xr:uid="{73F97E5E-D4A3-4302-9415-1CD195A418BA}">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N17" authorId="7" shapeId="0" xr:uid="{57B6161B-85AA-4346-AE76-01C522EA6566}">
      <text>
        <t>[Threaded comment]
Your version of Excel allows you to read this threaded comment; however, any edits to it will get removed if the file is opened in a newer version of Excel. Learn more: https://go.microsoft.com/fwlink/?linkid=870924
Comment:
    Updated for consistency with SDS for "JW Harris" materials provided on 8/31/2023</t>
      </text>
    </comment>
    <comment ref="D23" authorId="8" shapeId="0" xr:uid="{41249ACE-23FB-4D7A-9385-E45697F521D7}">
      <text>
        <t>[Threaded comment]
Your version of Excel allows you to read this threaded comment; however, any edits to it will get removed if the file is opened in a newer version of Excel. Learn more: https://go.microsoft.com/fwlink/?linkid=870924
Comment:
    Added percent Al (converted from lithium aluminum silicate in SDS)</t>
      </text>
    </comment>
    <comment ref="S23" authorId="9" shapeId="0" xr:uid="{DE68C677-DDFB-43FE-B00B-A5B38D113A79}">
      <text>
        <t>[Threaded comment]
Your version of Excel allows you to read this threaded comment; however, any edits to it will get removed if the file is opened in a newer version of Excel. Learn more: https://go.microsoft.com/fwlink/?linkid=870924
Comment:
    Added Fluorides for consistency with the Super 600 SDS ("EUT-093425857342 SUPER 600 1_8 10# BOX1.pdf", which includes 5% Calcium Fluoride. Only the fluoride portion of the compound is counted, using a ratio of the molecular weights of F and CaF.</t>
      </text>
    </comment>
    <comment ref="S25" authorId="10" shapeId="0" xr:uid="{1320A811-2FDD-4D57-B3E8-DDA3418549A6}">
      <text>
        <t>[Threaded comment]
Your version of Excel allows you to read this threaded comment; however, any edits to it will get removed if the file is opened in a newer version of Excel. Learn more: https://go.microsoft.com/fwlink/?linkid=870924
Comment:
    Added Fluorides for consistency with the MG 289 SDS provided on 8/31/2023, which includes 5% Calcium Fluoride. Only the fluoride portion of the compound is counted, using a ratio of the molecular weights of F and CaF.</t>
      </text>
    </comment>
    <comment ref="P30" authorId="11" shapeId="0" xr:uid="{D3EB3468-534D-4840-A8EA-FFBA34B76036}">
      <text>
        <t>[Threaded comment]
Your version of Excel allows you to read this threaded comment; however, any edits to it will get removed if the file is opened in a newer version of Excel. Learn more: https://go.microsoft.com/fwlink/?linkid=870924
Comment:
    Updated for consistency with the Blue Max® 309/309L AC-DC SDS (LIN-ED025098 LINCOLN 316 SS 1_8 10# CAN.pdf) which lists 5% quartz.</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tc={4D41BA9E-A104-4C54-99A5-D534FA46C910}</author>
    <author>tc={8631C10A-0110-4ECF-BEFD-FE9DC4351DFD}</author>
    <author>tc={355AB433-1AEB-439A-9BAD-1E3EBFD43F04}</author>
  </authors>
  <commentList>
    <comment ref="T5" authorId="0" shapeId="0" xr:uid="{4D41BA9E-A104-4C54-99A5-D534FA46C910}">
      <text>
        <t>[Threaded comment]
Your version of Excel allows you to read this threaded comment; however, any edits to it will get removed if the file is opened in a newer version of Excel. Learn more: https://go.microsoft.com/fwlink/?linkid=870924
Comment:
    Added molybdenum trioxide column.</t>
      </text>
    </comment>
    <comment ref="D33" authorId="1" shapeId="0" xr:uid="{8631C10A-0110-4ECF-BEFD-FE9DC4351DFD}">
      <text>
        <t>[Threaded comment]
Your version of Excel allows you to read this threaded comment; however, any edits to it will get removed if the file is opened in a newer version of Excel. Learn more: https://go.microsoft.com/fwlink/?linkid=870924
Comment:
    Updated to include Al2O3 as "Aluminum and Compounds"</t>
      </text>
    </comment>
    <comment ref="E33" authorId="2" shapeId="0" xr:uid="{355AB433-1AEB-439A-9BAD-1E3EBFD43F04}">
      <text>
        <t>[Threaded comment]
Your version of Excel allows you to read this threaded comment; however, any edits to it will get removed if the file is opened in a newer version of Excel. Learn more: https://go.microsoft.com/fwlink/?linkid=870924
Comment:
    Removed; emissions are included as "Al"</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tc={8557835A-9DF9-413E-BF69-E5FE338B8BFD}</author>
    <author>tc={DDD31687-57F3-49E6-BD01-3247E748BA60}</author>
    <author>tc={412A1E6A-0D7C-417F-8C4D-60FCE748C8AB}</author>
  </authors>
  <commentList>
    <comment ref="T5" authorId="0" shapeId="0" xr:uid="{8557835A-9DF9-413E-BF69-E5FE338B8BFD}">
      <text>
        <t>[Threaded comment]
Your version of Excel allows you to read this threaded comment; however, any edits to it will get removed if the file is opened in a newer version of Excel. Learn more: https://go.microsoft.com/fwlink/?linkid=870924
Comment:
    Added molybdenum trioxide column.</t>
      </text>
    </comment>
    <comment ref="D33" authorId="1" shapeId="0" xr:uid="{DDD31687-57F3-49E6-BD01-3247E748BA60}">
      <text>
        <t>[Threaded comment]
Your version of Excel allows you to read this threaded comment; however, any edits to it will get removed if the file is opened in a newer version of Excel. Learn more: https://go.microsoft.com/fwlink/?linkid=870924
Comment:
    Updated to include Al2O3 as "Aluminum and Compounds"</t>
      </text>
    </comment>
    <comment ref="E33" authorId="2" shapeId="0" xr:uid="{412A1E6A-0D7C-417F-8C4D-60FCE748C8AB}">
      <text>
        <t>[Threaded comment]
Your version of Excel allows you to read this threaded comment; however, any edits to it will get removed if the file is opened in a newer version of Excel. Learn more: https://go.microsoft.com/fwlink/?linkid=870924
Comment:
    Removed; emissions are included as "Al"</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tc={13B7A58A-3878-489B-B1BF-4F7F9084BE89}</author>
    <author>tc={4F663A38-6D8B-453C-A74D-2E3E6C8DBD87}</author>
    <author>tc={7748FF50-50D1-484B-9949-F09B26D64BE7}</author>
  </authors>
  <commentList>
    <comment ref="T5" authorId="0" shapeId="0" xr:uid="{13B7A58A-3878-489B-B1BF-4F7F9084BE89}">
      <text>
        <t>[Threaded comment]
Your version of Excel allows you to read this threaded comment; however, any edits to it will get removed if the file is opened in a newer version of Excel. Learn more: https://go.microsoft.com/fwlink/?linkid=870924
Comment:
    Added molybdenum trioxide column.</t>
      </text>
    </comment>
    <comment ref="D33" authorId="1" shapeId="0" xr:uid="{4F663A38-6D8B-453C-A74D-2E3E6C8DBD87}">
      <text>
        <t>[Threaded comment]
Your version of Excel allows you to read this threaded comment; however, any edits to it will get removed if the file is opened in a newer version of Excel. Learn more: https://go.microsoft.com/fwlink/?linkid=870924
Comment:
    Updated to include Al2O3 as "Aluminum and Compounds"</t>
      </text>
    </comment>
    <comment ref="E33" authorId="2" shapeId="0" xr:uid="{7748FF50-50D1-484B-9949-F09B26D64BE7}">
      <text>
        <t>[Threaded comment]
Your version of Excel allows you to read this threaded comment; however, any edits to it will get removed if the file is opened in a newer version of Excel. Learn more: https://go.microsoft.com/fwlink/?linkid=870924
Comment:
    Removed; emissions are included as "Al"</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tc={9B27E31F-4A45-4AEF-9575-3C132D3B0B06}</author>
    <author>tc={759D8417-6E68-4E6C-BE65-6EFAD416AEC3}</author>
    <author>tc={0D2BB26F-611C-4DC4-8C62-1C73C1345AF4}</author>
  </authors>
  <commentList>
    <comment ref="T5" authorId="0" shapeId="0" xr:uid="{9B27E31F-4A45-4AEF-9575-3C132D3B0B06}">
      <text>
        <t>[Threaded comment]
Your version of Excel allows you to read this threaded comment; however, any edits to it will get removed if the file is opened in a newer version of Excel. Learn more: https://go.microsoft.com/fwlink/?linkid=870924
Comment:
    Added molybdenum trioxide column.</t>
      </text>
    </comment>
    <comment ref="D33" authorId="1" shapeId="0" xr:uid="{759D8417-6E68-4E6C-BE65-6EFAD416AEC3}">
      <text>
        <t>[Threaded comment]
Your version of Excel allows you to read this threaded comment; however, any edits to it will get removed if the file is opened in a newer version of Excel. Learn more: https://go.microsoft.com/fwlink/?linkid=870924
Comment:
    Updated to include Al2O3 as "Aluminum and Compounds"</t>
      </text>
    </comment>
    <comment ref="E33" authorId="2" shapeId="0" xr:uid="{0D2BB26F-611C-4DC4-8C62-1C73C1345AF4}">
      <text>
        <t>[Threaded comment]
Your version of Excel allows you to read this threaded comment; however, any edits to it will get removed if the file is opened in a newer version of Excel. Learn more: https://go.microsoft.com/fwlink/?linkid=870924
Comment:
    Removed; emissions are included as "Al"</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tc={AD4DB697-8323-4D75-A40F-08218DD2EDB5}</author>
  </authors>
  <commentList>
    <comment ref="B63" authorId="0" shapeId="0" xr:uid="{AD4DB697-8323-4D75-A40F-08218DD2EDB5}">
      <text>
        <t>[Threaded comment]
Your version of Excel allows you to read this threaded comment; however, any edits to it will get removed if the file is opened in a newer version of Excel. Learn more: https://go.microsoft.com/fwlink/?linkid=870924
Comment:
    Added max daily totals for use in estimating daily risk from the worst-case rod type.</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tc={F1C9C2DF-6894-4507-949C-CDCBE252D24D}</author>
  </authors>
  <commentList>
    <comment ref="J3" authorId="0" shapeId="0" xr:uid="{F1C9C2DF-6894-4507-949C-CDCBE252D24D}">
      <text>
        <t>[Threaded comment]
Your version of Excel allows you to read this threaded comment; however, any edits to it will get removed if the file is opened in a newer version of Excel. Learn more: https://go.microsoft.com/fwlink/?linkid=870924
Comment:
    Column added by DEQ for updated acute risk analysis.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<sst xmlns="http://schemas.openxmlformats.org/spreadsheetml/2006/main" count="4231" uniqueCount="893">
  <si>
    <t>Table 1. Welding Emissions Summary</t>
  </si>
  <si>
    <t>Emissions (lbs/year)</t>
  </si>
  <si>
    <t>Al</t>
  </si>
  <si>
    <t>Al2O3</t>
  </si>
  <si>
    <t>Be</t>
  </si>
  <si>
    <t>Cd</t>
  </si>
  <si>
    <t>Co</t>
  </si>
  <si>
    <t>Cr</t>
  </si>
  <si>
    <t>Cr(VI)</t>
  </si>
  <si>
    <t>Cu</t>
  </si>
  <si>
    <t>Mn</t>
  </si>
  <si>
    <t>Ni</t>
  </si>
  <si>
    <t>P</t>
  </si>
  <si>
    <t>Pb</t>
  </si>
  <si>
    <t>Crystaline Silica</t>
  </si>
  <si>
    <t>V</t>
  </si>
  <si>
    <t>Zn</t>
  </si>
  <si>
    <t>Fluorides</t>
  </si>
  <si>
    <t>7429-90-5</t>
  </si>
  <si>
    <t>1344-28-1</t>
  </si>
  <si>
    <t>7440-41-7</t>
  </si>
  <si>
    <t>7440-43-9</t>
  </si>
  <si>
    <t>630-08-0</t>
  </si>
  <si>
    <t>7440-47-3</t>
  </si>
  <si>
    <t>18540-29-9</t>
  </si>
  <si>
    <t>7440-50-8</t>
  </si>
  <si>
    <t>7439-96-5</t>
  </si>
  <si>
    <t>7440-02-0</t>
  </si>
  <si>
    <t>7723-14-0</t>
  </si>
  <si>
    <t>7439-92-1</t>
  </si>
  <si>
    <t>14808-60-7</t>
  </si>
  <si>
    <t>7440-62-2</t>
  </si>
  <si>
    <t>7440-66-6</t>
  </si>
  <si>
    <t>Table 2. Welding Rod Emission Factors</t>
  </si>
  <si>
    <r>
      <t>Emission Factors (lbs/lb rod)</t>
    </r>
    <r>
      <rPr>
        <b/>
        <vertAlign val="superscript"/>
        <sz val="10"/>
        <rFont val="Tahoma"/>
        <family val="2"/>
      </rPr>
      <t>1</t>
    </r>
  </si>
  <si>
    <r>
      <t>GMAW</t>
    </r>
    <r>
      <rPr>
        <b/>
        <vertAlign val="superscript"/>
        <sz val="10"/>
        <rFont val="Tahoma"/>
        <family val="2"/>
      </rPr>
      <t>2,3,5</t>
    </r>
  </si>
  <si>
    <t>70S</t>
  </si>
  <si>
    <t>--</t>
  </si>
  <si>
    <t>80S</t>
  </si>
  <si>
    <t>90S</t>
  </si>
  <si>
    <t>309 (G)</t>
  </si>
  <si>
    <t>316 (G)</t>
  </si>
  <si>
    <t>Inco 62</t>
  </si>
  <si>
    <t>MG289</t>
  </si>
  <si>
    <r>
      <t>SMAW</t>
    </r>
    <r>
      <rPr>
        <b/>
        <vertAlign val="superscript"/>
        <sz val="10"/>
        <rFont val="Tahoma"/>
        <family val="2"/>
      </rPr>
      <t>4,5</t>
    </r>
  </si>
  <si>
    <t>Wearshield</t>
  </si>
  <si>
    <t>Techrod</t>
  </si>
  <si>
    <t>309 (S)</t>
  </si>
  <si>
    <t>316 (S)</t>
  </si>
  <si>
    <t>Super 600</t>
  </si>
  <si>
    <t>Unspecified</t>
  </si>
  <si>
    <t>Carbon Electrodes</t>
  </si>
  <si>
    <r>
      <t>Emission factors obtained from San Diego County Air Pollution Control District website</t>
    </r>
    <r>
      <rPr>
        <i/>
        <sz val="8"/>
        <rFont val="Tahoma"/>
        <family val="2"/>
      </rPr>
      <t xml:space="preserve"> (https://www.sdapcd.org/content/sdapcd/permits/toxics-emissions/calculation-procedures.html)</t>
    </r>
  </si>
  <si>
    <t>Conservatively assume emission factors for Wearshield 60 are similar to Inco 62 based on metal composition as emission factors from San Diego County Air Pollution Control District are not available</t>
  </si>
  <si>
    <t>Assume emission factors for Super 600 are similar to 316 based on metal composition as emission factors from San Diego County Air Pollution Control District are not available</t>
  </si>
  <si>
    <t xml:space="preserve">Boiler Control Efficiency = </t>
  </si>
  <si>
    <t xml:space="preserve">Boiler Building (Doors Closed/Method 22) = </t>
  </si>
  <si>
    <t xml:space="preserve">Shop Control Efficiency = </t>
  </si>
  <si>
    <t>Categorized based on recommended welding method as listed in the SDS.</t>
  </si>
  <si>
    <t>Per guidance from the San Diego County Air Pollution Control District website, when incomplete information is available from AP-42 Final Section 12.19, the emission factor should be determined by the equation EF = FGR x FCF x Ci. When available, FGR is the Fume generation rate found in AP 42 Section 12.19. When no FGR is available in Section 12.19 for the specific welding process and material, a district default FGR is used that has been provided by ARB, Richard Bode. Ci is the concentration provided in the MSDS. See Footnote 6 for discussion on FCF.</t>
  </si>
  <si>
    <t>Type of Welding</t>
  </si>
  <si>
    <t>Total Fume Emission Factor</t>
  </si>
  <si>
    <t>AP-42 (g/kg [lb/103 lb] Of Electrode Consumed)</t>
  </si>
  <si>
    <t>ARB, Richared Bode (lb/lb electrode consumed)</t>
  </si>
  <si>
    <t>Tig 70</t>
  </si>
  <si>
    <t>GMAW</t>
  </si>
  <si>
    <t>INCO 62</t>
  </si>
  <si>
    <t>Inconel Wire</t>
  </si>
  <si>
    <t>70 Mig</t>
  </si>
  <si>
    <t>316L 3/32 tig</t>
  </si>
  <si>
    <t>316L 1/8 tig</t>
  </si>
  <si>
    <t>309L 1/8 tig</t>
  </si>
  <si>
    <t>309L 3/32 tig</t>
  </si>
  <si>
    <t>F5P+ 1/8 6010 stick</t>
  </si>
  <si>
    <t>SMAW</t>
  </si>
  <si>
    <t>ER80S-B2 1/8 tig</t>
  </si>
  <si>
    <t>ER70S2 1/8 tig</t>
  </si>
  <si>
    <t>90SB-3 1/8 tig</t>
  </si>
  <si>
    <t>E6010-5P+ 3/32</t>
  </si>
  <si>
    <t>E6010-5P+ 5/32</t>
  </si>
  <si>
    <t>E6010-5P+ 1/8</t>
  </si>
  <si>
    <t>E6011 1/8 electrodes</t>
  </si>
  <si>
    <t>Wearshield 60 1/8</t>
  </si>
  <si>
    <t>Super 600 1/8 electrodes</t>
  </si>
  <si>
    <t>Inconel 625 3/32</t>
  </si>
  <si>
    <t>MG289 1/8</t>
  </si>
  <si>
    <t>E7018MR 3/32</t>
  </si>
  <si>
    <t>E7018MR 5/32</t>
  </si>
  <si>
    <t>E7018MR 1/8</t>
  </si>
  <si>
    <t>316L 3/32 electrodes</t>
  </si>
  <si>
    <t>309L 3/32 electrodes</t>
  </si>
  <si>
    <t>Inconel 625 1/8</t>
  </si>
  <si>
    <t>Tech Rod</t>
  </si>
  <si>
    <t>Fume Correction Factors were determined per San Diego Air Pollution Control District engineering discussions with Industry:</t>
  </si>
  <si>
    <t>Table 3. Welding Emissions from Welding inside the Boiler</t>
  </si>
  <si>
    <t>Weight Percent (%)</t>
  </si>
  <si>
    <t>Fe</t>
  </si>
  <si>
    <t>Si</t>
  </si>
  <si>
    <t>C</t>
  </si>
  <si>
    <t>Mo</t>
  </si>
  <si>
    <t>S</t>
  </si>
  <si>
    <t>Sn</t>
  </si>
  <si>
    <t>Nb</t>
  </si>
  <si>
    <t>Ti</t>
  </si>
  <si>
    <t>W</t>
  </si>
  <si>
    <t>CaCO3</t>
  </si>
  <si>
    <t>TiO2</t>
  </si>
  <si>
    <t>Sodium Silicate</t>
  </si>
  <si>
    <t>Calcium Fluoride</t>
  </si>
  <si>
    <t>Lithium Aluminum Silicate</t>
  </si>
  <si>
    <t>Feldspar</t>
  </si>
  <si>
    <t>K2C2O4</t>
  </si>
  <si>
    <t>Limestone</t>
  </si>
  <si>
    <t>Cryolite</t>
  </si>
  <si>
    <t>KOH</t>
  </si>
  <si>
    <t>Bentonite</t>
  </si>
  <si>
    <t>Magnesite</t>
  </si>
  <si>
    <t>Sodium Alginate</t>
  </si>
  <si>
    <t>K2CO3</t>
  </si>
  <si>
    <t>Quartz</t>
  </si>
  <si>
    <t>Fe2O3</t>
  </si>
  <si>
    <t>Cellulose</t>
  </si>
  <si>
    <t>Carboxymethyl Cellulose</t>
  </si>
  <si>
    <t>Chlorite</t>
  </si>
  <si>
    <t>Graphite</t>
  </si>
  <si>
    <t>Potassium Silicate</t>
  </si>
  <si>
    <t>Magnesium Oxide</t>
  </si>
  <si>
    <t>Mineral Silicates</t>
  </si>
  <si>
    <t>Silicates</t>
  </si>
  <si>
    <t>Lithium</t>
  </si>
  <si>
    <t>Kaolin</t>
  </si>
  <si>
    <t>Hydroxyethyl cellulose</t>
  </si>
  <si>
    <t>Hectorite</t>
  </si>
  <si>
    <t>Lithium Oxide</t>
  </si>
  <si>
    <t>Zirconium Oxide</t>
  </si>
  <si>
    <t>Potassium Oxide</t>
  </si>
  <si>
    <t>Zirconium</t>
  </si>
  <si>
    <t>SDAPCD Equivalent</t>
  </si>
  <si>
    <t>Min</t>
  </si>
  <si>
    <t>Max</t>
  </si>
  <si>
    <t>ER70S-Tig Wire</t>
  </si>
  <si>
    <t>Inconel-625-Material-Safety-Data-Sheet</t>
  </si>
  <si>
    <t>ER70S Mig Wire</t>
  </si>
  <si>
    <t>LIN-ED025083 316L-16 3_32 # CAN</t>
  </si>
  <si>
    <t>LIN-ED025098 LINCOLN 316 SS 1_8 10# CAN</t>
  </si>
  <si>
    <t>WAS-316L-332-16--WASH-ALLOY STAINLESS-STEEL 316-309</t>
  </si>
  <si>
    <t>LIN-ED020401 309-309L MR 3_32 8# CAN</t>
  </si>
  <si>
    <t>LIN-EDM13182304 1_8 6011 5# CAN</t>
  </si>
  <si>
    <t>LIN-ED010283 3_32x12 FLEETWELD 5P+ 30# CT(10EO)</t>
  </si>
  <si>
    <t>LIN-ED010285 5_32x14 FLEETWELD 5P 50# EO CAN</t>
  </si>
  <si>
    <t>LIN-ED010203 1_8x14  FLEETWELD 5P+ 50# EO CAN</t>
  </si>
  <si>
    <t>LIN-ED022010  Wearshield 60 18</t>
  </si>
  <si>
    <t>EUT-093425857342 SUPER 600 1_8 10# BOX1</t>
  </si>
  <si>
    <t>EUT-093425819319 MG 289 (382) 1_8 10# BOX1</t>
  </si>
  <si>
    <t>LIN-ED028280 3_32x12 EXCALIBUR 7018-A1 MR 25#EO CAN</t>
  </si>
  <si>
    <t>LIN-ED028282 5_32X14 EXCALIBUR 7018 MR 50# EO CAN</t>
  </si>
  <si>
    <t>LIN-ED028281 1_8x14 EXCALIBUR 7018 MR 50# EO CAN</t>
  </si>
  <si>
    <t>309L 3/32 electrodes (SAW)</t>
  </si>
  <si>
    <t>Total</t>
  </si>
  <si>
    <t>Control efficiency of 99.95% added due to being conducted inside the boiler during low flow and low temperature conditions.</t>
  </si>
  <si>
    <t>E7018MR contains both synthetic titanium dioxide and naturally occurring titatanium dioxide. Because they have the same CAS, the weight percents of each type have been added together for the sake of calculations to be treated as one total chemical.</t>
  </si>
  <si>
    <t>In cases where multiple SDS were provided for the same material (309L, 316L), the worst case weight % was taken for each material</t>
  </si>
  <si>
    <t>Table 3. Maximum SDS Weight Percent for Welding Rod Materials</t>
  </si>
  <si>
    <r>
      <t>Crystaline Silica</t>
    </r>
    <r>
      <rPr>
        <b/>
        <vertAlign val="superscript"/>
        <sz val="10"/>
        <rFont val="Tahoma"/>
        <family val="2"/>
      </rPr>
      <t>3</t>
    </r>
  </si>
  <si>
    <t>Tech Rod 112 1/8</t>
  </si>
  <si>
    <t>Carbon Arc Electrodes</t>
  </si>
  <si>
    <t>All silicon as listed is conservatively assumed to be crystaline silica (respirable)</t>
  </si>
  <si>
    <t>Table 4. Welding Emissions from Welding inside the Boiler</t>
  </si>
  <si>
    <t xml:space="preserve">Tech Rod 112 1/8 </t>
  </si>
  <si>
    <t>Table 5. Welding Emissions from Welding inside the Boiler Building (with Doors Closed)</t>
  </si>
  <si>
    <t>Table 6. Welding Emissions from Welding inside the Maintenance Shop</t>
  </si>
  <si>
    <t>Table 7. Welding Emissions from Welding Outside</t>
  </si>
  <si>
    <t>Table 8. Annual Welding Material Usage Amounts at Marion Facility</t>
  </si>
  <si>
    <t>Welding Rod Type</t>
  </si>
  <si>
    <r>
      <t>lbs used</t>
    </r>
    <r>
      <rPr>
        <b/>
        <vertAlign val="superscript"/>
        <sz val="10"/>
        <rFont val="Tahoma"/>
        <family val="2"/>
      </rPr>
      <t>1</t>
    </r>
  </si>
  <si>
    <t>% In Boiler</t>
  </si>
  <si>
    <t>lbs used in Boiler</t>
  </si>
  <si>
    <t>% In Shop</t>
  </si>
  <si>
    <t>lbs Used in Shop</t>
  </si>
  <si>
    <t>% In Boiler Building</t>
  </si>
  <si>
    <t>lbs Used in Boiler Building</t>
  </si>
  <si>
    <t>% Outside</t>
  </si>
  <si>
    <t>lbs Used Outside</t>
  </si>
  <si>
    <t>Table 9. Daily Welding Material Usage Amounts at Marion Facility</t>
  </si>
  <si>
    <t>See Calcs</t>
  </si>
  <si>
    <t>Daily maximum usage values were determined based on the following:</t>
  </si>
  <si>
    <t>For inside the boiler welding, emissions only occur during plant outages which based on 2022 data is:</t>
  </si>
  <si>
    <t>days per year</t>
  </si>
  <si>
    <t>For all other welding activities, welders may work at the plant up 10 hours per day, 4 days per week for 50 weeks a year, which equates to ~:</t>
  </si>
  <si>
    <t>Table 10. Facility Calculated Risk</t>
  </si>
  <si>
    <t>Emission Source</t>
  </si>
  <si>
    <t>Residential Cancer</t>
  </si>
  <si>
    <t>Residential Non-Cancer</t>
  </si>
  <si>
    <t>Child Cancer</t>
  </si>
  <si>
    <t>Child Non-Cancer</t>
  </si>
  <si>
    <t>Worker Cancer</t>
  </si>
  <si>
    <t>Worker Non-Cancer</t>
  </si>
  <si>
    <t>Acute Non-Cancer</t>
  </si>
  <si>
    <t>Boiler</t>
  </si>
  <si>
    <t>In-Shop</t>
  </si>
  <si>
    <t>Boiler Building</t>
  </si>
  <si>
    <t>Outside</t>
  </si>
  <si>
    <t>Total Risk</t>
  </si>
  <si>
    <r>
      <t>Risk Action Required</t>
    </r>
    <r>
      <rPr>
        <vertAlign val="superscript"/>
        <sz val="10"/>
        <color theme="1"/>
        <rFont val="Tahoma"/>
        <family val="2"/>
      </rPr>
      <t>1</t>
    </r>
  </si>
  <si>
    <t>None</t>
  </si>
  <si>
    <r>
      <t>Existing Source Risk Action Levels</t>
    </r>
    <r>
      <rPr>
        <b/>
        <vertAlign val="superscript"/>
        <sz val="10"/>
        <rFont val="Tahoma"/>
        <family val="2"/>
      </rPr>
      <t>1</t>
    </r>
  </si>
  <si>
    <t>Excess Cancer Risk per Million</t>
  </si>
  <si>
    <t>Noncancer Hazard Index</t>
  </si>
  <si>
    <t>Aggregate TEU Level</t>
  </si>
  <si>
    <t>Source Permit Level</t>
  </si>
  <si>
    <t>Community Engagement Level</t>
  </si>
  <si>
    <t>TBACT Level</t>
  </si>
  <si>
    <t>Risk Reduction Level</t>
  </si>
  <si>
    <t>Immediate Curtailment Level</t>
  </si>
  <si>
    <t>OAR 340-245-8010 Table 1</t>
  </si>
  <si>
    <t>Table 11. Residential Cancer REERs</t>
  </si>
  <si>
    <t>Total REER</t>
  </si>
  <si>
    <t>CAS Number</t>
  </si>
  <si>
    <t>7440-48-4</t>
  </si>
  <si>
    <t>7631-86-9</t>
  </si>
  <si>
    <t>Cancer RBC</t>
  </si>
  <si>
    <t>REERs</t>
  </si>
  <si>
    <t>Table 12. Residential Non-Cancer REERs</t>
  </si>
  <si>
    <t>Non-Cancer RBC</t>
  </si>
  <si>
    <t>Table 13. Child Cancer REERs</t>
  </si>
  <si>
    <t>REER</t>
  </si>
  <si>
    <t>Table 14. Child Non-Cancer REERs</t>
  </si>
  <si>
    <t>Table 15. Worker Cancer REERs</t>
  </si>
  <si>
    <t>Table 16. Worker Non-Cancer REERs</t>
  </si>
  <si>
    <t>Table 17. Acute Non-Cancer REERs</t>
  </si>
  <si>
    <t>Welding emissions generated inside the boiler occur of outage days, in 2022 this was 30 equivalent days</t>
  </si>
  <si>
    <t>Welding emissions generated in the boiler building, shop and outside occur during days that welders are onsite which in 2022 was 200 days</t>
  </si>
  <si>
    <t>Table 18. Dispersion Factors</t>
  </si>
  <si>
    <t>Emission Unit</t>
  </si>
  <si>
    <t>Point/Fugitive</t>
  </si>
  <si>
    <t>Stack Height (ft)</t>
  </si>
  <si>
    <t>Stack Height (m)</t>
  </si>
  <si>
    <t>Stack Height Rounded  (m)</t>
  </si>
  <si>
    <r>
      <t>Building Area   (ft</t>
    </r>
    <r>
      <rPr>
        <b/>
        <vertAlign val="superscript"/>
        <sz val="10"/>
        <rFont val="Tahoma"/>
        <family val="2"/>
      </rPr>
      <t>2</t>
    </r>
    <r>
      <rPr>
        <b/>
        <sz val="10"/>
        <rFont val="Tahoma"/>
        <family val="2"/>
      </rPr>
      <t>)</t>
    </r>
  </si>
  <si>
    <t>Building Height (ft)</t>
  </si>
  <si>
    <t>Distance to Fenceline   (m)</t>
  </si>
  <si>
    <t>Distance to Residential Receptor   (m)</t>
  </si>
  <si>
    <t>Distance to Worker Receptor</t>
  </si>
  <si>
    <t>Distance to Child Receptor (m)</t>
  </si>
  <si>
    <t xml:space="preserve">Residential Dispersion Factor </t>
  </si>
  <si>
    <t xml:space="preserve">Worker Dispersion Factor </t>
  </si>
  <si>
    <t>Child Dispersion Factor</t>
  </si>
  <si>
    <t>Acute Dispersion Factor</t>
  </si>
  <si>
    <t>Point</t>
  </si>
  <si>
    <t>Fugitive</t>
  </si>
  <si>
    <t>&lt;3,000</t>
  </si>
  <si>
    <t>If the stack heights or distances to receptors were between two dispersion character listed parameters, the worst case was chosen</t>
  </si>
  <si>
    <t>Outside includes choices based on the worst case dispersion factors</t>
  </si>
  <si>
    <t>SPAPCD Default Welding Rod Emission Factors</t>
  </si>
  <si>
    <t>Emission of metals from MG 289 is assumed to be negligible based on San Diego County Air Pollution Control District, Soldering Operations Document (https://www.sdapcd.org/content/dam/sdapcd/documents/permits/emissions-calculation/soldering/APCD-Soldering-Operations.pdf)</t>
  </si>
  <si>
    <t>SPACD Utilized Weight Percents for Default Emission Factors</t>
  </si>
  <si>
    <t xml:space="preserve"> </t>
  </si>
  <si>
    <t>Stack</t>
  </si>
  <si>
    <t>Ht</t>
  </si>
  <si>
    <t>m</t>
  </si>
  <si>
    <t>OAR 340-245-8010 Table 3</t>
  </si>
  <si>
    <t>Level 1 Risk Assessment Tool</t>
  </si>
  <si>
    <t>Dispersion Factors</t>
  </si>
  <si>
    <r>
      <t>Table 3A: Stack Emission Dispersion Factors for Annual Exposure (</t>
    </r>
    <r>
      <rPr>
        <b/>
        <sz val="12"/>
        <rFont val="Calibri"/>
        <family val="2"/>
      </rPr>
      <t>µ</t>
    </r>
    <r>
      <rPr>
        <b/>
        <sz val="12"/>
        <rFont val="Arial"/>
        <family val="2"/>
      </rPr>
      <t>g/m</t>
    </r>
    <r>
      <rPr>
        <b/>
        <vertAlign val="superscript"/>
        <sz val="12"/>
        <rFont val="Arial"/>
        <family val="2"/>
      </rPr>
      <t>3</t>
    </r>
    <r>
      <rPr>
        <b/>
        <sz val="12"/>
        <rFont val="Arial"/>
        <family val="2"/>
      </rPr>
      <t xml:space="preserve"> / pounds/year)</t>
    </r>
  </si>
  <si>
    <t>Exposure Location Distance (meters)</t>
  </si>
  <si>
    <t>Ht (m)</t>
  </si>
  <si>
    <r>
      <t>Table 3B: Stack Emission Dispersion Factors for 24 hour Exposure (</t>
    </r>
    <r>
      <rPr>
        <b/>
        <sz val="12"/>
        <rFont val="Calibri"/>
        <family val="2"/>
      </rPr>
      <t>µ</t>
    </r>
    <r>
      <rPr>
        <b/>
        <sz val="12"/>
        <rFont val="Arial"/>
        <family val="2"/>
      </rPr>
      <t>g/m</t>
    </r>
    <r>
      <rPr>
        <b/>
        <vertAlign val="superscript"/>
        <sz val="12"/>
        <rFont val="Arial"/>
        <family val="2"/>
      </rPr>
      <t>3</t>
    </r>
    <r>
      <rPr>
        <b/>
        <sz val="12"/>
        <rFont val="Arial"/>
        <family val="2"/>
      </rPr>
      <t xml:space="preserve"> / pounds/day)</t>
    </r>
  </si>
  <si>
    <t xml:space="preserve">Use of stack emission dispersion factors in a Level 1 screening risk assessment: </t>
  </si>
  <si>
    <t>For each Toxics Emissions Unit, select the appropriate stack height and distance from the stack to nearest exposure locations approved by DEQ. For each exposure location, find the corresponding annual dispersion factor in Table 3A. For each toxic air contaminant, multiply the annual air toxic emission rate (in pounds/year) by the dispersion factor. Divide the product by the RBC for all the toxic air contaminants for the appropriate exposure location in OAR 340-245-8010 Table 2. Add up the resulting ratios for all Toxic Emissions Units for each exposure location. Compare the results with the Risk Action Levels in OAR 340-245-8010 Table 1. Repeat the process for daily emission rates (in pounds/day) using Table 3B at the acute exposure location.</t>
  </si>
  <si>
    <t>For a stack height between the values shown in the table, either use the next lowest stack height, or interpolate the dispersion factor. For an exposure location distance between the values shown in the table, either use the next lowest distance, or interpolate the dispersion factor. For stack heights greater than 50 meters, use the appropriate dispersion factor for 50 meters. For exposure locations greater than 1,000 meters from your facility, use the appropriate dispersion factor at 1,000 meters. In the absence of a known stack height and exposure location distance, use as a default the annual dispersion factor (0.0033 μg/m3 / pounds/year) and daily dispersion factor (8.3 μg/m3 / pounds/day) for a stack height of 5 meters and an exposure location distance of 50 meters.</t>
  </si>
  <si>
    <t xml:space="preserve">Stat. Auth.: ORS 468.020, 468A.025, 468A.135 </t>
  </si>
  <si>
    <t>Stats. Implemented: 468A.025</t>
  </si>
  <si>
    <r>
      <t>Table 3C: Fugitive Emission Dispersion Factors for Annual Exposure (</t>
    </r>
    <r>
      <rPr>
        <b/>
        <sz val="12"/>
        <rFont val="Calibri"/>
        <family val="2"/>
      </rPr>
      <t>µ</t>
    </r>
    <r>
      <rPr>
        <b/>
        <sz val="12"/>
        <rFont val="Arial"/>
        <family val="2"/>
      </rPr>
      <t>g/m</t>
    </r>
    <r>
      <rPr>
        <b/>
        <vertAlign val="superscript"/>
        <sz val="12"/>
        <rFont val="Arial"/>
        <family val="2"/>
      </rPr>
      <t>3</t>
    </r>
    <r>
      <rPr>
        <b/>
        <sz val="12"/>
        <rFont val="Arial"/>
        <family val="2"/>
      </rPr>
      <t xml:space="preserve"> / pounds/year)</t>
    </r>
  </si>
  <si>
    <t>Building Area</t>
  </si>
  <si>
    <t>Building</t>
  </si>
  <si>
    <t>(1,000 ft2)</t>
  </si>
  <si>
    <t>Height (ft)</t>
  </si>
  <si>
    <t>≤3</t>
  </si>
  <si>
    <t>≤20</t>
  </si>
  <si>
    <t>&gt;3 to 6</t>
  </si>
  <si>
    <t>&gt;20</t>
  </si>
  <si>
    <t>&gt;6 to 10</t>
  </si>
  <si>
    <t>&gt;10 to 15</t>
  </si>
  <si>
    <t>&gt;15 to 30</t>
  </si>
  <si>
    <t>&gt;30</t>
  </si>
  <si>
    <r>
      <t>Table 3D: Fugitive Emission Dispersion Factors for 24 hour Exposure (</t>
    </r>
    <r>
      <rPr>
        <b/>
        <sz val="12"/>
        <rFont val="Calibri"/>
        <family val="2"/>
      </rPr>
      <t>µ</t>
    </r>
    <r>
      <rPr>
        <b/>
        <sz val="12"/>
        <rFont val="Arial"/>
        <family val="2"/>
      </rPr>
      <t>g/m</t>
    </r>
    <r>
      <rPr>
        <b/>
        <vertAlign val="superscript"/>
        <sz val="12"/>
        <rFont val="Arial"/>
        <family val="2"/>
      </rPr>
      <t>3</t>
    </r>
    <r>
      <rPr>
        <b/>
        <sz val="12"/>
        <rFont val="Arial"/>
        <family val="2"/>
      </rPr>
      <t xml:space="preserve"> / pounds/day)</t>
    </r>
  </si>
  <si>
    <t xml:space="preserve">Use of fugitive emission dispersion factors in a Level 1 screening risk assessment: </t>
  </si>
  <si>
    <t>For each Toxics Emissions Unit, select the appropriate building dimensions and distance from building to nearest exposure locations approved by DEQ. For each exposure location, find the corresponding annual dispersion factor in Table 3C. For each toxic air contaminant, multiply the annual air toxic emission rate (in pounds/year) by the dispersion factor. Divide the product by the RBC for all the toxic air contaminants for the appropriate exposure location in OAR 340-245-8010 Table 2. Add up the resulting ratios for all Toxic Emissions Units for each exposure location. Compare the results with the Risk Action Levels in OAR 340-245-8010 Table 1. Repeat the process for daily emission rates (in pounds/day) using Table 3D at the acute exposure location.</t>
  </si>
  <si>
    <r>
      <t xml:space="preserve">For an exposure location distance between the values shown in the table, either use the next lowest distance, or interpolate the dispersion factor. For exposure locations greater than 1,000 meters from your facility, use the appropriate dispersion factor at 1,000 meters. In the absence of known buidling dimensions and exposure location distance, use as a default, the annual dispersion factor (0.0045 μg/m3 / pounds/year) and daily dispersion factor (4.8 μg/m3 / pounds/day) for a building area of </t>
    </r>
    <r>
      <rPr>
        <sz val="10"/>
        <color theme="1"/>
        <rFont val="Calibri"/>
        <family val="2"/>
      </rPr>
      <t>≤</t>
    </r>
    <r>
      <rPr>
        <sz val="10"/>
        <color theme="1"/>
        <rFont val="Arial"/>
        <family val="2"/>
      </rPr>
      <t>3,000 ft2, height of ≤20 ft, and exposure location distance of 50 meters.</t>
    </r>
  </si>
  <si>
    <r>
      <t>Residential Chronic RBC</t>
    </r>
    <r>
      <rPr>
        <b/>
        <vertAlign val="superscript"/>
        <sz val="11"/>
        <color theme="1"/>
        <rFont val="Arial"/>
        <family val="2"/>
      </rPr>
      <t>a</t>
    </r>
  </si>
  <si>
    <r>
      <t>Non-Residential Chronic RBC</t>
    </r>
    <r>
      <rPr>
        <b/>
        <vertAlign val="superscript"/>
        <sz val="11"/>
        <color theme="1"/>
        <rFont val="Arial"/>
        <family val="2"/>
      </rPr>
      <t>a</t>
    </r>
  </si>
  <si>
    <t>Noncancer</t>
  </si>
  <si>
    <t>Cancer</t>
  </si>
  <si>
    <t>Child Noncancer</t>
  </si>
  <si>
    <t>Worker Noncancer</t>
  </si>
  <si>
    <r>
      <t>Acute RBC</t>
    </r>
    <r>
      <rPr>
        <b/>
        <vertAlign val="superscript"/>
        <sz val="11"/>
        <color theme="1"/>
        <rFont val="Arial"/>
        <family val="2"/>
      </rPr>
      <t>a</t>
    </r>
  </si>
  <si>
    <t>True</t>
  </si>
  <si>
    <t>Adjusted</t>
  </si>
  <si>
    <t>Early</t>
  </si>
  <si>
    <t>Multipathway Adjustment Factor (MPAF)</t>
  </si>
  <si>
    <r>
      <t>CAS#</t>
    </r>
    <r>
      <rPr>
        <b/>
        <vertAlign val="superscript"/>
        <sz val="11"/>
        <color theme="1"/>
        <rFont val="Arial"/>
        <family val="2"/>
      </rPr>
      <t>b</t>
    </r>
  </si>
  <si>
    <t>Chemical</t>
  </si>
  <si>
    <t>Notes</t>
  </si>
  <si>
    <t>Class</t>
  </si>
  <si>
    <r>
      <t>(µg/m</t>
    </r>
    <r>
      <rPr>
        <b/>
        <vertAlign val="superscript"/>
        <sz val="11"/>
        <color theme="1"/>
        <rFont val="Arial"/>
        <family val="2"/>
      </rPr>
      <t>3</t>
    </r>
    <r>
      <rPr>
        <b/>
        <sz val="11"/>
        <color theme="1"/>
        <rFont val="Arial"/>
        <family val="2"/>
      </rPr>
      <t>)</t>
    </r>
  </si>
  <si>
    <t>Count</t>
  </si>
  <si>
    <t>Life</t>
  </si>
  <si>
    <t>Resident</t>
  </si>
  <si>
    <t>Non-Resident</t>
  </si>
  <si>
    <t>75-07-0</t>
  </si>
  <si>
    <t>Acetaldehyde</t>
  </si>
  <si>
    <t>HI3</t>
  </si>
  <si>
    <t>N</t>
  </si>
  <si>
    <t>106-99-0</t>
  </si>
  <si>
    <t>1,3-Butadiene</t>
  </si>
  <si>
    <t>60-35-5</t>
  </si>
  <si>
    <t>Acetamide</t>
  </si>
  <si>
    <t>78-93-3</t>
  </si>
  <si>
    <t>2-Butanone (methyl ethyl ketone)</t>
  </si>
  <si>
    <t>67-64-1</t>
  </si>
  <si>
    <t>Acetone</t>
  </si>
  <si>
    <t>75-05-8</t>
  </si>
  <si>
    <t>Acetonitrile</t>
  </si>
  <si>
    <t>Acetylaldehyde</t>
  </si>
  <si>
    <t>107-02-8</t>
  </si>
  <si>
    <t>Acrolein</t>
  </si>
  <si>
    <t>HI5</t>
  </si>
  <si>
    <t>79-06-1</t>
  </si>
  <si>
    <t>Acrylamide</t>
  </si>
  <si>
    <t>g</t>
  </si>
  <si>
    <t>Y</t>
  </si>
  <si>
    <t>107-13-1</t>
  </si>
  <si>
    <t>Acrylonitrile</t>
  </si>
  <si>
    <t>79-10-7</t>
  </si>
  <si>
    <t>Acrylic acid</t>
  </si>
  <si>
    <t>Aluminum and compounds</t>
  </si>
  <si>
    <t>61-82-5</t>
  </si>
  <si>
    <t>Amitrole</t>
  </si>
  <si>
    <t>309-00-2</t>
  </si>
  <si>
    <t>Aldrin</t>
  </si>
  <si>
    <t>7664-41-7</t>
  </si>
  <si>
    <t>Ammonia</t>
  </si>
  <si>
    <t>107-05-1</t>
  </si>
  <si>
    <t>Allyl chloride</t>
  </si>
  <si>
    <t>7440-36-0</t>
  </si>
  <si>
    <t>Antimony and compounds</t>
  </si>
  <si>
    <t>l</t>
  </si>
  <si>
    <t>7440-38-2</t>
  </si>
  <si>
    <t>Arsenic and compounds</t>
  </si>
  <si>
    <t>7440-39-3</t>
  </si>
  <si>
    <t>Barium and compounds</t>
  </si>
  <si>
    <t>62-53-3</t>
  </si>
  <si>
    <t>Aniline</t>
  </si>
  <si>
    <t>71-43-2</t>
  </si>
  <si>
    <t>Benzene</t>
  </si>
  <si>
    <t>50-32-8</t>
  </si>
  <si>
    <t>Benzo[a]pyrene</t>
  </si>
  <si>
    <t>140-57-8</t>
  </si>
  <si>
    <t>Aramite</t>
  </si>
  <si>
    <t>Beryllium and compounds</t>
  </si>
  <si>
    <t>Cadmium and compounds</t>
  </si>
  <si>
    <t>7784-42-1</t>
  </si>
  <si>
    <t>Arsine</t>
  </si>
  <si>
    <t>Carbon black extracts</t>
  </si>
  <si>
    <t>1332-21-4</t>
  </si>
  <si>
    <t>Asbestos</t>
  </si>
  <si>
    <t>i</t>
  </si>
  <si>
    <t>Chromium VI, chromate and dichromate particles</t>
  </si>
  <si>
    <t>103-33-3</t>
  </si>
  <si>
    <t>Azobenzene</t>
  </si>
  <si>
    <t>Cobalt and Compounds</t>
  </si>
  <si>
    <t>Copper and compounds</t>
  </si>
  <si>
    <t>92-87-5</t>
  </si>
  <si>
    <t>Benzidine (and its salts)</t>
  </si>
  <si>
    <t>Diesel Particulate Matter</t>
  </si>
  <si>
    <t>100-44-7</t>
  </si>
  <si>
    <t>Benzyl chloride</t>
  </si>
  <si>
    <t>100-41-4</t>
  </si>
  <si>
    <t>Ethyl benzene</t>
  </si>
  <si>
    <t>111-44-4</t>
  </si>
  <si>
    <t>Bis(2-chloroethyl) ether (BCEE)</t>
  </si>
  <si>
    <t>50-00-0</t>
  </si>
  <si>
    <t>Formaldehyde</t>
  </si>
  <si>
    <t>542-88-1</t>
  </si>
  <si>
    <t>Bis(chloromethyl) ether</t>
  </si>
  <si>
    <t>822-06-0</t>
  </si>
  <si>
    <t>Hexamethylene-1,6-diisocyanate</t>
  </si>
  <si>
    <t>117-81-7</t>
  </si>
  <si>
    <t>Bis(2-ethylhexyl) phthalate (DEHP)</t>
  </si>
  <si>
    <t>c</t>
  </si>
  <si>
    <t>110-54-3</t>
  </si>
  <si>
    <t>Hexane</t>
  </si>
  <si>
    <t>75-25-2</t>
  </si>
  <si>
    <t>Bromoform</t>
  </si>
  <si>
    <t>7647-01-0</t>
  </si>
  <si>
    <t>Hydrochloric acid</t>
  </si>
  <si>
    <t>74-83-9</t>
  </si>
  <si>
    <t>Bromomethane (Methyl bromide)</t>
  </si>
  <si>
    <t>67-63-0</t>
  </si>
  <si>
    <t>Isopropyl Alcohol</t>
  </si>
  <si>
    <t>106-94-5</t>
  </si>
  <si>
    <t>1-Bromopropane (n-propyl bromide)</t>
  </si>
  <si>
    <t>Lead and compounds</t>
  </si>
  <si>
    <t>Manganese and compounds</t>
  </si>
  <si>
    <t>2-Butanone (Methyl ethyl ketone)</t>
  </si>
  <si>
    <t>7439-97-6</t>
  </si>
  <si>
    <t>Mercury and compounds</t>
  </si>
  <si>
    <t>78-92-2</t>
  </si>
  <si>
    <t>sec-Butyl alcohol</t>
  </si>
  <si>
    <t>67-56-1</t>
  </si>
  <si>
    <t>Methanol</t>
  </si>
  <si>
    <t>c, l</t>
  </si>
  <si>
    <t>80-62-6</t>
  </si>
  <si>
    <t>Methyl methacrylate</t>
  </si>
  <si>
    <t>105-60-2</t>
  </si>
  <si>
    <t>Caprolactam</t>
  </si>
  <si>
    <t>1313-27-5</t>
  </si>
  <si>
    <t>Molybdenum trioxide</t>
  </si>
  <si>
    <t>75-15-0</t>
  </si>
  <si>
    <t>Carbon disulfide</t>
  </si>
  <si>
    <t>91-20-3</t>
  </si>
  <si>
    <t>Napthalene</t>
  </si>
  <si>
    <t>56-23-5</t>
  </si>
  <si>
    <t>Carbon tetrachloride</t>
  </si>
  <si>
    <t>Nickel compounds, insoluble</t>
  </si>
  <si>
    <t>463-58-1</t>
  </si>
  <si>
    <t>Carbonyl sulfide</t>
  </si>
  <si>
    <t>7697-37-2</t>
  </si>
  <si>
    <t>Nitric acid</t>
  </si>
  <si>
    <t>57-74-9</t>
  </si>
  <si>
    <t>Chlordane</t>
  </si>
  <si>
    <t>Polycyclic Aromatic Hydrocarbons (PAHs)</t>
  </si>
  <si>
    <t>108171-26-2</t>
  </si>
  <si>
    <t>Chlorinated paraffins</t>
  </si>
  <si>
    <t>j</t>
  </si>
  <si>
    <t>7782-49-2</t>
  </si>
  <si>
    <t>Selenium and compounds</t>
  </si>
  <si>
    <t>7782-50-5</t>
  </si>
  <si>
    <t>Chlorine</t>
  </si>
  <si>
    <t>Silica, crystalline (respirable)</t>
  </si>
  <si>
    <t>10049-04-4</t>
  </si>
  <si>
    <t>Chlorine dioxide</t>
  </si>
  <si>
    <t>7440-22-4</t>
  </si>
  <si>
    <t>Silver and compounds</t>
  </si>
  <si>
    <t>532-27-4</t>
  </si>
  <si>
    <t>2-Chloroacetophenone</t>
  </si>
  <si>
    <t>100-42-5</t>
  </si>
  <si>
    <t>Styrene</t>
  </si>
  <si>
    <t>108-90-7</t>
  </si>
  <si>
    <t>Chlorobenzene</t>
  </si>
  <si>
    <t>108-88-3</t>
  </si>
  <si>
    <t>Toluene</t>
  </si>
  <si>
    <t>75-68-3</t>
  </si>
  <si>
    <t>1-Chloro-1,1-difluoroethane</t>
  </si>
  <si>
    <t>Vanadium (fume or dust)</t>
  </si>
  <si>
    <t>75-45-6</t>
  </si>
  <si>
    <t>Chlorodifluoromethane (Freon 22)</t>
  </si>
  <si>
    <t>1330-20-7</t>
  </si>
  <si>
    <t>Xylene (mixture), including m-xylene, o-xylene</t>
  </si>
  <si>
    <t>75-00-3</t>
  </si>
  <si>
    <t>Chloroethane (Ethyl chloride)</t>
  </si>
  <si>
    <t>Zinc and compounds</t>
  </si>
  <si>
    <t>67-66-3</t>
  </si>
  <si>
    <t>Chloroform</t>
  </si>
  <si>
    <t>74-87-3</t>
  </si>
  <si>
    <t>Chloromethane (Methyl chloride)</t>
  </si>
  <si>
    <t>95-83-0</t>
  </si>
  <si>
    <t>4-Chloro-o-phenylenediamine</t>
  </si>
  <si>
    <t>76-06-2</t>
  </si>
  <si>
    <t>Chloropicrin</t>
  </si>
  <si>
    <t>126-99-8</t>
  </si>
  <si>
    <t>Chloroprene</t>
  </si>
  <si>
    <t>95-69-2</t>
  </si>
  <si>
    <t>p-Chloro-o-toluidine</t>
  </si>
  <si>
    <t>Chromium VI, chromate and dichromate particulate</t>
  </si>
  <si>
    <t>c, d</t>
  </si>
  <si>
    <t>7738-94-5</t>
  </si>
  <si>
    <t>Chromic(VI) acid, including chromic acid aerosol mist and chromium trioxide</t>
  </si>
  <si>
    <t>Cobalt and compounds</t>
  </si>
  <si>
    <t>Coke Oven Emissions</t>
  </si>
  <si>
    <t>120-71-8</t>
  </si>
  <si>
    <t>p-Cresidine</t>
  </si>
  <si>
    <t>1319-77-3</t>
  </si>
  <si>
    <t>Cresols (mixture), including m-cresol, o-cresol, p-cresol</t>
  </si>
  <si>
    <t>135-20-6</t>
  </si>
  <si>
    <t>Cupferron</t>
  </si>
  <si>
    <t>74-90-8</t>
  </si>
  <si>
    <t>Cyanide, Hydrogen</t>
  </si>
  <si>
    <t>110-82-7</t>
  </si>
  <si>
    <t>Cyclohexane</t>
  </si>
  <si>
    <t>50-29-3</t>
  </si>
  <si>
    <t>DDT</t>
  </si>
  <si>
    <t>e</t>
  </si>
  <si>
    <t>615-05-4</t>
  </si>
  <si>
    <t>2,4-Diaminoanisole</t>
  </si>
  <si>
    <t>95-80-7</t>
  </si>
  <si>
    <t>2,4-Diaminotoluene (2,4-Toluene diamine)</t>
  </si>
  <si>
    <t>333-41-5</t>
  </si>
  <si>
    <t>Diazinon</t>
  </si>
  <si>
    <t>96-12-8</t>
  </si>
  <si>
    <t>1,2-Dibromo-3-chloropropane (DBCP)</t>
  </si>
  <si>
    <t>106-46-7</t>
  </si>
  <si>
    <t>p-Dichlorobenzene (1,4-Dichlorobenzene)</t>
  </si>
  <si>
    <t>91-94-1</t>
  </si>
  <si>
    <t>3,3'-Dichlorobenzidine</t>
  </si>
  <si>
    <t>75-34-3</t>
  </si>
  <si>
    <t>1,1-Dichloroethane (Ethylidene dichloride)</t>
  </si>
  <si>
    <t>156-60-5</t>
  </si>
  <si>
    <t>trans-1,2-dichloroethene</t>
  </si>
  <si>
    <t>75-09-2</t>
  </si>
  <si>
    <t>Dichloromethane (Methylene chloride)</t>
  </si>
  <si>
    <t>78-87-5</t>
  </si>
  <si>
    <t>1,2-Dichloropropane (Propylene dichloride)</t>
  </si>
  <si>
    <t>542-75-6</t>
  </si>
  <si>
    <t>1,3-Dichloropropene</t>
  </si>
  <si>
    <t>62-73-7</t>
  </si>
  <si>
    <t>Dichlorvos (DDVP)</t>
  </si>
  <si>
    <t>60-57-1</t>
  </si>
  <si>
    <t>Dieldrin</t>
  </si>
  <si>
    <t>111-42-2</t>
  </si>
  <si>
    <t>Diethanolamine</t>
  </si>
  <si>
    <t>112-34-5</t>
  </si>
  <si>
    <t>Diethylene glycol monobutyl ether</t>
  </si>
  <si>
    <t>111-90-0</t>
  </si>
  <si>
    <t>Diethylene glycol monoethyl ether</t>
  </si>
  <si>
    <t>75-37-6</t>
  </si>
  <si>
    <t>1,1-Difluoroethane</t>
  </si>
  <si>
    <t>60-11-7</t>
  </si>
  <si>
    <t>4-Dimethylaminoazobenzene</t>
  </si>
  <si>
    <t>68-12-2</t>
  </si>
  <si>
    <t>Dimethyl formamide</t>
  </si>
  <si>
    <t>57-14-7</t>
  </si>
  <si>
    <t>1,1-Dimethylhydrazine</t>
  </si>
  <si>
    <t>121-14-2</t>
  </si>
  <si>
    <t>2,4-Dinitrotoluene</t>
  </si>
  <si>
    <t>123-91-1</t>
  </si>
  <si>
    <t>1,4-Dioxane</t>
  </si>
  <si>
    <t>122-66-7</t>
  </si>
  <si>
    <t>1,2-Diphenylhydrazine (Hydrazobenzene)</t>
  </si>
  <si>
    <t>1937-37-7</t>
  </si>
  <si>
    <t>Direct Black 38</t>
  </si>
  <si>
    <t>2602-46-2</t>
  </si>
  <si>
    <t>Direct Blue 6</t>
  </si>
  <si>
    <t>16071-86-6</t>
  </si>
  <si>
    <t>Direct Brown 95 (technical grade)</t>
  </si>
  <si>
    <t>298-04-4</t>
  </si>
  <si>
    <t>Disulfoton</t>
  </si>
  <si>
    <t>106-89-8</t>
  </si>
  <si>
    <t>Epichlorohydrin</t>
  </si>
  <si>
    <t>106-88-7</t>
  </si>
  <si>
    <t>1,2-Epoxybutane</t>
  </si>
  <si>
    <t>140-88-5</t>
  </si>
  <si>
    <t>Ethyl acrylate</t>
  </si>
  <si>
    <t>106-93-4</t>
  </si>
  <si>
    <t>Ethylene dibromide (EDB, 1,2-Dibromoethane)</t>
  </si>
  <si>
    <t>107-06-2</t>
  </si>
  <si>
    <t>Ethylene dichloride (EDC, 1,2-Dichloroethane)</t>
  </si>
  <si>
    <t>107-21-1</t>
  </si>
  <si>
    <t>Ethylene glycol</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</si>
  <si>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</si>
  <si>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</si>
  <si>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</si>
  <si>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</si>
  <si>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</si>
  <si>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</si>
  <si>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</si>
  <si>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</si>
  <si>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</si>
  <si>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</si>
  <si>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75-21-8</t>
  </si>
  <si>
    <t>Ethylene oxide</t>
  </si>
  <si>
    <t>96-45-7</t>
  </si>
  <si>
    <t>Ethylene thiourea</t>
  </si>
  <si>
    <t>7782-41-4</t>
  </si>
  <si>
    <t>Fluorine gas</t>
  </si>
  <si>
    <t>111-30-8</t>
  </si>
  <si>
    <t>Glutaraldehyde</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</si>
  <si>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</si>
  <si>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</si>
  <si>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</si>
  <si>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</si>
  <si>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</si>
  <si>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</si>
  <si>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</si>
  <si>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</si>
  <si>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</si>
  <si>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</si>
  <si>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</si>
  <si>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</si>
  <si>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</si>
  <si>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</si>
  <si>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</si>
  <si>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</si>
  <si>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</si>
  <si>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</si>
  <si>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</si>
  <si>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</si>
  <si>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302-01-2</t>
  </si>
  <si>
    <t>Hydrazine</t>
  </si>
  <si>
    <t>7664-39-3</t>
  </si>
  <si>
    <t>Hydrogen fluoride</t>
  </si>
  <si>
    <t>7783-06-4</t>
  </si>
  <si>
    <t>Hydrogen sulfide</t>
  </si>
  <si>
    <t>78-59-1</t>
  </si>
  <si>
    <t>Isophorone</t>
  </si>
  <si>
    <t>Isopropyl alcohol</t>
  </si>
  <si>
    <t>98-82-8</t>
  </si>
  <si>
    <t>Isopropylbenzene (Cumene)</t>
  </si>
  <si>
    <t>108-31-6</t>
  </si>
  <si>
    <t>Maleic anhydride</t>
  </si>
  <si>
    <t>101-14-4</t>
  </si>
  <si>
    <t>4,4'-Methylene bis(2-chloroaniline) (MOCA)</t>
  </si>
  <si>
    <t>101-77-9</t>
  </si>
  <si>
    <t>4,4'-Methylenedianiline (and its dichloride)</t>
  </si>
  <si>
    <t>101-68-8</t>
  </si>
  <si>
    <t>Methylene diphenyl diisocyanate (MDI)</t>
  </si>
  <si>
    <t>108-10-1</t>
  </si>
  <si>
    <t>Methyl isobutyl ketone (MIBK, Hexone)</t>
  </si>
  <si>
    <t>624-83-9</t>
  </si>
  <si>
    <t>Methyl isocyanate</t>
  </si>
  <si>
    <t>1634-04-4</t>
  </si>
  <si>
    <t>Methyl tert-butyl ether</t>
  </si>
  <si>
    <t>90-94-8</t>
  </si>
  <si>
    <t>Michler's ketone</t>
  </si>
  <si>
    <t>Naphthalene</t>
  </si>
  <si>
    <t>f</t>
  </si>
  <si>
    <t>Nickel compounds, soluble</t>
  </si>
  <si>
    <t>98-95-3</t>
  </si>
  <si>
    <t>Nitrobenzene</t>
  </si>
  <si>
    <t>79-46-9</t>
  </si>
  <si>
    <t>2-Nitropropane</t>
  </si>
  <si>
    <t>924-16-3</t>
  </si>
  <si>
    <t>N-Nitrosodi-n-butylamine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</si>
  <si>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</si>
  <si>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</si>
  <si>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</si>
  <si>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</si>
  <si>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</si>
  <si>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</si>
  <si>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</si>
  <si>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</si>
  <si>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</si>
  <si>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</si>
  <si>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</si>
  <si>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</si>
  <si>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59-89-2</t>
  </si>
  <si>
    <t>N-Nitrosomorpholine</t>
  </si>
  <si>
    <t>100-75-4</t>
  </si>
  <si>
    <t>N-Nitrosopiperidine</t>
  </si>
  <si>
    <t>930-55-2</t>
  </si>
  <si>
    <t>N-Nitrosopyrrolidine</t>
  </si>
  <si>
    <t>8014-95-7</t>
  </si>
  <si>
    <t>Oleum (fuming sulfuric acid)</t>
  </si>
  <si>
    <t>56-38-2</t>
  </si>
  <si>
    <t>Parathion</t>
  </si>
  <si>
    <t>87-86-5</t>
  </si>
  <si>
    <t>Pentachlorophenol</t>
  </si>
  <si>
    <t>108-95-2</t>
  </si>
  <si>
    <t>Phenol</t>
  </si>
  <si>
    <t>75-44-5</t>
  </si>
  <si>
    <t>Phosgene</t>
  </si>
  <si>
    <t>7803-51-2</t>
  </si>
  <si>
    <t>Phosphine</t>
  </si>
  <si>
    <t>7664-38-2</t>
  </si>
  <si>
    <t>Phosphoric acid</t>
  </si>
  <si>
    <t>12185-10-3</t>
  </si>
  <si>
    <t>Phosphorus, white</t>
  </si>
  <si>
    <t>85-44-9</t>
  </si>
  <si>
    <t>Phthalic anhydride</t>
  </si>
  <si>
    <t>Polybrominated diphenyl ethers (PBDEs)</t>
  </si>
  <si>
    <t>h</t>
  </si>
  <si>
    <t>1336-36-3</t>
  </si>
  <si>
    <t>Polychlorinated biphenyls (PCBs)</t>
  </si>
  <si>
    <t>Polychlorinated biphenyls (PCBs) TEQ</t>
  </si>
  <si>
    <t>32598-13-3</t>
  </si>
  <si>
    <t>PCB 77 [3,3',4,4'-tetrachlorobiphenyl]</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</si>
  <si>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</si>
  <si>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</si>
  <si>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</si>
  <si>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</si>
  <si>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</si>
  <si>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</si>
  <si>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</si>
  <si>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</si>
  <si>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</si>
  <si>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</si>
  <si>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</si>
  <si>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</si>
  <si>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</si>
  <si>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</si>
  <si>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</si>
  <si>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</si>
  <si>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</si>
  <si>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</si>
  <si>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</si>
  <si>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</si>
  <si>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</si>
  <si>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</si>
  <si>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Polychlorinated dibenzo-p-dioxins (PCDDs) &amp; dibenzofurans (PCDFs) TEQ</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</si>
  <si>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</si>
  <si>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</si>
  <si>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</si>
  <si>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</si>
  <si>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</si>
  <si>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</si>
  <si>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</si>
  <si>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</si>
  <si>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</si>
  <si>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</si>
  <si>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</si>
  <si>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</si>
  <si>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</si>
  <si>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</si>
  <si>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</si>
  <si>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</si>
  <si>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</si>
  <si>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</si>
  <si>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</si>
  <si>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</si>
  <si>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</si>
  <si>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</si>
  <si>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</si>
  <si>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</si>
  <si>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</si>
  <si>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</si>
  <si>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</si>
  <si>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</si>
  <si>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</si>
  <si>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</si>
  <si>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</si>
  <si>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</si>
  <si>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</si>
  <si>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</si>
  <si>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Polycyclic aromatic hydrocarbons (PAHs)</t>
  </si>
  <si>
    <t>c, g</t>
  </si>
  <si>
    <t>191-26-4</t>
  </si>
  <si>
    <t>Anthanthrene</t>
  </si>
  <si>
    <t>56-55-3</t>
  </si>
  <si>
    <t>Benz[a]anthracene</t>
  </si>
  <si>
    <t>205-99-2</t>
  </si>
  <si>
    <t>Benzo[b]fluoranthene</t>
  </si>
  <si>
    <t>205-12-9</t>
  </si>
  <si>
    <t>Benzo[c]fluorene</t>
  </si>
  <si>
    <t>191-24-2</t>
  </si>
  <si>
    <t>Benzo[g,h,i]perylene</t>
  </si>
  <si>
    <t>205-82-3</t>
  </si>
  <si>
    <t>Benzo[j]fluoranthene</t>
  </si>
  <si>
    <t>207-08-9</t>
  </si>
  <si>
    <t>Benzo[k]fluoranthene</t>
  </si>
  <si>
    <t>218-01-9</t>
  </si>
  <si>
    <t>Chrysene</t>
  </si>
  <si>
    <t>27208-37-3</t>
  </si>
  <si>
    <t>Cyclopenta[c,d]pyrene</t>
  </si>
  <si>
    <t>53-70-3</t>
  </si>
  <si>
    <t>Dibenz[a,h]anthracene</t>
  </si>
  <si>
    <t>192-65-4</t>
  </si>
  <si>
    <t>Dibenzo[a,e]pyrene</t>
  </si>
  <si>
    <t>189-64-0</t>
  </si>
  <si>
    <t>Dibenzo[a,h]pyrene</t>
  </si>
  <si>
    <t>189-55-9</t>
  </si>
  <si>
    <t>Dibenzo[a,i]pyrene</t>
  </si>
  <si>
    <t>191-30-0</t>
  </si>
  <si>
    <t>Dibenzo[a,l]pyrene</t>
  </si>
  <si>
    <t>206-44-0</t>
  </si>
  <si>
    <t>Fluoranthene</t>
  </si>
  <si>
    <t>193-39-5</t>
  </si>
  <si>
    <t>Indeno[1,2,3-cd]pyrene</t>
  </si>
  <si>
    <t>3697-24-3</t>
  </si>
  <si>
    <t>5-Methylchrysene</t>
  </si>
  <si>
    <t>7496-02-8</t>
  </si>
  <si>
    <t>6-Nitrochrysene</t>
  </si>
  <si>
    <t>7758-01-2</t>
  </si>
  <si>
    <t>Potassium bromate</t>
  </si>
  <si>
    <t>1120-71-4</t>
  </si>
  <si>
    <t>1,3-Propane sultone</t>
  </si>
  <si>
    <t>123-38-6</t>
  </si>
  <si>
    <t>Propionaldehyde</t>
  </si>
  <si>
    <t>115-07-1</t>
  </si>
  <si>
    <t>Propylene</t>
  </si>
  <si>
    <t>6423-43-4</t>
  </si>
  <si>
    <t>Propylene glycol dinitrate</t>
  </si>
  <si>
    <t>107-98-2</t>
  </si>
  <si>
    <t>Propylene glycol monomethyl ether</t>
  </si>
  <si>
    <t>75-56-9</t>
  </si>
  <si>
    <t>Propylene oxide</t>
  </si>
  <si>
    <t>Refractory Ceramic Fibers</t>
  </si>
  <si>
    <t>7783-07-5</t>
  </si>
  <si>
    <t>Selenide, hydrogen</t>
  </si>
  <si>
    <t>1310-73-2</t>
  </si>
  <si>
    <t>Sodium hydroxide</t>
  </si>
  <si>
    <t>7664-93-9</t>
  </si>
  <si>
    <t>Sulfuric acid</t>
  </si>
  <si>
    <t>505-60-2</t>
  </si>
  <si>
    <t>Sulfur Mustard</t>
  </si>
  <si>
    <t>7446-11-9</t>
  </si>
  <si>
    <t>Sulfur trioxide</t>
  </si>
  <si>
    <t>630-20-6</t>
  </si>
  <si>
    <t>1,1,1,2-Tetrachloroethane</t>
  </si>
  <si>
    <t>79-34-5</t>
  </si>
  <si>
    <t>1,1,2,2-Tetrachloroethane</t>
  </si>
  <si>
    <t>127-18-4</t>
  </si>
  <si>
    <t>Tetrachloroethene (Perchloroethylene)</t>
  </si>
  <si>
    <t>811-97-2</t>
  </si>
  <si>
    <t>1,1,1,2-Tetrafluoroethane</t>
  </si>
  <si>
    <t>62-55-5</t>
  </si>
  <si>
    <t>Thioacetamide</t>
  </si>
  <si>
    <t>7550-45-0</t>
  </si>
  <si>
    <t>Titanium tetrachloride</t>
  </si>
  <si>
    <t>26471-62-5</t>
  </si>
  <si>
    <t>Toluene diisocyanates (2,4- and 2,6-)</t>
  </si>
  <si>
    <t>8001-35-2</t>
  </si>
  <si>
    <t>Toxaphene (Polychlorinated camphenes)</t>
  </si>
  <si>
    <t>71-55-6</t>
  </si>
  <si>
    <t>1,1,1-Trichloroethane (Methyl chloroform)</t>
  </si>
  <si>
    <t>79-00-5</t>
  </si>
  <si>
    <t>1,1,2-Trichloroethane (Vinyl trichloride)</t>
  </si>
  <si>
    <t>79-01-6</t>
  </si>
  <si>
    <t>Trichloroethene (TCE, Trichloroethylene)</t>
  </si>
  <si>
    <t>88-06-2</t>
  </si>
  <si>
    <t>2,4,6-Trichlorophenol</t>
  </si>
  <si>
    <t>96-18-4</t>
  </si>
  <si>
    <t>1,2,3-Trichloropropane</t>
  </si>
  <si>
    <t>121-44-8</t>
  </si>
  <si>
    <t>Triethylamine</t>
  </si>
  <si>
    <t>526-73-8</t>
  </si>
  <si>
    <t>1,2,3-Trimethylbenzene</t>
  </si>
  <si>
    <t>95-63-6</t>
  </si>
  <si>
    <t>1,2,4-Trimethylbenzene</t>
  </si>
  <si>
    <t>108-67-8</t>
  </si>
  <si>
    <t>1,3,5-Trimethylbenzene</t>
  </si>
  <si>
    <t>51-79-6</t>
  </si>
  <si>
    <t>Urethane (Ethyl carbamate)</t>
  </si>
  <si>
    <t>1314-62-1</t>
  </si>
  <si>
    <t>Vanadium pentoxide</t>
  </si>
  <si>
    <t>108-05-4</t>
  </si>
  <si>
    <t>Vinyl acetate</t>
  </si>
  <si>
    <t>593-60-2</t>
  </si>
  <si>
    <t>Vinyl bromide</t>
  </si>
  <si>
    <t>75-01-4</t>
  </si>
  <si>
    <t>Vinyl chloride</t>
  </si>
  <si>
    <t>g, k</t>
  </si>
  <si>
    <t>75-35-4</t>
  </si>
  <si>
    <t>Vinylidene chloride</t>
  </si>
  <si>
    <t>Xylene (mixture), including m-xylene, o-xylene, p-xylene</t>
  </si>
  <si>
    <t>*</t>
  </si>
  <si>
    <t xml:space="preserve">Shop Control Efficiency* = </t>
  </si>
  <si>
    <t xml:space="preserve">Please note that the shop control efficiency is conservatively estimated to be 35% for this process, however the filter manufacturer provided documentation at the time of the this submittal justifying a filter efficiency in line with HEPA filter ratings. </t>
  </si>
  <si>
    <t>Molybdenum (as Molybdenum trioxide)</t>
  </si>
  <si>
    <t>Molybdenum</t>
  </si>
  <si>
    <t>Risk</t>
  </si>
  <si>
    <t>Worst Case Overall</t>
  </si>
  <si>
    <t>Worst Case Used in Boiler Bldg, Shop, Outside</t>
  </si>
  <si>
    <t>Maximum daily usage (total):</t>
  </si>
  <si>
    <t>Highest-risk rod</t>
  </si>
  <si>
    <t>Second-highest risk rod</t>
  </si>
  <si>
    <t>Table 3. Average or maximum SDS Weight Percent for Welding Rod Materials</t>
  </si>
  <si>
    <t>ER70S Mig wire SDS.pdf</t>
  </si>
  <si>
    <t>ER70S-Tig Wire.pdf</t>
  </si>
  <si>
    <t>Inconel-625-Material-Safety-Data-Sheet.pdf</t>
  </si>
  <si>
    <t>LIN-ED025083 316L-16 3_32 # CAN.pdf</t>
  </si>
  <si>
    <t>WAS-309L-332-16--WASH-ALLOY STAINLESS-STEEL 316-3091.pdf</t>
  </si>
  <si>
    <t>Could not match to an SDS, but this row was not used in calculations.</t>
  </si>
  <si>
    <t>LIN-ED025098 LINCOLN 316 SS 1_8 10# CAN (Actually a 309).pdf</t>
  </si>
  <si>
    <t>WAS-316L-332-16--WASH-ALLOY STAINLESS-STEEL 316-309.pdf</t>
  </si>
  <si>
    <t>LIN-ED010203 1_8x14  FLEETWELD 5P+ 50# EO CAN.pdf</t>
  </si>
  <si>
    <t>LIN-ED010283 3_32x12 FLEETWELD 5P+ 30# CT(10EO).pdf</t>
  </si>
  <si>
    <t>LIN-ED010285 5_32x14 FLEETWELD 5P 50# EO CAN.pdf</t>
  </si>
  <si>
    <t>JW Harris ER80S-B2 and 90SB.pdf</t>
  </si>
  <si>
    <t>LIN-EDM13182304 1_8 6011 5# CAN.pdf</t>
  </si>
  <si>
    <t>LIN-ED022010  Wearshield 60 18.PDF</t>
  </si>
  <si>
    <t>MGI-093425857342 SUPER 600 1_8 10# BOX.pdf</t>
  </si>
  <si>
    <t>MG 289.pdf</t>
  </si>
  <si>
    <t>LIN-ED028280 3_32x12 EXCALIBUR 7018-A1 MR 25#EO CAN.pdf</t>
  </si>
  <si>
    <t>LIN-ED028282 5_32X14 EXCALIBUR 7018 MR 50# EO CAN.pdf</t>
  </si>
  <si>
    <t>LIN-ED028281 1_8x14 EXCALIBUR 7018 MR 50# EO CAN.pdf</t>
  </si>
  <si>
    <t>Lincoln Electric Techrod.pdf</t>
  </si>
  <si>
    <t>Radnor Carbon Electrodes.pdf</t>
  </si>
  <si>
    <t>Welding Rod Acute REER</t>
  </si>
  <si>
    <r>
      <t>Acute REER (emissions in units of lbs/lb rod per μg/m</t>
    </r>
    <r>
      <rPr>
        <b/>
        <vertAlign val="superscript"/>
        <sz val="10"/>
        <rFont val="Tahoma"/>
        <family val="2"/>
      </rPr>
      <t>3</t>
    </r>
    <r>
      <rPr>
        <b/>
        <sz val="10"/>
        <rFont val="Tahoma"/>
        <family val="2"/>
      </rPr>
      <t>)</t>
    </r>
  </si>
  <si>
    <t xml:space="preserve">For Worst-case Product: Tech Rod 112 1/8 </t>
  </si>
  <si>
    <t>Welding Emissions from Welding inside the Boiler Building (with Doors Closed)</t>
  </si>
  <si>
    <t>Maximum emissions (lb/day)</t>
  </si>
  <si>
    <t>Welding Emissions from Welding inside the Maintenance Shop</t>
  </si>
  <si>
    <t>For Worst-case Product: Inconel Wire</t>
  </si>
  <si>
    <t>Welding Emissions from Welding Outside</t>
  </si>
  <si>
    <r>
      <t>Acute RBC (</t>
    </r>
    <r>
      <rPr>
        <sz val="10"/>
        <rFont val="Calibri"/>
        <family val="2"/>
      </rPr>
      <t>μg/m</t>
    </r>
    <r>
      <rPr>
        <vertAlign val="superscript"/>
        <sz val="10"/>
        <rFont val="Calibri"/>
        <family val="2"/>
      </rPr>
      <t>3</t>
    </r>
    <r>
      <rPr>
        <sz val="10"/>
        <rFont val="Calibri"/>
        <family val="2"/>
      </rPr>
      <t>)</t>
    </r>
  </si>
  <si>
    <r>
      <t>REER (lb/day per μg/m</t>
    </r>
    <r>
      <rPr>
        <vertAlign val="superscript"/>
        <sz val="10"/>
        <color theme="1"/>
        <rFont val="Tahoma"/>
        <family val="2"/>
      </rPr>
      <t>3</t>
    </r>
    <r>
      <rPr>
        <sz val="10"/>
        <color theme="1"/>
        <rFont val="Tahoma"/>
        <family val="2"/>
      </rPr>
      <t>)</t>
    </r>
  </si>
  <si>
    <t>Dispersion Factor (μg/m3 per lb/day)</t>
  </si>
  <si>
    <t>Acute non-cancer risk for worst-case product</t>
  </si>
  <si>
    <t>Molybdenum Trioxide</t>
  </si>
  <si>
    <t>SDS Reference checked by DEQ</t>
  </si>
  <si>
    <t>This calculation assumes max daily throughput using the highest-risk welding rod. Maximum daily usage provided by CMI is used except for outdoor welding. For outdoor welding, the maximum daily usage has been conservatively assumed to be 0.1 pounds to reflect a value that would be more easily tracked.</t>
  </si>
  <si>
    <t>This tab has been added by DEQ.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</si>
</sst>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0&quot;;[&lt;0.01]0.00E-00;0.00"/>
    <numFmt numFmtId="165" formatCode="0.0"/>
    <numFmt numFmtId="166" formatCode="0.0000"/>
    <numFmt numFmtId="167" formatCode="0.00000"/>
    <numFmt numFmtId="168" formatCode="0.000000"/>
    <numFmt numFmtId="169" formatCode="0.0E+00"/>
    <numFmt numFmtId="170" formatCode="0.000"/>
    <numFmt numFmtId="171" formatCode="#,##0.0000"/>
    <numFmt numFmtId="172" formatCode="0.0000000"/>
    <numFmt numFmtId="173" formatCode="0.00000000"/>
    <numFmt numFmtId="174" formatCode="0.0%"/>
    <numFmt numFmtId="175" formatCode="[$-F800]dddd\,\ mmmm\ dd\,\ yyyy"/>
    <numFmt numFmtId="176" formatCode="0.000%"/>
    <numFmt numFmtId="177" formatCode="[=0]&quot;0&quot;;[&lt;0.01]0.000E-00;0.000"/>
    <numFmt numFmtId="178" formatCode="[=0]&quot;0&quot;;[&lt;0.01]0.0000E-00;0.0000"/>
    <numFmt numFmtId="179" formatCode="0.0000%"/>
  </numFmts>
  <fonts count="51"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theme="5"/>
      <name val="Calibri"/>
      <family val="2"/>
      <scheme val="minor"/>
    </font>
    <font>
      <sz val="10"/>
      <name val="Arial"/>
      <family val="2"/>
    </font>
    <font>
      <sz val="8"/>
      <name val="Arial"/>
      <family val="2"/>
    </font>
    <font>
      <b/>
      <sz val="8"/>
      <name val="Arial"/>
      <family val="2"/>
    </font>
    <font>
      <b/>
      <sz val="8"/>
      <color theme="1"/>
      <name val="Arial"/>
      <family val="2"/>
    </font>
    <font>
      <b/>
      <sz val="8"/>
      <color rgb="FFFF0000"/>
      <name val="Arial"/>
      <family val="2"/>
    </font>
    <font>
      <b/>
      <sz val="14"/>
      <name val="Arial"/>
      <family val="2"/>
    </font>
    <font>
      <b/>
      <sz val="12"/>
      <name val="Arial"/>
      <family val="2"/>
    </font>
    <font>
      <b/>
      <sz val="12"/>
      <name val="Calibri"/>
      <family val="2"/>
    </font>
    <font>
      <b/>
      <vertAlign val="superscript"/>
      <sz val="12"/>
      <name val="Arial"/>
      <family val="2"/>
    </font>
    <font>
      <sz val="8.5"/>
      <color theme="0"/>
      <name val="Arial"/>
      <family val="2"/>
    </font>
    <font>
      <sz val="8.5"/>
      <color theme="1"/>
      <name val="Arial"/>
      <family val="2"/>
    </font>
    <font>
      <b/>
      <sz val="8.5"/>
      <color theme="1"/>
      <name val="Arial"/>
      <family val="2"/>
    </font>
    <font>
      <b/>
      <sz val="8.5"/>
      <name val="Arial"/>
      <family val="2"/>
    </font>
    <font>
      <sz val="8.5"/>
      <name val="Arial"/>
      <family val="2"/>
    </font>
    <font>
      <b/>
      <sz val="9"/>
      <color theme="1"/>
      <name val="Arial"/>
      <family val="2"/>
    </font>
    <font>
      <sz val="9"/>
      <color theme="1"/>
      <name val="Arial"/>
      <family val="2"/>
    </font>
    <font>
      <sz val="10"/>
      <color theme="0"/>
      <name val="Arial"/>
      <family val="2"/>
    </font>
    <font>
      <sz val="10"/>
      <color theme="1"/>
      <name val="Arial"/>
      <family val="2"/>
    </font>
    <font>
      <b/>
      <sz val="10"/>
      <color theme="1"/>
      <name val="Arial"/>
      <family val="2"/>
    </font>
    <font>
      <sz val="10"/>
      <color theme="1"/>
      <name val="Calibri"/>
      <family val="2"/>
    </font>
    <font>
      <sz val="9"/>
      <color rgb="FFFF0000"/>
      <name val="Arial"/>
      <family val="2"/>
    </font>
    <font>
      <sz val="11"/>
      <color theme="1"/>
      <name val="Arial"/>
      <family val="2"/>
    </font>
    <font>
      <b/>
      <sz val="11"/>
      <color theme="1"/>
      <name val="Arial"/>
      <family val="2"/>
    </font>
    <font>
      <b/>
      <vertAlign val="superscript"/>
      <sz val="11"/>
      <color theme="1"/>
      <name val="Arial"/>
      <family val="2"/>
    </font>
    <font>
      <b/>
      <sz val="12"/>
      <color theme="1"/>
      <name val="Arial"/>
      <family val="2"/>
    </font>
    <font>
      <b/>
      <sz val="12"/>
      <color theme="1"/>
      <name val="Calibri"/>
      <family val="2"/>
      <scheme val="minor"/>
    </font>
    <font>
      <sz val="10"/>
      <name val="Tahoma"/>
      <family val="2"/>
    </font>
    <font>
      <b/>
      <sz val="10"/>
      <name val="Tahoma"/>
      <family val="2"/>
    </font>
    <font>
      <b/>
      <vertAlign val="superscript"/>
      <sz val="10"/>
      <name val="Tahoma"/>
      <family val="2"/>
    </font>
    <font>
      <strike/>
      <sz val="10"/>
      <name val="Tahoma"/>
      <family val="2"/>
    </font>
    <font>
      <sz val="8"/>
      <name val="Tahoma"/>
      <family val="2"/>
    </font>
    <font>
      <sz val="10"/>
      <color rgb="FF0070C0"/>
      <name val="Tahoma"/>
      <family val="2"/>
    </font>
    <font>
      <sz val="11"/>
      <color theme="5"/>
      <name val="Calibri"/>
      <family val="2"/>
      <scheme val="minor"/>
    </font>
    <font>
      <sz val="11"/>
      <color theme="1"/>
      <name val="Calibri"/>
      <family val="2"/>
      <scheme val="minor"/>
    </font>
    <font>
      <sz val="8"/>
      <name val="Calibri"/>
      <family val="2"/>
      <scheme val="minor"/>
    </font>
    <font>
      <i/>
      <sz val="8"/>
      <name val="Tahoma"/>
      <family val="2"/>
    </font>
    <font>
      <sz val="10"/>
      <color theme="1"/>
      <name val="Tahoma"/>
      <family val="2"/>
    </font>
    <font>
      <sz val="10"/>
      <color theme="5"/>
      <name val="Tahoma"/>
      <family val="2"/>
    </font>
    <font>
      <b/>
      <sz val="10"/>
      <color theme="1"/>
      <name val="Tahoma"/>
      <family val="2"/>
    </font>
    <font>
      <vertAlign val="superscript"/>
      <sz val="10"/>
      <color theme="1"/>
      <name val="Tahoma"/>
      <family val="2"/>
    </font>
    <font>
      <sz val="8"/>
      <color theme="1"/>
      <name val="Tahoma"/>
      <family val="2"/>
    </font>
    <font>
      <vertAlign val="superscript"/>
      <sz val="10"/>
      <name val="Tahoma"/>
      <family val="2"/>
    </font>
    <font>
      <vertAlign val="superscript"/>
      <sz val="8"/>
      <name val="Tahoma"/>
      <family val="2"/>
    </font>
    <font>
      <sz val="10"/>
      <name val="Calibri"/>
      <family val="2"/>
    </font>
    <font>
      <vertAlign val="superscript"/>
      <sz val="10"/>
      <name val="Calibri"/>
      <family val="2"/>
    </font>
    <font>
      <sz val="10"/>
      <color rgb="FFFF0000"/>
      <name val="Tahoma"/>
      <family val="2"/>
    </font>
  </fonts>
  <fills count="17">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rgb="FFFFFF00"/>
        <bgColor indexed="64"/>
      </patternFill>
    </fill>
    <fill>
      <patternFill patternType="solid">
        <fgColor rgb="FF00B0F0"/>
        <bgColor indexed="64"/>
      </patternFill>
    </fill>
    <fill>
      <patternFill patternType="solid">
        <fgColor theme="7" tint="0.39997558519241921"/>
        <bgColor indexed="64"/>
      </patternFill>
    </fill>
    <fill>
      <patternFill patternType="solid">
        <fgColor rgb="FFFFC00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indexed="64"/>
      </right>
      <top style="medium">
        <color indexed="64"/>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rgb="FF000000"/>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s>
  <cellStyleXfs count="3">
    <xf numFmtId="0" fontId="0" fillId="0" borderId="0"/>
    <xf numFmtId="0" fontId="5" fillId="0" borderId="0"/>
    <xf numFmtId="9" fontId="38" fillId="0" borderId="0" applyFont="0" applyFill="0" applyBorder="0" applyAlignment="0" applyProtection="0"/>
  </cellStyleXfs>
  <cellXfs count="667">
    <xf numFmtId="0" fontId="0" fillId="0" borderId="0" xfId="0"/>
    <xf numFmtId="0" fontId="1" fillId="0" borderId="3" xfId="0" applyFont="1" applyBorder="1"/>
    <xf numFmtId="0" fontId="1" fillId="0" borderId="0" xfId="0" applyFont="1"/>
    <xf numFmtId="10" fontId="0" fillId="0" borderId="0" xfId="0" applyNumberFormat="1"/>
    <xf numFmtId="0" fontId="2" fillId="0" borderId="8" xfId="0" applyFont="1" applyBorder="1"/>
    <xf numFmtId="0" fontId="2" fillId="0" borderId="20" xfId="0" applyFont="1" applyBorder="1"/>
    <xf numFmtId="0" fontId="0" fillId="0" borderId="0" xfId="0" applyAlignment="1">
      <alignment horizontal="center"/>
    </xf>
    <xf numFmtId="0" fontId="6" fillId="2" borderId="38" xfId="1" applyFont="1" applyFill="1" applyBorder="1"/>
    <xf numFmtId="0" fontId="6" fillId="2" borderId="40" xfId="1" applyFont="1" applyFill="1" applyBorder="1"/>
    <xf numFmtId="0" fontId="7" fillId="2" borderId="0" xfId="1" applyFont="1" applyFill="1" applyAlignment="1">
      <alignment horizontal="center"/>
    </xf>
    <xf numFmtId="0" fontId="6" fillId="2" borderId="40" xfId="1" applyFont="1" applyFill="1" applyBorder="1" applyAlignment="1">
      <alignment horizontal="center"/>
    </xf>
    <xf numFmtId="0" fontId="6" fillId="2" borderId="0" xfId="1" applyFont="1" applyFill="1" applyAlignment="1">
      <alignment horizontal="center"/>
    </xf>
    <xf numFmtId="0" fontId="0" fillId="2" borderId="0" xfId="0" applyFill="1" applyAlignment="1">
      <alignment horizontal="center"/>
    </xf>
    <xf numFmtId="0" fontId="6" fillId="2" borderId="41" xfId="1" applyFont="1" applyFill="1" applyBorder="1" applyAlignment="1">
      <alignment horizontal="center"/>
    </xf>
    <xf numFmtId="0" fontId="6" fillId="2" borderId="42" xfId="1" applyFont="1" applyFill="1" applyBorder="1" applyAlignment="1">
      <alignment horizontal="center"/>
    </xf>
    <xf numFmtId="0" fontId="8" fillId="3" borderId="40" xfId="1" applyFont="1" applyFill="1" applyBorder="1" applyAlignment="1">
      <alignment horizontal="center"/>
    </xf>
    <xf numFmtId="3" fontId="9" fillId="3" borderId="0" xfId="0" applyNumberFormat="1" applyFont="1" applyFill="1" applyAlignment="1">
      <alignment horizontal="center"/>
    </xf>
    <xf numFmtId="3" fontId="0" fillId="3" borderId="0" xfId="0" applyNumberFormat="1" applyFill="1" applyAlignment="1">
      <alignment horizontal="center"/>
    </xf>
    <xf numFmtId="165" fontId="0" fillId="3" borderId="0" xfId="0" applyNumberFormat="1" applyFill="1" applyAlignment="1">
      <alignment horizontal="center"/>
    </xf>
    <xf numFmtId="1" fontId="0" fillId="3" borderId="0" xfId="0" applyNumberFormat="1" applyFill="1" applyAlignment="1">
      <alignment horizontal="center"/>
    </xf>
    <xf numFmtId="0" fontId="14" fillId="5" borderId="1" xfId="0" applyFont="1" applyFill="1" applyBorder="1"/>
    <xf numFmtId="1" fontId="14" fillId="5" borderId="1" xfId="0" applyNumberFormat="1" applyFont="1" applyFill="1" applyBorder="1" applyAlignment="1">
      <alignment horizontal="center"/>
    </xf>
    <xf numFmtId="0" fontId="15" fillId="0" borderId="0" xfId="0" applyFont="1"/>
    <xf numFmtId="0" fontId="14" fillId="5" borderId="1" xfId="1" applyFont="1" applyFill="1" applyBorder="1" applyAlignment="1">
      <alignment horizontal="center"/>
    </xf>
    <xf numFmtId="0" fontId="14" fillId="5" borderId="1" xfId="0" applyFont="1" applyFill="1" applyBorder="1" applyAlignment="1">
      <alignment horizontal="center"/>
    </xf>
    <xf numFmtId="0" fontId="16" fillId="0" borderId="1" xfId="1" applyFont="1" applyBorder="1" applyAlignment="1">
      <alignment horizontal="center"/>
    </xf>
    <xf numFmtId="166" fontId="15" fillId="0" borderId="1" xfId="0" applyNumberFormat="1" applyFont="1" applyBorder="1" applyAlignment="1">
      <alignment horizontal="center"/>
    </xf>
    <xf numFmtId="167" fontId="15" fillId="0" borderId="1" xfId="0" applyNumberFormat="1" applyFont="1" applyBorder="1" applyAlignment="1">
      <alignment horizontal="center"/>
    </xf>
    <xf numFmtId="168" fontId="15" fillId="0" borderId="1" xfId="0" applyNumberFormat="1" applyFont="1" applyBorder="1" applyAlignment="1">
      <alignment horizontal="center"/>
    </xf>
    <xf numFmtId="0" fontId="15" fillId="4" borderId="1" xfId="0" applyFont="1" applyFill="1" applyBorder="1"/>
    <xf numFmtId="0" fontId="15" fillId="0" borderId="1" xfId="0" applyFont="1" applyBorder="1"/>
    <xf numFmtId="0" fontId="18" fillId="2" borderId="1" xfId="1" applyFont="1" applyFill="1" applyBorder="1" applyAlignment="1">
      <alignment horizontal="center"/>
    </xf>
    <xf numFmtId="0" fontId="15" fillId="2" borderId="1" xfId="0" applyFont="1" applyFill="1" applyBorder="1" applyAlignment="1">
      <alignment horizontal="center"/>
    </xf>
    <xf numFmtId="0" fontId="16" fillId="3" borderId="1" xfId="1" applyFont="1" applyFill="1" applyBorder="1" applyAlignment="1">
      <alignment horizontal="center"/>
    </xf>
    <xf numFmtId="166" fontId="15" fillId="3" borderId="1" xfId="0" applyNumberFormat="1" applyFont="1" applyFill="1" applyBorder="1" applyAlignment="1">
      <alignment horizontal="center"/>
    </xf>
    <xf numFmtId="167" fontId="15" fillId="3" borderId="1" xfId="0" applyNumberFormat="1" applyFont="1" applyFill="1" applyBorder="1" applyAlignment="1">
      <alignment horizontal="center"/>
    </xf>
    <xf numFmtId="168" fontId="15" fillId="3" borderId="1" xfId="0" applyNumberFormat="1" applyFont="1" applyFill="1" applyBorder="1" applyAlignment="1">
      <alignment horizontal="center"/>
    </xf>
    <xf numFmtId="3" fontId="15" fillId="3" borderId="1" xfId="0" applyNumberFormat="1" applyFont="1" applyFill="1" applyBorder="1" applyAlignment="1">
      <alignment horizontal="center"/>
    </xf>
    <xf numFmtId="165" fontId="15" fillId="3" borderId="1" xfId="0" applyNumberFormat="1" applyFont="1" applyFill="1" applyBorder="1" applyAlignment="1">
      <alignment horizontal="center"/>
    </xf>
    <xf numFmtId="2" fontId="15" fillId="3" borderId="1" xfId="0" applyNumberFormat="1" applyFont="1" applyFill="1" applyBorder="1" applyAlignment="1">
      <alignment horizontal="center"/>
    </xf>
    <xf numFmtId="169" fontId="15" fillId="0" borderId="1" xfId="0" applyNumberFormat="1" applyFont="1" applyBorder="1" applyAlignment="1">
      <alignment horizontal="center"/>
    </xf>
    <xf numFmtId="0" fontId="18" fillId="2" borderId="1" xfId="1" applyFont="1" applyFill="1" applyBorder="1"/>
    <xf numFmtId="0" fontId="16" fillId="4" borderId="1" xfId="1" applyFont="1" applyFill="1" applyBorder="1" applyAlignment="1">
      <alignment horizontal="center"/>
    </xf>
    <xf numFmtId="1" fontId="15" fillId="4" borderId="1" xfId="0" applyNumberFormat="1" applyFont="1" applyFill="1" applyBorder="1" applyAlignment="1">
      <alignment horizontal="center"/>
    </xf>
    <xf numFmtId="165" fontId="15" fillId="0" borderId="1" xfId="0" applyNumberFormat="1" applyFont="1" applyBorder="1"/>
    <xf numFmtId="2" fontId="15" fillId="0" borderId="1" xfId="0" applyNumberFormat="1" applyFont="1" applyBorder="1"/>
    <xf numFmtId="170" fontId="15" fillId="0" borderId="1" xfId="0" applyNumberFormat="1" applyFont="1" applyBorder="1"/>
    <xf numFmtId="0" fontId="20" fillId="0" borderId="0" xfId="0" applyFont="1"/>
    <xf numFmtId="0" fontId="15" fillId="0" borderId="1" xfId="1" applyFont="1" applyBorder="1" applyAlignment="1">
      <alignment horizontal="center"/>
    </xf>
    <xf numFmtId="0" fontId="21" fillId="5" borderId="1" xfId="1" applyFont="1" applyFill="1" applyBorder="1" applyAlignment="1">
      <alignment horizontal="center"/>
    </xf>
    <xf numFmtId="0" fontId="21" fillId="5" borderId="1" xfId="0" applyFont="1" applyFill="1" applyBorder="1" applyAlignment="1">
      <alignment horizontal="center"/>
    </xf>
    <xf numFmtId="0" fontId="22" fillId="0" borderId="1" xfId="1" applyFont="1" applyBorder="1" applyAlignment="1">
      <alignment horizontal="center"/>
    </xf>
    <xf numFmtId="165" fontId="22" fillId="0" borderId="1" xfId="0" applyNumberFormat="1" applyFont="1" applyBorder="1"/>
    <xf numFmtId="0" fontId="22" fillId="0" borderId="1" xfId="0" applyFont="1" applyBorder="1"/>
    <xf numFmtId="166" fontId="22" fillId="0" borderId="1" xfId="0" applyNumberFormat="1" applyFont="1" applyBorder="1" applyAlignment="1">
      <alignment horizontal="center"/>
    </xf>
    <xf numFmtId="2" fontId="22" fillId="0" borderId="1" xfId="0" applyNumberFormat="1" applyFont="1" applyBorder="1"/>
    <xf numFmtId="170" fontId="22" fillId="0" borderId="1" xfId="0" applyNumberFormat="1" applyFont="1" applyBorder="1"/>
    <xf numFmtId="0" fontId="22" fillId="0" borderId="0" xfId="0" applyFont="1"/>
    <xf numFmtId="0" fontId="0" fillId="0" borderId="0" xfId="0" applyAlignment="1">
      <alignment wrapText="1"/>
    </xf>
    <xf numFmtId="0" fontId="25" fillId="0" borderId="0" xfId="0" applyFont="1" applyAlignment="1">
      <alignment horizontal="center"/>
    </xf>
    <xf numFmtId="0" fontId="0" fillId="0" borderId="0" xfId="0" applyAlignment="1">
      <alignment horizontal="center" wrapText="1"/>
    </xf>
    <xf numFmtId="0" fontId="26" fillId="3" borderId="26" xfId="0" applyFont="1" applyFill="1" applyBorder="1"/>
    <xf numFmtId="0" fontId="26" fillId="3" borderId="26" xfId="0" applyFont="1" applyFill="1" applyBorder="1" applyAlignment="1">
      <alignment wrapText="1"/>
    </xf>
    <xf numFmtId="0" fontId="26" fillId="3" borderId="26" xfId="0" applyFont="1" applyFill="1" applyBorder="1" applyAlignment="1">
      <alignment horizontal="center" wrapText="1"/>
    </xf>
    <xf numFmtId="0" fontId="26" fillId="3" borderId="38" xfId="0" applyFont="1" applyFill="1" applyBorder="1" applyAlignment="1">
      <alignment horizontal="center" wrapText="1"/>
    </xf>
    <xf numFmtId="0" fontId="26" fillId="3" borderId="44" xfId="0" applyFont="1" applyFill="1" applyBorder="1" applyAlignment="1">
      <alignment horizontal="center"/>
    </xf>
    <xf numFmtId="0" fontId="29" fillId="7" borderId="38" xfId="0" applyFont="1" applyFill="1" applyBorder="1" applyAlignment="1">
      <alignment horizontal="center" wrapText="1"/>
    </xf>
    <xf numFmtId="0" fontId="27" fillId="8" borderId="39" xfId="0" applyFont="1" applyFill="1" applyBorder="1"/>
    <xf numFmtId="0" fontId="1" fillId="8" borderId="39" xfId="0" applyFont="1" applyFill="1" applyBorder="1" applyAlignment="1">
      <alignment horizontal="center" wrapText="1"/>
    </xf>
    <xf numFmtId="0" fontId="1" fillId="8" borderId="46" xfId="0" applyFont="1" applyFill="1" applyBorder="1" applyAlignment="1">
      <alignment horizontal="center" wrapText="1"/>
    </xf>
    <xf numFmtId="0" fontId="27" fillId="3" borderId="43" xfId="0" applyFont="1" applyFill="1" applyBorder="1"/>
    <xf numFmtId="0" fontId="27" fillId="3" borderId="43" xfId="0" applyFont="1" applyFill="1" applyBorder="1" applyAlignment="1">
      <alignment wrapText="1"/>
    </xf>
    <xf numFmtId="0" fontId="27" fillId="3" borderId="43" xfId="0" applyFont="1" applyFill="1" applyBorder="1" applyAlignment="1">
      <alignment horizontal="center" wrapText="1"/>
    </xf>
    <xf numFmtId="0" fontId="19" fillId="3" borderId="40" xfId="0" applyFont="1" applyFill="1" applyBorder="1" applyAlignment="1">
      <alignment horizontal="center" wrapText="1"/>
    </xf>
    <xf numFmtId="0" fontId="27" fillId="3" borderId="44" xfId="0" applyFont="1" applyFill="1" applyBorder="1" applyAlignment="1">
      <alignment horizontal="center" wrapText="1"/>
    </xf>
    <xf numFmtId="0" fontId="27" fillId="3" borderId="1" xfId="0" applyFont="1" applyFill="1" applyBorder="1" applyAlignment="1">
      <alignment horizontal="center" wrapText="1"/>
    </xf>
    <xf numFmtId="0" fontId="27" fillId="3" borderId="1" xfId="0" applyFont="1" applyFill="1" applyBorder="1" applyAlignment="1">
      <alignment horizontal="center"/>
    </xf>
    <xf numFmtId="171" fontId="23" fillId="0" borderId="40" xfId="0" quotePrefix="1" applyNumberFormat="1" applyFont="1" applyBorder="1" applyAlignment="1">
      <alignment horizontal="center" wrapText="1"/>
    </xf>
    <xf numFmtId="171" fontId="23" fillId="0" borderId="0" xfId="0" applyNumberFormat="1" applyFont="1" applyAlignment="1">
      <alignment horizontal="center" wrapText="1"/>
    </xf>
    <xf numFmtId="0" fontId="29" fillId="7" borderId="40" xfId="0" applyFont="1" applyFill="1" applyBorder="1" applyAlignment="1">
      <alignment horizontal="center" wrapText="1"/>
    </xf>
    <xf numFmtId="0" fontId="27" fillId="8" borderId="0" xfId="0" applyFont="1" applyFill="1"/>
    <xf numFmtId="0" fontId="0" fillId="8" borderId="42" xfId="0" applyFill="1" applyBorder="1" applyAlignment="1">
      <alignment horizontal="center" wrapText="1"/>
    </xf>
    <xf numFmtId="0" fontId="0" fillId="8" borderId="47" xfId="0" applyFill="1" applyBorder="1" applyAlignment="1">
      <alignment horizontal="center" wrapText="1"/>
    </xf>
    <xf numFmtId="0" fontId="27" fillId="3" borderId="30" xfId="0" applyFont="1" applyFill="1" applyBorder="1"/>
    <xf numFmtId="0" fontId="27" fillId="3" borderId="30" xfId="0" applyFont="1" applyFill="1" applyBorder="1" applyAlignment="1">
      <alignment wrapText="1"/>
    </xf>
    <xf numFmtId="0" fontId="27" fillId="3" borderId="41" xfId="0" applyFont="1" applyFill="1" applyBorder="1" applyAlignment="1">
      <alignment horizontal="center" wrapText="1"/>
    </xf>
    <xf numFmtId="171" fontId="27" fillId="3" borderId="44" xfId="0" applyNumberFormat="1" applyFont="1" applyFill="1" applyBorder="1" applyAlignment="1">
      <alignment horizontal="center"/>
    </xf>
    <xf numFmtId="3" fontId="27" fillId="3" borderId="30" xfId="0" applyNumberFormat="1" applyFont="1" applyFill="1" applyBorder="1" applyAlignment="1">
      <alignment horizontal="center"/>
    </xf>
    <xf numFmtId="171" fontId="23" fillId="0" borderId="40" xfId="0" applyNumberFormat="1" applyFont="1" applyBorder="1" applyAlignment="1">
      <alignment horizontal="center"/>
    </xf>
    <xf numFmtId="171" fontId="23" fillId="0" borderId="0" xfId="0" applyNumberFormat="1" applyFont="1" applyAlignment="1">
      <alignment horizontal="center"/>
    </xf>
    <xf numFmtId="0" fontId="30" fillId="8" borderId="1" xfId="0" applyFont="1" applyFill="1" applyBorder="1" applyAlignment="1">
      <alignment horizontal="center" wrapText="1"/>
    </xf>
    <xf numFmtId="0" fontId="30" fillId="8" borderId="1" xfId="0" applyFont="1" applyFill="1" applyBorder="1" applyAlignment="1">
      <alignment horizontal="center" vertical="top" wrapText="1"/>
    </xf>
    <xf numFmtId="0" fontId="0" fillId="9" borderId="0" xfId="0" applyFill="1" applyAlignment="1">
      <alignment horizontal="center"/>
    </xf>
    <xf numFmtId="11" fontId="3" fillId="10" borderId="0" xfId="0" applyNumberFormat="1" applyFont="1" applyFill="1" applyAlignment="1">
      <alignment horizontal="center"/>
    </xf>
    <xf numFmtId="11" fontId="0" fillId="11" borderId="0" xfId="0" applyNumberFormat="1" applyFill="1" applyAlignment="1">
      <alignment horizontal="center"/>
    </xf>
    <xf numFmtId="0" fontId="31" fillId="0" borderId="1" xfId="0" applyFont="1" applyBorder="1" applyAlignment="1">
      <alignment horizontal="center"/>
    </xf>
    <xf numFmtId="0" fontId="31" fillId="0" borderId="1" xfId="0" applyFont="1" applyBorder="1"/>
    <xf numFmtId="11" fontId="31" fillId="0" borderId="1" xfId="0" applyNumberFormat="1" applyFont="1" applyBorder="1" applyAlignment="1">
      <alignment horizontal="center"/>
    </xf>
    <xf numFmtId="0" fontId="11" fillId="0" borderId="1" xfId="0" applyFont="1" applyBorder="1" applyAlignment="1">
      <alignment horizontal="center" vertical="center"/>
    </xf>
    <xf numFmtId="0" fontId="32" fillId="0" borderId="1" xfId="0" applyFont="1" applyBorder="1" applyAlignment="1">
      <alignment horizontal="center"/>
    </xf>
    <xf numFmtId="0" fontId="32" fillId="0" borderId="0" xfId="0" applyFont="1"/>
    <xf numFmtId="0" fontId="31" fillId="0" borderId="0" xfId="0" applyFont="1"/>
    <xf numFmtId="0" fontId="35" fillId="0" borderId="0" xfId="0" applyFont="1"/>
    <xf numFmtId="0" fontId="31" fillId="0" borderId="14" xfId="0" applyFont="1" applyBorder="1" applyAlignment="1">
      <alignment horizontal="center"/>
    </xf>
    <xf numFmtId="0" fontId="32" fillId="3" borderId="17" xfId="0" applyFont="1" applyFill="1" applyBorder="1" applyAlignment="1">
      <alignment horizontal="center" vertical="center" wrapText="1"/>
    </xf>
    <xf numFmtId="0" fontId="0" fillId="0" borderId="49" xfId="0" applyBorder="1" applyAlignment="1">
      <alignment horizontal="center"/>
    </xf>
    <xf numFmtId="0" fontId="32" fillId="0" borderId="58" xfId="0" applyFont="1" applyBorder="1" applyAlignment="1">
      <alignment horizontal="center" vertical="center" wrapText="1"/>
    </xf>
    <xf numFmtId="0" fontId="32" fillId="3" borderId="51" xfId="0" applyFont="1" applyFill="1" applyBorder="1" applyAlignment="1">
      <alignment horizontal="center" vertical="center" wrapText="1"/>
    </xf>
    <xf numFmtId="0" fontId="32" fillId="3" borderId="62" xfId="0" applyFont="1" applyFill="1" applyBorder="1" applyAlignment="1">
      <alignment horizontal="center" vertical="center" wrapText="1"/>
    </xf>
    <xf numFmtId="0" fontId="32" fillId="3" borderId="5" xfId="0" applyFont="1" applyFill="1" applyBorder="1" applyAlignment="1">
      <alignment horizontal="center" vertical="center" wrapText="1"/>
    </xf>
    <xf numFmtId="9" fontId="3" fillId="0" borderId="1" xfId="2" applyFont="1" applyBorder="1" applyAlignment="1">
      <alignment horizontal="center"/>
    </xf>
    <xf numFmtId="9" fontId="3" fillId="0" borderId="26" xfId="2" applyFont="1" applyBorder="1" applyAlignment="1">
      <alignment horizontal="center"/>
    </xf>
    <xf numFmtId="9" fontId="0" fillId="0" borderId="0" xfId="2" applyFont="1"/>
    <xf numFmtId="9" fontId="0" fillId="0" borderId="1" xfId="2" applyFont="1" applyBorder="1"/>
    <xf numFmtId="0" fontId="2" fillId="0" borderId="74" xfId="0" applyFont="1" applyBorder="1"/>
    <xf numFmtId="9" fontId="0" fillId="0" borderId="26" xfId="2" applyFont="1" applyBorder="1"/>
    <xf numFmtId="9" fontId="0" fillId="0" borderId="17" xfId="2" applyFont="1" applyBorder="1"/>
    <xf numFmtId="0" fontId="37" fillId="0" borderId="0" xfId="0" applyFont="1"/>
    <xf numFmtId="0" fontId="0" fillId="0" borderId="21" xfId="0" applyBorder="1" applyAlignment="1">
      <alignment horizontal="center"/>
    </xf>
    <xf numFmtId="0" fontId="0" fillId="0" borderId="0" xfId="0" quotePrefix="1" applyAlignment="1">
      <alignment horizontal="center"/>
    </xf>
    <xf numFmtId="0" fontId="0" fillId="0" borderId="73" xfId="0" quotePrefix="1" applyBorder="1" applyAlignment="1">
      <alignment horizontal="center"/>
    </xf>
    <xf numFmtId="0" fontId="1" fillId="0" borderId="3" xfId="0" applyFont="1" applyBorder="1" applyAlignment="1">
      <alignment horizontal="center" wrapText="1"/>
    </xf>
    <xf numFmtId="0" fontId="1" fillId="0" borderId="5" xfId="0" applyFont="1" applyBorder="1" applyAlignment="1">
      <alignment horizontal="center" wrapText="1"/>
    </xf>
    <xf numFmtId="0" fontId="0" fillId="12" borderId="0" xfId="0" applyFill="1"/>
    <xf numFmtId="0" fontId="0" fillId="0" borderId="0" xfId="2" applyNumberFormat="1" applyFont="1" applyAlignment="1">
      <alignment horizontal="center"/>
    </xf>
    <xf numFmtId="0" fontId="37" fillId="0" borderId="0" xfId="0" applyFont="1" applyAlignment="1">
      <alignment horizontal="center"/>
    </xf>
    <xf numFmtId="0" fontId="1" fillId="0" borderId="0" xfId="0" applyFont="1" applyAlignment="1">
      <alignment horizontal="center" wrapText="1"/>
    </xf>
    <xf numFmtId="9" fontId="2" fillId="0" borderId="76" xfId="2" applyFont="1" applyFill="1" applyBorder="1"/>
    <xf numFmtId="0" fontId="2" fillId="0" borderId="75" xfId="0" applyFont="1" applyBorder="1"/>
    <xf numFmtId="9" fontId="0" fillId="0" borderId="1" xfId="2" applyFont="1" applyFill="1" applyBorder="1"/>
    <xf numFmtId="9" fontId="0" fillId="0" borderId="67" xfId="2" applyFont="1" applyBorder="1" applyAlignment="1">
      <alignment horizontal="center"/>
    </xf>
    <xf numFmtId="9" fontId="0" fillId="0" borderId="12" xfId="2" applyFont="1" applyBorder="1" applyAlignment="1">
      <alignment horizontal="center"/>
    </xf>
    <xf numFmtId="9" fontId="1" fillId="0" borderId="17" xfId="2" applyFont="1" applyBorder="1" applyAlignment="1">
      <alignment horizontal="center"/>
    </xf>
    <xf numFmtId="0" fontId="0" fillId="0" borderId="73" xfId="0" applyBorder="1" applyAlignment="1">
      <alignment horizontal="center"/>
    </xf>
    <xf numFmtId="9" fontId="0" fillId="0" borderId="26" xfId="2" applyFont="1" applyBorder="1" applyAlignment="1">
      <alignment horizontal="center"/>
    </xf>
    <xf numFmtId="9" fontId="0" fillId="0" borderId="38" xfId="2" applyFont="1" applyBorder="1" applyAlignment="1">
      <alignment horizontal="center"/>
    </xf>
    <xf numFmtId="9" fontId="0" fillId="0" borderId="1" xfId="2" applyFont="1" applyBorder="1" applyAlignment="1">
      <alignment horizontal="center"/>
    </xf>
    <xf numFmtId="9" fontId="0" fillId="0" borderId="44" xfId="2" applyFont="1" applyBorder="1" applyAlignment="1">
      <alignment horizontal="center"/>
    </xf>
    <xf numFmtId="9" fontId="0" fillId="0" borderId="17" xfId="2" applyFont="1" applyBorder="1" applyAlignment="1">
      <alignment horizontal="center"/>
    </xf>
    <xf numFmtId="0" fontId="1" fillId="0" borderId="1" xfId="0" applyFont="1" applyBorder="1" applyAlignment="1">
      <alignment horizontal="center" vertical="center"/>
    </xf>
    <xf numFmtId="0" fontId="0" fillId="0" borderId="1" xfId="0" applyBorder="1"/>
    <xf numFmtId="14" fontId="0" fillId="0" borderId="1" xfId="2" applyNumberFormat="1" applyFont="1" applyBorder="1"/>
    <xf numFmtId="175" fontId="0" fillId="0" borderId="1" xfId="2" applyNumberFormat="1" applyFont="1" applyBorder="1"/>
    <xf numFmtId="9" fontId="2" fillId="0" borderId="7" xfId="2" applyFont="1" applyFill="1" applyBorder="1"/>
    <xf numFmtId="0" fontId="4" fillId="0" borderId="20" xfId="0" applyFont="1" applyBorder="1"/>
    <xf numFmtId="9" fontId="0" fillId="0" borderId="1" xfId="2" applyFont="1" applyFill="1" applyBorder="1" applyAlignment="1">
      <alignment horizontal="center"/>
    </xf>
    <xf numFmtId="0" fontId="1" fillId="0" borderId="56" xfId="0" applyFont="1" applyBorder="1" applyAlignment="1">
      <alignment horizontal="center" vertical="center"/>
    </xf>
    <xf numFmtId="0" fontId="1" fillId="0" borderId="10" xfId="0" applyFont="1" applyBorder="1" applyAlignment="1">
      <alignment horizontal="center" vertical="center"/>
    </xf>
    <xf numFmtId="0" fontId="1" fillId="0" borderId="10"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9" fontId="3" fillId="0" borderId="12" xfId="2" applyFont="1" applyBorder="1" applyAlignment="1">
      <alignment horizontal="center"/>
    </xf>
    <xf numFmtId="0" fontId="1" fillId="0" borderId="68" xfId="0" applyFont="1" applyBorder="1" applyAlignment="1">
      <alignment horizontal="center" vertical="center"/>
    </xf>
    <xf numFmtId="0" fontId="1" fillId="0" borderId="44" xfId="0" applyFont="1" applyBorder="1" applyAlignment="1">
      <alignment horizontal="center" vertical="center"/>
    </xf>
    <xf numFmtId="174" fontId="0" fillId="0" borderId="44" xfId="2" applyNumberFormat="1" applyFont="1" applyBorder="1" applyAlignment="1">
      <alignment horizontal="center"/>
    </xf>
    <xf numFmtId="0" fontId="1" fillId="0" borderId="10" xfId="0" applyFont="1" applyBorder="1" applyAlignment="1">
      <alignment vertical="center"/>
    </xf>
    <xf numFmtId="0" fontId="1" fillId="0" borderId="10" xfId="0" applyFont="1" applyBorder="1" applyAlignment="1">
      <alignment vertical="center" wrapText="1"/>
    </xf>
    <xf numFmtId="0" fontId="0" fillId="0" borderId="10" xfId="0" applyBorder="1" applyAlignment="1">
      <alignment vertical="center"/>
    </xf>
    <xf numFmtId="0" fontId="1" fillId="0" borderId="11" xfId="0" applyFont="1" applyBorder="1" applyAlignment="1">
      <alignment vertical="center"/>
    </xf>
    <xf numFmtId="9" fontId="0" fillId="0" borderId="13" xfId="2" applyFont="1" applyBorder="1"/>
    <xf numFmtId="9" fontId="0" fillId="0" borderId="13" xfId="2" applyFont="1" applyFill="1" applyBorder="1"/>
    <xf numFmtId="9" fontId="3" fillId="0" borderId="67" xfId="2" applyFont="1" applyBorder="1" applyAlignment="1">
      <alignment horizontal="center"/>
    </xf>
    <xf numFmtId="0" fontId="0" fillId="0" borderId="26" xfId="0" applyBorder="1"/>
    <xf numFmtId="9" fontId="0" fillId="0" borderId="27" xfId="2" applyFont="1" applyBorder="1"/>
    <xf numFmtId="9" fontId="0" fillId="0" borderId="51" xfId="2" applyFont="1" applyBorder="1" applyAlignment="1">
      <alignment horizontal="center"/>
    </xf>
    <xf numFmtId="0" fontId="0" fillId="0" borderId="17" xfId="0" applyBorder="1"/>
    <xf numFmtId="9" fontId="0" fillId="0" borderId="18" xfId="2" applyFont="1" applyBorder="1"/>
    <xf numFmtId="9" fontId="0" fillId="0" borderId="18" xfId="2" applyFont="1" applyBorder="1" applyAlignment="1">
      <alignment horizontal="center"/>
    </xf>
    <xf numFmtId="0" fontId="3" fillId="0" borderId="12" xfId="0" applyFont="1" applyBorder="1"/>
    <xf numFmtId="0" fontId="3" fillId="0" borderId="33" xfId="0" applyFont="1" applyBorder="1"/>
    <xf numFmtId="0" fontId="32" fillId="0" borderId="23" xfId="0" applyFont="1" applyBorder="1" applyAlignment="1">
      <alignment vertical="center"/>
    </xf>
    <xf numFmtId="0" fontId="32" fillId="0" borderId="24" xfId="0" applyFont="1" applyBorder="1" applyAlignment="1">
      <alignment horizontal="center" vertical="center"/>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1" fillId="0" borderId="10" xfId="0" applyFont="1" applyBorder="1" applyAlignment="1">
      <alignment horizontal="center"/>
    </xf>
    <xf numFmtId="0" fontId="31" fillId="0" borderId="10" xfId="0" applyFont="1" applyBorder="1" applyAlignment="1">
      <alignment horizontal="center" vertical="center"/>
    </xf>
    <xf numFmtId="2" fontId="31" fillId="0" borderId="10" xfId="0" applyNumberFormat="1" applyFont="1" applyBorder="1" applyAlignment="1">
      <alignment horizontal="center" vertical="center"/>
    </xf>
    <xf numFmtId="0" fontId="34" fillId="0" borderId="10" xfId="0" applyFont="1" applyBorder="1" applyAlignment="1">
      <alignment horizontal="center" vertical="center"/>
    </xf>
    <xf numFmtId="0" fontId="31" fillId="0" borderId="1" xfId="0" applyFont="1" applyBorder="1" applyAlignment="1">
      <alignment horizontal="center" vertical="center"/>
    </xf>
    <xf numFmtId="2" fontId="31" fillId="0" borderId="1" xfId="0" applyNumberFormat="1" applyFont="1" applyBorder="1" applyAlignment="1">
      <alignment horizontal="center" vertical="center"/>
    </xf>
    <xf numFmtId="3" fontId="31" fillId="0" borderId="1" xfId="0" applyNumberFormat="1" applyFont="1" applyBorder="1" applyAlignment="1">
      <alignment horizontal="center" vertical="center"/>
    </xf>
    <xf numFmtId="0" fontId="31" fillId="0" borderId="14" xfId="0" applyFont="1" applyBorder="1" applyAlignment="1">
      <alignment horizontal="center" vertical="center"/>
    </xf>
    <xf numFmtId="2" fontId="31" fillId="0" borderId="14" xfId="0" applyNumberFormat="1" applyFont="1" applyBorder="1" applyAlignment="1">
      <alignment horizontal="center" vertical="center"/>
    </xf>
    <xf numFmtId="0" fontId="3" fillId="0" borderId="56" xfId="0" applyFont="1" applyBorder="1"/>
    <xf numFmtId="168" fontId="31" fillId="0" borderId="10" xfId="0" applyNumberFormat="1" applyFont="1" applyBorder="1" applyAlignment="1">
      <alignment horizontal="center"/>
    </xf>
    <xf numFmtId="167" fontId="31" fillId="0" borderId="1" xfId="0" applyNumberFormat="1" applyFont="1" applyBorder="1" applyAlignment="1">
      <alignment horizontal="center"/>
    </xf>
    <xf numFmtId="3" fontId="31" fillId="0" borderId="14" xfId="0" applyNumberFormat="1" applyFont="1" applyBorder="1" applyAlignment="1">
      <alignment horizontal="center" vertical="center"/>
    </xf>
    <xf numFmtId="167" fontId="31" fillId="0" borderId="14" xfId="0" applyNumberFormat="1" applyFont="1" applyBorder="1" applyAlignment="1">
      <alignment horizontal="center"/>
    </xf>
    <xf numFmtId="166" fontId="31" fillId="0" borderId="14" xfId="0" applyNumberFormat="1" applyFont="1" applyBorder="1" applyAlignment="1">
      <alignment horizontal="center"/>
    </xf>
    <xf numFmtId="2" fontId="31" fillId="0" borderId="15" xfId="0" applyNumberFormat="1" applyFont="1" applyBorder="1" applyAlignment="1">
      <alignment horizontal="center"/>
    </xf>
    <xf numFmtId="0" fontId="31" fillId="0" borderId="0" xfId="0" applyFont="1" applyAlignment="1">
      <alignment horizontal="center"/>
    </xf>
    <xf numFmtId="0" fontId="31" fillId="0" borderId="6" xfId="0" applyFont="1" applyBorder="1" applyAlignment="1">
      <alignment horizontal="center" vertical="center"/>
    </xf>
    <xf numFmtId="0" fontId="32" fillId="0" borderId="23" xfId="0" applyFont="1" applyBorder="1" applyAlignment="1">
      <alignment horizontal="center" vertical="center"/>
    </xf>
    <xf numFmtId="0" fontId="32" fillId="0" borderId="78" xfId="0" applyFont="1" applyBorder="1" applyAlignment="1">
      <alignment horizontal="center" vertical="center"/>
    </xf>
    <xf numFmtId="0" fontId="32" fillId="0" borderId="18" xfId="0" applyFont="1" applyBorder="1" applyAlignment="1">
      <alignment horizontal="center" vertical="center"/>
    </xf>
    <xf numFmtId="0" fontId="32" fillId="0" borderId="3" xfId="0" applyFont="1" applyBorder="1" applyAlignment="1">
      <alignment horizontal="left"/>
    </xf>
    <xf numFmtId="0" fontId="32" fillId="0" borderId="19" xfId="0" applyFont="1" applyBorder="1" applyAlignment="1">
      <alignment horizontal="left"/>
    </xf>
    <xf numFmtId="11" fontId="31" fillId="0" borderId="30" xfId="0" quotePrefix="1" applyNumberFormat="1" applyFont="1" applyBorder="1" applyAlignment="1">
      <alignment horizontal="center"/>
    </xf>
    <xf numFmtId="0" fontId="31" fillId="0" borderId="30" xfId="0" quotePrefix="1" applyFont="1" applyBorder="1" applyAlignment="1">
      <alignment horizontal="center"/>
    </xf>
    <xf numFmtId="11" fontId="31" fillId="0" borderId="30" xfId="0" applyNumberFormat="1" applyFont="1" applyBorder="1" applyAlignment="1">
      <alignment horizontal="center"/>
    </xf>
    <xf numFmtId="0" fontId="31" fillId="0" borderId="41" xfId="0" quotePrefix="1" applyFont="1" applyBorder="1" applyAlignment="1">
      <alignment horizontal="center"/>
    </xf>
    <xf numFmtId="0" fontId="31" fillId="0" borderId="35" xfId="0" quotePrefix="1" applyFont="1" applyBorder="1" applyAlignment="1">
      <alignment horizontal="center"/>
    </xf>
    <xf numFmtId="11" fontId="31" fillId="0" borderId="0" xfId="0" applyNumberFormat="1" applyFont="1"/>
    <xf numFmtId="0" fontId="32" fillId="0" borderId="8" xfId="0" applyFont="1" applyBorder="1" applyAlignment="1">
      <alignment horizontal="left"/>
    </xf>
    <xf numFmtId="0" fontId="31" fillId="0" borderId="1" xfId="0" quotePrefix="1" applyFont="1" applyBorder="1" applyAlignment="1">
      <alignment horizontal="center"/>
    </xf>
    <xf numFmtId="11" fontId="31" fillId="0" borderId="1" xfId="0" quotePrefix="1" applyNumberFormat="1" applyFont="1" applyBorder="1" applyAlignment="1">
      <alignment horizontal="center"/>
    </xf>
    <xf numFmtId="0" fontId="31" fillId="0" borderId="44" xfId="0" quotePrefix="1" applyFont="1" applyBorder="1" applyAlignment="1">
      <alignment horizontal="center"/>
    </xf>
    <xf numFmtId="0" fontId="31" fillId="0" borderId="26" xfId="0" quotePrefix="1" applyFont="1" applyBorder="1" applyAlignment="1">
      <alignment horizontal="center"/>
    </xf>
    <xf numFmtId="0" fontId="31" fillId="0" borderId="13" xfId="0" applyFont="1" applyBorder="1" applyAlignment="1">
      <alignment horizontal="center"/>
    </xf>
    <xf numFmtId="0" fontId="32" fillId="0" borderId="20" xfId="0" applyFont="1" applyBorder="1" applyAlignment="1">
      <alignment horizontal="left"/>
    </xf>
    <xf numFmtId="11" fontId="31" fillId="0" borderId="26" xfId="0" quotePrefix="1" applyNumberFormat="1" applyFont="1" applyBorder="1" applyAlignment="1">
      <alignment horizontal="center"/>
    </xf>
    <xf numFmtId="11" fontId="31" fillId="0" borderId="26" xfId="0" applyNumberFormat="1" applyFont="1" applyBorder="1" applyAlignment="1">
      <alignment horizontal="center"/>
    </xf>
    <xf numFmtId="11" fontId="31" fillId="0" borderId="38" xfId="0" quotePrefix="1" applyNumberFormat="1" applyFont="1" applyBorder="1" applyAlignment="1">
      <alignment horizontal="center"/>
    </xf>
    <xf numFmtId="0" fontId="31" fillId="0" borderId="38" xfId="0" quotePrefix="1" applyFont="1" applyBorder="1" applyAlignment="1">
      <alignment horizontal="center"/>
    </xf>
    <xf numFmtId="0" fontId="31" fillId="0" borderId="35" xfId="0" applyFont="1" applyBorder="1" applyAlignment="1">
      <alignment horizontal="center"/>
    </xf>
    <xf numFmtId="0" fontId="32" fillId="0" borderId="50" xfId="0" applyFont="1" applyBorder="1"/>
    <xf numFmtId="0" fontId="31" fillId="0" borderId="27" xfId="0" applyFont="1" applyBorder="1" applyAlignment="1">
      <alignment horizontal="center"/>
    </xf>
    <xf numFmtId="0" fontId="31" fillId="0" borderId="0" xfId="0" applyFont="1" applyAlignment="1">
      <alignment horizontal="left"/>
    </xf>
    <xf numFmtId="0" fontId="31" fillId="0" borderId="4" xfId="0" applyFont="1" applyBorder="1"/>
    <xf numFmtId="0" fontId="31" fillId="0" borderId="5" xfId="0" applyFont="1" applyBorder="1"/>
    <xf numFmtId="10" fontId="32" fillId="0" borderId="2" xfId="0" applyNumberFormat="1" applyFont="1" applyBorder="1"/>
    <xf numFmtId="0" fontId="32" fillId="0" borderId="0" xfId="0" applyFont="1" applyAlignment="1">
      <alignment horizontal="center" wrapText="1"/>
    </xf>
    <xf numFmtId="0" fontId="32" fillId="0" borderId="6" xfId="0" applyFont="1" applyBorder="1" applyAlignment="1">
      <alignment horizontal="center" wrapText="1"/>
    </xf>
    <xf numFmtId="0" fontId="32" fillId="0" borderId="54" xfId="0" applyFont="1" applyBorder="1" applyAlignment="1">
      <alignment horizontal="center" wrapText="1"/>
    </xf>
    <xf numFmtId="0" fontId="31" fillId="0" borderId="0" xfId="2" applyNumberFormat="1" applyFont="1" applyFill="1" applyAlignment="1">
      <alignment horizontal="center"/>
    </xf>
    <xf numFmtId="9" fontId="32" fillId="0" borderId="12" xfId="2" applyFont="1" applyFill="1" applyBorder="1"/>
    <xf numFmtId="0" fontId="32" fillId="0" borderId="12" xfId="0" applyFont="1" applyBorder="1"/>
    <xf numFmtId="0" fontId="32" fillId="0" borderId="33" xfId="0" applyFont="1" applyBorder="1"/>
    <xf numFmtId="0" fontId="31" fillId="0" borderId="14" xfId="0" quotePrefix="1" applyFont="1" applyBorder="1" applyAlignment="1">
      <alignment horizontal="center"/>
    </xf>
    <xf numFmtId="0" fontId="31" fillId="0" borderId="15" xfId="0" applyFont="1" applyBorder="1" applyAlignment="1">
      <alignment horizontal="center"/>
    </xf>
    <xf numFmtId="0" fontId="35" fillId="0" borderId="0" xfId="0" applyFont="1" applyAlignment="1">
      <alignment horizontal="center"/>
    </xf>
    <xf numFmtId="0" fontId="35" fillId="0" borderId="0" xfId="0" applyFont="1" applyAlignment="1">
      <alignment vertical="center"/>
    </xf>
    <xf numFmtId="0" fontId="35" fillId="0" borderId="0" xfId="0" applyFont="1" applyAlignment="1">
      <alignment horizontal="left"/>
    </xf>
    <xf numFmtId="11" fontId="32" fillId="0" borderId="16" xfId="0" applyNumberFormat="1" applyFont="1" applyBorder="1" applyAlignment="1">
      <alignment horizontal="center" vertical="center"/>
    </xf>
    <xf numFmtId="11" fontId="32" fillId="0" borderId="17" xfId="0" applyNumberFormat="1" applyFont="1" applyBorder="1" applyAlignment="1">
      <alignment horizontal="center" vertical="center"/>
    </xf>
    <xf numFmtId="11" fontId="32" fillId="0" borderId="17" xfId="0" applyNumberFormat="1" applyFont="1" applyBorder="1" applyAlignment="1">
      <alignment horizontal="center" vertical="center" wrapText="1"/>
    </xf>
    <xf numFmtId="11" fontId="32" fillId="0" borderId="57" xfId="0" applyNumberFormat="1" applyFont="1" applyBorder="1" applyAlignment="1">
      <alignment horizontal="center" vertical="center"/>
    </xf>
    <xf numFmtId="0" fontId="32" fillId="0" borderId="18" xfId="0" applyFont="1" applyBorder="1" applyAlignment="1">
      <alignment horizontal="center"/>
    </xf>
    <xf numFmtId="11" fontId="31" fillId="0" borderId="16" xfId="0" applyNumberFormat="1" applyFont="1" applyBorder="1" applyAlignment="1">
      <alignment horizontal="center"/>
    </xf>
    <xf numFmtId="11" fontId="31" fillId="0" borderId="17" xfId="0" applyNumberFormat="1" applyFont="1" applyBorder="1" applyAlignment="1">
      <alignment horizontal="center"/>
    </xf>
    <xf numFmtId="11" fontId="31" fillId="0" borderId="57" xfId="0" applyNumberFormat="1" applyFont="1" applyBorder="1" applyAlignment="1">
      <alignment horizontal="center"/>
    </xf>
    <xf numFmtId="11" fontId="31" fillId="0" borderId="18" xfId="0" applyNumberFormat="1" applyFont="1" applyBorder="1" applyAlignment="1">
      <alignment horizontal="center"/>
    </xf>
    <xf numFmtId="0" fontId="32" fillId="0" borderId="16" xfId="0" applyFont="1" applyBorder="1" applyAlignment="1">
      <alignment horizontal="center" vertical="center"/>
    </xf>
    <xf numFmtId="0" fontId="32" fillId="0" borderId="17" xfId="0" applyFont="1" applyBorder="1" applyAlignment="1">
      <alignment horizontal="center" vertical="center"/>
    </xf>
    <xf numFmtId="0" fontId="32" fillId="0" borderId="17" xfId="0" applyFont="1" applyBorder="1" applyAlignment="1">
      <alignment horizontal="center" vertical="center" wrapText="1"/>
    </xf>
    <xf numFmtId="9" fontId="32" fillId="0" borderId="79" xfId="2" applyFont="1" applyFill="1" applyBorder="1"/>
    <xf numFmtId="9" fontId="31" fillId="0" borderId="34" xfId="2" applyFont="1" applyFill="1" applyBorder="1" applyAlignment="1">
      <alignment horizontal="center"/>
    </xf>
    <xf numFmtId="9" fontId="31" fillId="0" borderId="30" xfId="2" applyFont="1" applyFill="1" applyBorder="1" applyAlignment="1">
      <alignment horizontal="center"/>
    </xf>
    <xf numFmtId="10" fontId="31" fillId="0" borderId="30" xfId="2" applyNumberFormat="1" applyFont="1" applyFill="1" applyBorder="1" applyAlignment="1">
      <alignment horizontal="center"/>
    </xf>
    <xf numFmtId="174" fontId="31" fillId="0" borderId="30" xfId="2" applyNumberFormat="1" applyFont="1" applyFill="1" applyBorder="1" applyAlignment="1">
      <alignment horizontal="center"/>
    </xf>
    <xf numFmtId="176" fontId="31" fillId="0" borderId="30" xfId="2" applyNumberFormat="1" applyFont="1" applyFill="1" applyBorder="1" applyAlignment="1">
      <alignment horizontal="center"/>
    </xf>
    <xf numFmtId="9" fontId="31" fillId="0" borderId="35" xfId="2" applyFont="1" applyFill="1" applyBorder="1" applyAlignment="1">
      <alignment horizontal="center"/>
    </xf>
    <xf numFmtId="9" fontId="31" fillId="0" borderId="0" xfId="2" applyFont="1" applyFill="1"/>
    <xf numFmtId="0" fontId="32" fillId="0" borderId="74" xfId="0" applyFont="1" applyBorder="1"/>
    <xf numFmtId="9" fontId="31" fillId="0" borderId="12" xfId="2" applyFont="1" applyFill="1" applyBorder="1" applyAlignment="1">
      <alignment horizontal="center"/>
    </xf>
    <xf numFmtId="9" fontId="31" fillId="0" borderId="1" xfId="2" applyFont="1" applyFill="1" applyBorder="1" applyAlignment="1">
      <alignment horizontal="center"/>
    </xf>
    <xf numFmtId="9" fontId="31" fillId="0" borderId="13" xfId="2" applyFont="1" applyFill="1" applyBorder="1" applyAlignment="1">
      <alignment horizontal="center"/>
    </xf>
    <xf numFmtId="174" fontId="31" fillId="0" borderId="1" xfId="2" applyNumberFormat="1" applyFont="1" applyFill="1" applyBorder="1" applyAlignment="1">
      <alignment horizontal="center"/>
    </xf>
    <xf numFmtId="10" fontId="31" fillId="0" borderId="1" xfId="2" applyNumberFormat="1" applyFont="1" applyFill="1" applyBorder="1" applyAlignment="1">
      <alignment horizontal="center"/>
    </xf>
    <xf numFmtId="0" fontId="32" fillId="0" borderId="80" xfId="0" applyFont="1" applyBorder="1"/>
    <xf numFmtId="9" fontId="31" fillId="0" borderId="67" xfId="2" applyFont="1" applyFill="1" applyBorder="1" applyAlignment="1">
      <alignment horizontal="center"/>
    </xf>
    <xf numFmtId="9" fontId="31" fillId="0" borderId="26" xfId="2" applyFont="1" applyFill="1" applyBorder="1" applyAlignment="1">
      <alignment horizontal="center"/>
    </xf>
    <xf numFmtId="9" fontId="31" fillId="0" borderId="27" xfId="2" applyFont="1" applyFill="1" applyBorder="1" applyAlignment="1">
      <alignment horizontal="center"/>
    </xf>
    <xf numFmtId="0" fontId="32" fillId="0" borderId="52" xfId="0" applyFont="1" applyBorder="1"/>
    <xf numFmtId="9" fontId="31" fillId="0" borderId="71" xfId="2" applyFont="1" applyFill="1" applyBorder="1" applyAlignment="1">
      <alignment horizontal="center"/>
    </xf>
    <xf numFmtId="9" fontId="31" fillId="0" borderId="28" xfId="2" applyFont="1" applyFill="1" applyBorder="1" applyAlignment="1">
      <alignment horizontal="center"/>
    </xf>
    <xf numFmtId="9" fontId="31" fillId="0" borderId="77" xfId="2" applyFont="1" applyFill="1" applyBorder="1" applyAlignment="1">
      <alignment horizontal="center"/>
    </xf>
    <xf numFmtId="0" fontId="32" fillId="0" borderId="2" xfId="0" applyFont="1" applyBorder="1"/>
    <xf numFmtId="9" fontId="32" fillId="0" borderId="16" xfId="2" applyFont="1" applyFill="1" applyBorder="1" applyAlignment="1">
      <alignment horizontal="center"/>
    </xf>
    <xf numFmtId="9" fontId="32" fillId="0" borderId="17" xfId="2" applyFont="1" applyFill="1" applyBorder="1" applyAlignment="1">
      <alignment horizontal="center"/>
    </xf>
    <xf numFmtId="9" fontId="31" fillId="0" borderId="17" xfId="2" applyFont="1" applyFill="1" applyBorder="1" applyAlignment="1">
      <alignment horizontal="center"/>
    </xf>
    <xf numFmtId="9" fontId="31" fillId="0" borderId="18" xfId="2" applyFont="1" applyFill="1" applyBorder="1" applyAlignment="1">
      <alignment horizontal="center"/>
    </xf>
    <xf numFmtId="9" fontId="35" fillId="0" borderId="0" xfId="2" applyFont="1" applyFill="1" applyAlignment="1">
      <alignment horizontal="center"/>
    </xf>
    <xf numFmtId="0" fontId="32" fillId="0" borderId="57" xfId="0" applyFont="1" applyBorder="1" applyAlignment="1">
      <alignment horizontal="center" vertical="center"/>
    </xf>
    <xf numFmtId="11" fontId="32" fillId="0" borderId="18" xfId="0" applyNumberFormat="1" applyFont="1" applyBorder="1" applyAlignment="1">
      <alignment vertical="center"/>
    </xf>
    <xf numFmtId="0" fontId="32" fillId="0" borderId="56" xfId="0" applyFont="1" applyBorder="1"/>
    <xf numFmtId="164" fontId="31" fillId="0" borderId="10" xfId="0" applyNumberFormat="1" applyFont="1" applyBorder="1" applyAlignment="1">
      <alignment horizontal="center"/>
    </xf>
    <xf numFmtId="164" fontId="31" fillId="0" borderId="68" xfId="0" applyNumberFormat="1" applyFont="1" applyBorder="1" applyAlignment="1">
      <alignment horizontal="center"/>
    </xf>
    <xf numFmtId="11" fontId="31" fillId="0" borderId="11" xfId="0" applyNumberFormat="1" applyFont="1" applyBorder="1" applyAlignment="1">
      <alignment horizontal="center"/>
    </xf>
    <xf numFmtId="164" fontId="31" fillId="0" borderId="1" xfId="0" applyNumberFormat="1" applyFont="1" applyBorder="1" applyAlignment="1">
      <alignment horizontal="center"/>
    </xf>
    <xf numFmtId="164" fontId="31" fillId="0" borderId="44" xfId="0" applyNumberFormat="1" applyFont="1" applyBorder="1" applyAlignment="1">
      <alignment horizontal="center"/>
    </xf>
    <xf numFmtId="11" fontId="31" fillId="0" borderId="13" xfId="0" applyNumberFormat="1" applyFont="1" applyBorder="1" applyAlignment="1">
      <alignment horizontal="center"/>
    </xf>
    <xf numFmtId="0" fontId="32" fillId="0" borderId="67" xfId="0" applyFont="1" applyBorder="1"/>
    <xf numFmtId="164" fontId="31" fillId="0" borderId="26" xfId="0" applyNumberFormat="1" applyFont="1" applyBorder="1" applyAlignment="1">
      <alignment horizontal="center"/>
    </xf>
    <xf numFmtId="164" fontId="31" fillId="0" borderId="38" xfId="0" applyNumberFormat="1" applyFont="1" applyBorder="1" applyAlignment="1">
      <alignment horizontal="center"/>
    </xf>
    <xf numFmtId="11" fontId="31" fillId="0" borderId="27" xfId="0" applyNumberFormat="1" applyFont="1" applyBorder="1" applyAlignment="1">
      <alignment horizontal="center"/>
    </xf>
    <xf numFmtId="0" fontId="32" fillId="0" borderId="16" xfId="0" applyFont="1" applyBorder="1"/>
    <xf numFmtId="164" fontId="32" fillId="0" borderId="17" xfId="0" applyNumberFormat="1" applyFont="1" applyBorder="1" applyAlignment="1">
      <alignment horizontal="center"/>
    </xf>
    <xf numFmtId="164" fontId="32" fillId="0" borderId="57" xfId="0" applyNumberFormat="1" applyFont="1" applyBorder="1" applyAlignment="1">
      <alignment horizontal="center"/>
    </xf>
    <xf numFmtId="164" fontId="32" fillId="0" borderId="18" xfId="0" applyNumberFormat="1" applyFont="1" applyBorder="1" applyAlignment="1">
      <alignment horizontal="center"/>
    </xf>
    <xf numFmtId="0" fontId="41" fillId="0" borderId="0" xfId="0" applyFont="1"/>
    <xf numFmtId="164" fontId="31" fillId="0" borderId="11" xfId="0" applyNumberFormat="1" applyFont="1" applyBorder="1" applyAlignment="1">
      <alignment horizontal="center"/>
    </xf>
    <xf numFmtId="164" fontId="31" fillId="0" borderId="13" xfId="0" applyNumberFormat="1" applyFont="1" applyBorder="1" applyAlignment="1">
      <alignment horizontal="center"/>
    </xf>
    <xf numFmtId="164" fontId="31" fillId="0" borderId="27" xfId="0" applyNumberFormat="1" applyFont="1" applyBorder="1" applyAlignment="1">
      <alignment horizontal="center"/>
    </xf>
    <xf numFmtId="0" fontId="42" fillId="0" borderId="0" xfId="0" applyFont="1"/>
    <xf numFmtId="0" fontId="32" fillId="0" borderId="7" xfId="0" applyFont="1" applyBorder="1"/>
    <xf numFmtId="11" fontId="31" fillId="0" borderId="34" xfId="0" applyNumberFormat="1" applyFont="1" applyBorder="1" applyAlignment="1">
      <alignment horizontal="center"/>
    </xf>
    <xf numFmtId="11" fontId="31" fillId="0" borderId="41" xfId="0" applyNumberFormat="1" applyFont="1" applyBorder="1" applyAlignment="1">
      <alignment horizontal="center"/>
    </xf>
    <xf numFmtId="11" fontId="31" fillId="0" borderId="35" xfId="0" applyNumberFormat="1" applyFont="1" applyBorder="1" applyAlignment="1">
      <alignment horizontal="center"/>
    </xf>
    <xf numFmtId="0" fontId="32" fillId="0" borderId="8" xfId="0" applyFont="1" applyBorder="1"/>
    <xf numFmtId="11" fontId="31" fillId="0" borderId="12" xfId="0" applyNumberFormat="1" applyFont="1" applyBorder="1" applyAlignment="1">
      <alignment horizontal="center"/>
    </xf>
    <xf numFmtId="11" fontId="31" fillId="0" borderId="44" xfId="0" applyNumberFormat="1" applyFont="1" applyBorder="1" applyAlignment="1">
      <alignment horizontal="center"/>
    </xf>
    <xf numFmtId="0" fontId="32" fillId="0" borderId="20" xfId="0" applyFont="1" applyBorder="1"/>
    <xf numFmtId="11" fontId="31" fillId="0" borderId="67" xfId="0" applyNumberFormat="1" applyFont="1" applyBorder="1" applyAlignment="1">
      <alignment horizontal="center"/>
    </xf>
    <xf numFmtId="2" fontId="31" fillId="0" borderId="26" xfId="0" applyNumberFormat="1" applyFont="1" applyBorder="1" applyAlignment="1">
      <alignment horizontal="center"/>
    </xf>
    <xf numFmtId="11" fontId="31" fillId="0" borderId="38" xfId="0" applyNumberFormat="1" applyFont="1" applyBorder="1" applyAlignment="1">
      <alignment horizontal="center"/>
    </xf>
    <xf numFmtId="11" fontId="32" fillId="0" borderId="18" xfId="0" applyNumberFormat="1" applyFont="1" applyBorder="1" applyAlignment="1">
      <alignment horizontal="center" vertical="center"/>
    </xf>
    <xf numFmtId="0" fontId="31" fillId="0" borderId="6" xfId="0" applyFont="1" applyBorder="1"/>
    <xf numFmtId="164" fontId="31" fillId="0" borderId="56" xfId="0" applyNumberFormat="1" applyFont="1" applyBorder="1" applyAlignment="1">
      <alignment horizontal="center"/>
    </xf>
    <xf numFmtId="164" fontId="31" fillId="0" borderId="12" xfId="0" applyNumberFormat="1" applyFont="1" applyBorder="1" applyAlignment="1">
      <alignment horizontal="center"/>
    </xf>
    <xf numFmtId="164" fontId="31" fillId="0" borderId="67" xfId="0" applyNumberFormat="1" applyFont="1" applyBorder="1" applyAlignment="1">
      <alignment horizontal="center"/>
    </xf>
    <xf numFmtId="0" fontId="32" fillId="0" borderId="3" xfId="0" applyFont="1" applyBorder="1"/>
    <xf numFmtId="0" fontId="31" fillId="0" borderId="73" xfId="0" applyFont="1" applyBorder="1"/>
    <xf numFmtId="0" fontId="32" fillId="0" borderId="4" xfId="0" applyFont="1" applyBorder="1" applyAlignment="1">
      <alignment horizontal="center" vertical="center"/>
    </xf>
    <xf numFmtId="0" fontId="32" fillId="0" borderId="51" xfId="0" applyFont="1" applyBorder="1" applyAlignment="1">
      <alignment horizontal="center" vertical="center"/>
    </xf>
    <xf numFmtId="0" fontId="32" fillId="0" borderId="57"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18" xfId="0" applyFont="1" applyBorder="1" applyAlignment="1">
      <alignment horizontal="center" vertical="center" wrapText="1"/>
    </xf>
    <xf numFmtId="0" fontId="31" fillId="0" borderId="34" xfId="0" applyFont="1" applyBorder="1"/>
    <xf numFmtId="0" fontId="31" fillId="0" borderId="35" xfId="0" applyFont="1" applyBorder="1"/>
    <xf numFmtId="0" fontId="31" fillId="0" borderId="47" xfId="0" applyFont="1" applyBorder="1" applyAlignment="1">
      <alignment horizontal="center"/>
    </xf>
    <xf numFmtId="0" fontId="31" fillId="0" borderId="30" xfId="0" applyFont="1" applyBorder="1" applyAlignment="1">
      <alignment horizontal="center"/>
    </xf>
    <xf numFmtId="0" fontId="31" fillId="0" borderId="12" xfId="0" applyFont="1" applyBorder="1"/>
    <xf numFmtId="0" fontId="31" fillId="0" borderId="13" xfId="0" applyFont="1" applyBorder="1"/>
    <xf numFmtId="0" fontId="31" fillId="0" borderId="29" xfId="0" applyFont="1" applyBorder="1" applyAlignment="1">
      <alignment horizontal="center"/>
    </xf>
    <xf numFmtId="0" fontId="31" fillId="0" borderId="33" xfId="0" applyFont="1" applyBorder="1"/>
    <xf numFmtId="0" fontId="31" fillId="0" borderId="15" xfId="0" applyFont="1" applyBorder="1"/>
    <xf numFmtId="0" fontId="31" fillId="0" borderId="37" xfId="0" applyFont="1" applyBorder="1" applyAlignment="1">
      <alignment horizontal="center"/>
    </xf>
    <xf numFmtId="0" fontId="41" fillId="0" borderId="59" xfId="0" applyFont="1" applyBorder="1" applyAlignment="1">
      <alignment horizontal="center"/>
    </xf>
    <xf numFmtId="0" fontId="41" fillId="0" borderId="60" xfId="0" applyFont="1" applyBorder="1" applyAlignment="1">
      <alignment horizontal="center"/>
    </xf>
    <xf numFmtId="166" fontId="41" fillId="0" borderId="64" xfId="0" applyNumberFormat="1" applyFont="1" applyBorder="1" applyAlignment="1">
      <alignment horizontal="center"/>
    </xf>
    <xf numFmtId="168" fontId="41" fillId="0" borderId="43" xfId="0" applyNumberFormat="1" applyFont="1" applyBorder="1" applyAlignment="1">
      <alignment horizontal="center"/>
    </xf>
    <xf numFmtId="168" fontId="31" fillId="0" borderId="43" xfId="0" applyNumberFormat="1" applyFont="1" applyBorder="1" applyAlignment="1">
      <alignment horizontal="center"/>
    </xf>
    <xf numFmtId="168" fontId="41" fillId="0" borderId="22" xfId="0" applyNumberFormat="1" applyFont="1" applyBorder="1" applyAlignment="1">
      <alignment horizontal="center"/>
    </xf>
    <xf numFmtId="167" fontId="41" fillId="0" borderId="43" xfId="0" applyNumberFormat="1" applyFont="1" applyBorder="1" applyAlignment="1">
      <alignment horizontal="center"/>
    </xf>
    <xf numFmtId="170" fontId="41" fillId="0" borderId="64" xfId="0" applyNumberFormat="1" applyFont="1" applyBorder="1" applyAlignment="1">
      <alignment horizontal="center"/>
    </xf>
    <xf numFmtId="166" fontId="41" fillId="0" borderId="43" xfId="0" applyNumberFormat="1" applyFont="1" applyBorder="1" applyAlignment="1">
      <alignment horizontal="center"/>
    </xf>
    <xf numFmtId="166" fontId="31" fillId="0" borderId="43" xfId="0" applyNumberFormat="1" applyFont="1" applyBorder="1" applyAlignment="1">
      <alignment horizontal="center"/>
    </xf>
    <xf numFmtId="170" fontId="41" fillId="0" borderId="43" xfId="0" applyNumberFormat="1" applyFont="1" applyBorder="1" applyAlignment="1">
      <alignment horizontal="center"/>
    </xf>
    <xf numFmtId="167" fontId="41" fillId="0" borderId="22" xfId="0" applyNumberFormat="1" applyFont="1" applyBorder="1" applyAlignment="1">
      <alignment horizontal="center"/>
    </xf>
    <xf numFmtId="0" fontId="41" fillId="0" borderId="61" xfId="0" applyFont="1" applyBorder="1" applyAlignment="1">
      <alignment horizontal="center"/>
    </xf>
    <xf numFmtId="166" fontId="41" fillId="0" borderId="65" xfId="0" applyNumberFormat="1" applyFont="1" applyBorder="1" applyAlignment="1">
      <alignment horizontal="center"/>
    </xf>
    <xf numFmtId="167" fontId="41" fillId="0" borderId="28" xfId="0" applyNumberFormat="1" applyFont="1" applyBorder="1" applyAlignment="1">
      <alignment horizontal="center"/>
    </xf>
    <xf numFmtId="167" fontId="31" fillId="0" borderId="28" xfId="0" applyNumberFormat="1" applyFont="1" applyBorder="1" applyAlignment="1">
      <alignment horizontal="center"/>
    </xf>
    <xf numFmtId="172" fontId="41" fillId="0" borderId="66" xfId="0" applyNumberFormat="1" applyFont="1" applyBorder="1" applyAlignment="1">
      <alignment horizontal="center"/>
    </xf>
    <xf numFmtId="167" fontId="41" fillId="0" borderId="66" xfId="0" applyNumberFormat="1" applyFont="1" applyBorder="1" applyAlignment="1">
      <alignment horizontal="center"/>
    </xf>
    <xf numFmtId="0" fontId="43" fillId="0" borderId="60" xfId="0" applyFont="1" applyBorder="1" applyAlignment="1">
      <alignment horizontal="center"/>
    </xf>
    <xf numFmtId="166" fontId="43" fillId="0" borderId="43" xfId="0" applyNumberFormat="1" applyFont="1" applyBorder="1" applyAlignment="1">
      <alignment horizontal="center"/>
    </xf>
    <xf numFmtId="167" fontId="43" fillId="0" borderId="22" xfId="0" applyNumberFormat="1" applyFont="1" applyBorder="1" applyAlignment="1">
      <alignment horizontal="center"/>
    </xf>
    <xf numFmtId="166" fontId="43" fillId="0" borderId="22" xfId="0" applyNumberFormat="1" applyFont="1" applyBorder="1" applyAlignment="1">
      <alignment horizontal="center"/>
    </xf>
    <xf numFmtId="167" fontId="43" fillId="0" borderId="21" xfId="0" applyNumberFormat="1" applyFont="1" applyBorder="1" applyAlignment="1">
      <alignment horizontal="center"/>
    </xf>
    <xf numFmtId="0" fontId="41" fillId="0" borderId="61" xfId="0" applyFont="1" applyBorder="1" applyAlignment="1">
      <alignment horizontal="center" vertical="center"/>
    </xf>
    <xf numFmtId="0" fontId="41" fillId="0" borderId="65" xfId="0" applyFont="1" applyBorder="1" applyAlignment="1">
      <alignment horizontal="center" vertical="center"/>
    </xf>
    <xf numFmtId="0" fontId="41" fillId="0" borderId="28" xfId="0" applyFont="1" applyBorder="1" applyAlignment="1">
      <alignment horizontal="center" vertical="center"/>
    </xf>
    <xf numFmtId="0" fontId="41" fillId="0" borderId="66" xfId="0" applyFont="1" applyBorder="1" applyAlignment="1">
      <alignment horizontal="center" vertical="center"/>
    </xf>
    <xf numFmtId="0" fontId="41" fillId="0" borderId="49" xfId="0" applyFont="1" applyBorder="1" applyAlignment="1">
      <alignment horizontal="center" vertical="center" wrapText="1"/>
    </xf>
    <xf numFmtId="0" fontId="44" fillId="0" borderId="0" xfId="0" applyFont="1" applyAlignment="1">
      <alignment vertical="top"/>
    </xf>
    <xf numFmtId="0" fontId="32" fillId="0" borderId="68" xfId="0" applyFont="1" applyBorder="1" applyAlignment="1">
      <alignment horizontal="center" vertical="center" wrapText="1"/>
    </xf>
    <xf numFmtId="0" fontId="32" fillId="0" borderId="69" xfId="0" applyFont="1" applyBorder="1" applyAlignment="1">
      <alignment horizontal="center" vertical="center" wrapText="1"/>
    </xf>
    <xf numFmtId="0" fontId="31" fillId="0" borderId="38" xfId="0" applyFont="1" applyBorder="1"/>
    <xf numFmtId="0" fontId="31" fillId="0" borderId="70" xfId="0" applyFont="1" applyBorder="1"/>
    <xf numFmtId="0" fontId="31" fillId="0" borderId="40" xfId="0" applyFont="1" applyBorder="1"/>
    <xf numFmtId="0" fontId="31" fillId="0" borderId="21" xfId="0" applyFont="1" applyBorder="1"/>
    <xf numFmtId="0" fontId="31" fillId="0" borderId="72" xfId="0" applyFont="1" applyBorder="1"/>
    <xf numFmtId="0" fontId="31" fillId="0" borderId="49" xfId="0" applyFont="1" applyBorder="1"/>
    <xf numFmtId="0" fontId="43" fillId="0" borderId="0" xfId="0" applyFont="1"/>
    <xf numFmtId="0" fontId="31" fillId="0" borderId="3" xfId="0" applyFont="1" applyBorder="1"/>
    <xf numFmtId="11" fontId="32" fillId="0" borderId="23" xfId="0" applyNumberFormat="1" applyFont="1" applyBorder="1" applyAlignment="1">
      <alignment horizontal="center" vertical="center"/>
    </xf>
    <xf numFmtId="11" fontId="32" fillId="0" borderId="24" xfId="0" applyNumberFormat="1" applyFont="1" applyBorder="1" applyAlignment="1">
      <alignment horizontal="center" vertical="center"/>
    </xf>
    <xf numFmtId="11" fontId="32" fillId="0" borderId="24" xfId="0" applyNumberFormat="1" applyFont="1" applyBorder="1" applyAlignment="1">
      <alignment horizontal="center" vertical="center" wrapText="1"/>
    </xf>
    <xf numFmtId="11" fontId="32" fillId="0" borderId="78" xfId="0" applyNumberFormat="1" applyFont="1" applyBorder="1" applyAlignment="1">
      <alignment horizontal="center" vertical="center"/>
    </xf>
    <xf numFmtId="11" fontId="32" fillId="0" borderId="25" xfId="0" applyNumberFormat="1" applyFont="1" applyBorder="1" applyAlignment="1">
      <alignment horizontal="center" vertical="center"/>
    </xf>
    <xf numFmtId="11" fontId="32" fillId="0" borderId="5" xfId="0" applyNumberFormat="1" applyFont="1" applyBorder="1" applyAlignment="1">
      <alignment horizontal="center" vertical="center" wrapText="1"/>
    </xf>
    <xf numFmtId="0" fontId="31" fillId="0" borderId="32" xfId="0" applyFont="1" applyBorder="1"/>
    <xf numFmtId="11" fontId="32" fillId="0" borderId="56" xfId="0" applyNumberFormat="1" applyFont="1" applyBorder="1" applyAlignment="1">
      <alignment horizontal="center" vertical="center"/>
    </xf>
    <xf numFmtId="11" fontId="32" fillId="0" borderId="10" xfId="0" applyNumberFormat="1" applyFont="1" applyBorder="1" applyAlignment="1">
      <alignment horizontal="center" vertical="center"/>
    </xf>
    <xf numFmtId="1" fontId="32" fillId="0" borderId="10" xfId="0" applyNumberFormat="1" applyFont="1" applyBorder="1" applyAlignment="1">
      <alignment horizontal="center" vertical="center"/>
    </xf>
    <xf numFmtId="11" fontId="32" fillId="0" borderId="10" xfId="0" applyNumberFormat="1" applyFont="1" applyBorder="1" applyAlignment="1">
      <alignment horizontal="center" vertical="center" wrapText="1"/>
    </xf>
    <xf numFmtId="11" fontId="32" fillId="0" borderId="68" xfId="0" applyNumberFormat="1" applyFont="1" applyBorder="1" applyAlignment="1">
      <alignment horizontal="center" vertical="center"/>
    </xf>
    <xf numFmtId="1" fontId="32" fillId="0" borderId="25" xfId="0" applyNumberFormat="1" applyFont="1" applyBorder="1" applyAlignment="1">
      <alignment horizontal="center" vertical="center"/>
    </xf>
    <xf numFmtId="0" fontId="31" fillId="0" borderId="54" xfId="0" applyFont="1" applyBorder="1" applyAlignment="1">
      <alignment horizontal="center"/>
    </xf>
    <xf numFmtId="0" fontId="31" fillId="0" borderId="48" xfId="0" applyFont="1" applyBorder="1"/>
    <xf numFmtId="0" fontId="31" fillId="0" borderId="33" xfId="0" applyFont="1" applyBorder="1" applyAlignment="1">
      <alignment horizontal="center"/>
    </xf>
    <xf numFmtId="0" fontId="31" fillId="0" borderId="81" xfId="0" applyFont="1" applyBorder="1" applyAlignment="1">
      <alignment horizontal="center"/>
    </xf>
    <xf numFmtId="0" fontId="31" fillId="0" borderId="49" xfId="0" applyFont="1" applyBorder="1" applyAlignment="1">
      <alignment horizontal="center"/>
    </xf>
    <xf numFmtId="0" fontId="31" fillId="0" borderId="56" xfId="0" applyFont="1" applyBorder="1" applyAlignment="1">
      <alignment horizontal="center"/>
    </xf>
    <xf numFmtId="11" fontId="31" fillId="0" borderId="10" xfId="0" applyNumberFormat="1" applyFont="1" applyBorder="1" applyAlignment="1">
      <alignment horizontal="center"/>
    </xf>
    <xf numFmtId="2" fontId="31" fillId="0" borderId="10" xfId="0" applyNumberFormat="1" applyFont="1" applyBorder="1" applyAlignment="1">
      <alignment horizontal="center"/>
    </xf>
    <xf numFmtId="0" fontId="31" fillId="0" borderId="68" xfId="0" applyFont="1" applyBorder="1" applyAlignment="1">
      <alignment horizontal="center"/>
    </xf>
    <xf numFmtId="0" fontId="31" fillId="0" borderId="11" xfId="0" applyFont="1" applyBorder="1" applyAlignment="1">
      <alignment horizontal="center"/>
    </xf>
    <xf numFmtId="2" fontId="31" fillId="0" borderId="54" xfId="0" applyNumberFormat="1" applyFont="1" applyBorder="1" applyAlignment="1">
      <alignment horizontal="center"/>
    </xf>
    <xf numFmtId="2" fontId="31" fillId="0" borderId="1" xfId="0" applyNumberFormat="1" applyFont="1" applyBorder="1" applyAlignment="1">
      <alignment horizontal="center"/>
    </xf>
    <xf numFmtId="170" fontId="31" fillId="0" borderId="1" xfId="0" applyNumberFormat="1" applyFont="1" applyBorder="1" applyAlignment="1">
      <alignment horizontal="center"/>
    </xf>
    <xf numFmtId="2" fontId="31" fillId="0" borderId="21" xfId="0" applyNumberFormat="1" applyFont="1" applyBorder="1" applyAlignment="1">
      <alignment horizontal="center"/>
    </xf>
    <xf numFmtId="11" fontId="31" fillId="0" borderId="14" xfId="0" applyNumberFormat="1" applyFont="1" applyBorder="1" applyAlignment="1">
      <alignment horizontal="center"/>
    </xf>
    <xf numFmtId="2" fontId="31" fillId="0" borderId="14" xfId="0" applyNumberFormat="1" applyFont="1" applyBorder="1" applyAlignment="1">
      <alignment horizontal="center"/>
    </xf>
    <xf numFmtId="2" fontId="31" fillId="0" borderId="49" xfId="0" applyNumberFormat="1" applyFont="1" applyBorder="1" applyAlignment="1">
      <alignment horizontal="center"/>
    </xf>
    <xf numFmtId="11" fontId="32" fillId="0" borderId="18" xfId="0" applyNumberFormat="1" applyFont="1" applyBorder="1" applyAlignment="1">
      <alignment horizontal="center" vertical="center" wrapText="1"/>
    </xf>
    <xf numFmtId="0" fontId="31" fillId="0" borderId="67" xfId="0" applyFont="1" applyBorder="1" applyAlignment="1">
      <alignment horizontal="center"/>
    </xf>
    <xf numFmtId="0" fontId="31" fillId="0" borderId="26" xfId="0" applyFont="1" applyBorder="1" applyAlignment="1">
      <alignment horizontal="center"/>
    </xf>
    <xf numFmtId="170" fontId="31" fillId="0" borderId="26" xfId="0" applyNumberFormat="1" applyFont="1" applyBorder="1" applyAlignment="1">
      <alignment horizontal="center"/>
    </xf>
    <xf numFmtId="0" fontId="31" fillId="0" borderId="38" xfId="0" applyFont="1" applyBorder="1" applyAlignment="1">
      <alignment horizontal="center"/>
    </xf>
    <xf numFmtId="0" fontId="31" fillId="0" borderId="21" xfId="0" applyFont="1" applyBorder="1" applyAlignment="1">
      <alignment horizontal="center"/>
    </xf>
    <xf numFmtId="11" fontId="31" fillId="0" borderId="56" xfId="0" applyNumberFormat="1" applyFont="1" applyBorder="1" applyAlignment="1">
      <alignment horizontal="center"/>
    </xf>
    <xf numFmtId="166" fontId="31" fillId="0" borderId="10" xfId="0" applyNumberFormat="1" applyFont="1" applyBorder="1" applyAlignment="1">
      <alignment horizontal="center"/>
    </xf>
    <xf numFmtId="11" fontId="31" fillId="0" borderId="68" xfId="0" applyNumberFormat="1" applyFont="1" applyBorder="1" applyAlignment="1">
      <alignment horizontal="center"/>
    </xf>
    <xf numFmtId="172" fontId="31" fillId="0" borderId="1" xfId="0" applyNumberFormat="1" applyFont="1" applyBorder="1" applyAlignment="1">
      <alignment horizontal="center"/>
    </xf>
    <xf numFmtId="166" fontId="31" fillId="0" borderId="1" xfId="0" applyNumberFormat="1" applyFont="1" applyBorder="1" applyAlignment="1">
      <alignment horizontal="center"/>
    </xf>
    <xf numFmtId="168" fontId="31" fillId="0" borderId="1" xfId="0" applyNumberFormat="1" applyFont="1" applyBorder="1" applyAlignment="1">
      <alignment horizontal="center"/>
    </xf>
    <xf numFmtId="11" fontId="31" fillId="0" borderId="33" xfId="0" applyNumberFormat="1" applyFont="1" applyBorder="1" applyAlignment="1">
      <alignment horizontal="center"/>
    </xf>
    <xf numFmtId="172" fontId="31" fillId="0" borderId="14" xfId="0" applyNumberFormat="1" applyFont="1" applyBorder="1" applyAlignment="1">
      <alignment horizontal="center"/>
    </xf>
    <xf numFmtId="170" fontId="31" fillId="0" borderId="14" xfId="0" applyNumberFormat="1" applyFont="1" applyBorder="1" applyAlignment="1">
      <alignment horizontal="center"/>
    </xf>
    <xf numFmtId="11" fontId="31" fillId="0" borderId="81" xfId="0" applyNumberFormat="1" applyFont="1" applyBorder="1" applyAlignment="1">
      <alignment horizontal="center"/>
    </xf>
    <xf numFmtId="11" fontId="31" fillId="0" borderId="15" xfId="0" applyNumberFormat="1" applyFont="1" applyBorder="1" applyAlignment="1">
      <alignment horizontal="center"/>
    </xf>
    <xf numFmtId="167" fontId="31" fillId="0" borderId="10" xfId="0" applyNumberFormat="1" applyFont="1" applyBorder="1" applyAlignment="1">
      <alignment horizontal="center"/>
    </xf>
    <xf numFmtId="173" fontId="31" fillId="0" borderId="1" xfId="0" applyNumberFormat="1" applyFont="1" applyBorder="1" applyAlignment="1">
      <alignment horizontal="center"/>
    </xf>
    <xf numFmtId="168" fontId="31" fillId="0" borderId="14" xfId="0" applyNumberFormat="1" applyFont="1" applyBorder="1" applyAlignment="1">
      <alignment horizontal="center"/>
    </xf>
    <xf numFmtId="11" fontId="31" fillId="0" borderId="23" xfId="0" applyNumberFormat="1" applyFont="1" applyBorder="1" applyAlignment="1">
      <alignment horizontal="center" vertical="center"/>
    </xf>
    <xf numFmtId="11" fontId="31" fillId="0" borderId="24" xfId="0" applyNumberFormat="1" applyFont="1" applyBorder="1" applyAlignment="1">
      <alignment horizontal="center" vertical="center"/>
    </xf>
    <xf numFmtId="11" fontId="31" fillId="0" borderId="24" xfId="0" applyNumberFormat="1" applyFont="1" applyBorder="1" applyAlignment="1">
      <alignment horizontal="center" vertical="center" wrapText="1"/>
    </xf>
    <xf numFmtId="11" fontId="31" fillId="0" borderId="78" xfId="0" applyNumberFormat="1" applyFont="1" applyBorder="1" applyAlignment="1">
      <alignment horizontal="center" vertical="center"/>
    </xf>
    <xf numFmtId="11" fontId="31" fillId="0" borderId="55" xfId="0" applyNumberFormat="1" applyFont="1" applyBorder="1" applyAlignment="1">
      <alignment horizontal="center" vertical="center" wrapText="1"/>
    </xf>
    <xf numFmtId="11" fontId="31" fillId="0" borderId="50" xfId="0" applyNumberFormat="1" applyFont="1" applyBorder="1" applyAlignment="1">
      <alignment horizontal="center"/>
    </xf>
    <xf numFmtId="11" fontId="31" fillId="0" borderId="43" xfId="0" applyNumberFormat="1" applyFont="1" applyBorder="1" applyAlignment="1">
      <alignment horizontal="center"/>
    </xf>
    <xf numFmtId="167" fontId="31" fillId="0" borderId="43" xfId="0" applyNumberFormat="1" applyFont="1" applyBorder="1" applyAlignment="1">
      <alignment horizontal="center"/>
    </xf>
    <xf numFmtId="2" fontId="31" fillId="0" borderId="43" xfId="0" applyNumberFormat="1" applyFont="1" applyBorder="1" applyAlignment="1">
      <alignment horizontal="center"/>
    </xf>
    <xf numFmtId="170" fontId="31" fillId="0" borderId="43" xfId="0" applyNumberFormat="1" applyFont="1" applyBorder="1" applyAlignment="1">
      <alignment horizontal="center"/>
    </xf>
    <xf numFmtId="0" fontId="31" fillId="0" borderId="40" xfId="0" applyFont="1" applyBorder="1" applyAlignment="1">
      <alignment horizontal="center"/>
    </xf>
    <xf numFmtId="0" fontId="31" fillId="0" borderId="77" xfId="0" applyFont="1" applyBorder="1" applyAlignment="1">
      <alignment horizontal="center"/>
    </xf>
    <xf numFmtId="11" fontId="31" fillId="0" borderId="21" xfId="0" applyNumberFormat="1" applyFont="1" applyBorder="1" applyAlignment="1">
      <alignment horizontal="center"/>
    </xf>
    <xf numFmtId="0" fontId="31" fillId="0" borderId="20" xfId="0" applyFont="1" applyBorder="1"/>
    <xf numFmtId="11" fontId="31" fillId="0" borderId="49" xfId="0" applyNumberFormat="1" applyFont="1" applyBorder="1" applyAlignment="1">
      <alignment horizontal="center"/>
    </xf>
    <xf numFmtId="0" fontId="31" fillId="0" borderId="55" xfId="0" applyFont="1" applyBorder="1"/>
    <xf numFmtId="0" fontId="31" fillId="0" borderId="53" xfId="0" applyFont="1" applyBorder="1"/>
    <xf numFmtId="11" fontId="32" fillId="0" borderId="2" xfId="0" applyNumberFormat="1" applyFont="1" applyBorder="1" applyAlignment="1">
      <alignment horizontal="center" vertical="center"/>
    </xf>
    <xf numFmtId="11" fontId="31" fillId="0" borderId="54" xfId="0" applyNumberFormat="1" applyFont="1" applyBorder="1" applyAlignment="1">
      <alignment horizontal="center"/>
    </xf>
    <xf numFmtId="0" fontId="31" fillId="0" borderId="0" xfId="0" applyFont="1" applyAlignment="1">
      <alignment horizontal="center" vertical="center"/>
    </xf>
    <xf numFmtId="0" fontId="32" fillId="0" borderId="21" xfId="0" applyFont="1" applyBorder="1"/>
    <xf numFmtId="0" fontId="31" fillId="0" borderId="10" xfId="0" quotePrefix="1" applyFont="1" applyBorder="1" applyAlignment="1">
      <alignment horizontal="center"/>
    </xf>
    <xf numFmtId="0" fontId="31" fillId="0" borderId="11" xfId="0" quotePrefix="1" applyFont="1" applyBorder="1" applyAlignment="1">
      <alignment horizontal="center"/>
    </xf>
    <xf numFmtId="0" fontId="31" fillId="0" borderId="13" xfId="0" quotePrefix="1" applyFont="1" applyBorder="1" applyAlignment="1">
      <alignment horizontal="center"/>
    </xf>
    <xf numFmtId="0" fontId="31" fillId="0" borderId="27" xfId="0" quotePrefix="1" applyFont="1" applyBorder="1" applyAlignment="1">
      <alignment horizontal="center"/>
    </xf>
    <xf numFmtId="0" fontId="32" fillId="0" borderId="9" xfId="0" applyFont="1" applyBorder="1" applyAlignment="1">
      <alignment horizontal="left"/>
    </xf>
    <xf numFmtId="11" fontId="31" fillId="0" borderId="14" xfId="0" quotePrefix="1" applyNumberFormat="1" applyFont="1" applyBorder="1" applyAlignment="1">
      <alignment horizontal="center"/>
    </xf>
    <xf numFmtId="0" fontId="31" fillId="0" borderId="15" xfId="0" quotePrefix="1" applyFont="1" applyBorder="1" applyAlignment="1">
      <alignment horizontal="center"/>
    </xf>
    <xf numFmtId="0" fontId="32" fillId="0" borderId="6" xfId="0" applyFont="1" applyBorder="1"/>
    <xf numFmtId="0" fontId="32" fillId="0" borderId="7" xfId="0" applyFont="1" applyBorder="1" applyAlignment="1">
      <alignment horizontal="left"/>
    </xf>
    <xf numFmtId="11" fontId="31" fillId="0" borderId="10" xfId="0" applyNumberFormat="1" applyFont="1" applyBorder="1"/>
    <xf numFmtId="11" fontId="31" fillId="0" borderId="1" xfId="0" applyNumberFormat="1" applyFont="1" applyBorder="1"/>
    <xf numFmtId="11" fontId="31" fillId="0" borderId="14" xfId="0" applyNumberFormat="1" applyFont="1" applyBorder="1"/>
    <xf numFmtId="0" fontId="45" fillId="0" borderId="0" xfId="0" applyFont="1"/>
    <xf numFmtId="0" fontId="45" fillId="0" borderId="0" xfId="0" applyFont="1" applyAlignment="1">
      <alignment vertical="center"/>
    </xf>
    <xf numFmtId="0" fontId="45" fillId="0" borderId="0" xfId="0" applyFont="1" applyAlignment="1">
      <alignment horizontal="right" vertical="center"/>
    </xf>
    <xf numFmtId="0" fontId="32" fillId="0" borderId="3" xfId="0" applyFont="1" applyBorder="1" applyAlignment="1">
      <alignment horizontal="center" vertical="center"/>
    </xf>
    <xf numFmtId="0" fontId="32" fillId="0" borderId="2" xfId="0" applyFont="1" applyBorder="1" applyAlignment="1">
      <alignment horizontal="center" vertical="center"/>
    </xf>
    <xf numFmtId="0" fontId="41" fillId="0" borderId="0" xfId="0" applyFont="1" applyAlignment="1">
      <alignment horizontal="center"/>
    </xf>
    <xf numFmtId="9" fontId="32" fillId="0" borderId="7" xfId="2" applyFont="1" applyFill="1" applyBorder="1"/>
    <xf numFmtId="9" fontId="31" fillId="0" borderId="56" xfId="2" applyFont="1" applyFill="1" applyBorder="1" applyAlignment="1">
      <alignment horizontal="center" vertical="center"/>
    </xf>
    <xf numFmtId="9" fontId="31" fillId="0" borderId="10" xfId="2" applyFont="1" applyFill="1" applyBorder="1" applyAlignment="1">
      <alignment horizontal="center" vertical="center"/>
    </xf>
    <xf numFmtId="9" fontId="31" fillId="0" borderId="11" xfId="2" applyFont="1" applyFill="1" applyBorder="1"/>
    <xf numFmtId="9" fontId="36" fillId="0" borderId="0" xfId="2" applyFont="1"/>
    <xf numFmtId="9" fontId="31" fillId="0" borderId="12" xfId="2" applyFont="1" applyFill="1" applyBorder="1" applyAlignment="1">
      <alignment horizontal="center" vertical="center"/>
    </xf>
    <xf numFmtId="9" fontId="31" fillId="0" borderId="1" xfId="2" applyFont="1" applyFill="1" applyBorder="1" applyAlignment="1">
      <alignment horizontal="center" vertical="center"/>
    </xf>
    <xf numFmtId="174" fontId="31" fillId="0" borderId="1" xfId="2" applyNumberFormat="1" applyFont="1" applyFill="1" applyBorder="1" applyAlignment="1">
      <alignment horizontal="center" vertical="center"/>
    </xf>
    <xf numFmtId="10" fontId="31" fillId="0" borderId="1" xfId="2" applyNumberFormat="1" applyFont="1" applyFill="1" applyBorder="1" applyAlignment="1">
      <alignment horizontal="center" vertical="center"/>
    </xf>
    <xf numFmtId="0" fontId="36" fillId="0" borderId="0" xfId="0" applyFont="1"/>
    <xf numFmtId="9" fontId="31" fillId="0" borderId="13" xfId="2" applyFont="1" applyFill="1" applyBorder="1"/>
    <xf numFmtId="176" fontId="31" fillId="0" borderId="1" xfId="2" applyNumberFormat="1" applyFont="1" applyFill="1" applyBorder="1" applyAlignment="1">
      <alignment horizontal="center" vertical="center"/>
    </xf>
    <xf numFmtId="9" fontId="31" fillId="0" borderId="67" xfId="2" applyFont="1" applyFill="1" applyBorder="1" applyAlignment="1">
      <alignment horizontal="center" vertical="center"/>
    </xf>
    <xf numFmtId="9" fontId="31" fillId="0" borderId="26" xfId="2" applyFont="1" applyFill="1" applyBorder="1" applyAlignment="1">
      <alignment horizontal="center" vertical="center"/>
    </xf>
    <xf numFmtId="174" fontId="31" fillId="0" borderId="26" xfId="2" applyNumberFormat="1" applyFont="1" applyFill="1" applyBorder="1" applyAlignment="1">
      <alignment horizontal="center" vertical="center"/>
    </xf>
    <xf numFmtId="10" fontId="31" fillId="0" borderId="26" xfId="2" applyNumberFormat="1" applyFont="1" applyFill="1" applyBorder="1" applyAlignment="1">
      <alignment horizontal="center" vertical="center"/>
    </xf>
    <xf numFmtId="9" fontId="31" fillId="0" borderId="14" xfId="2" applyFont="1" applyFill="1" applyBorder="1" applyAlignment="1">
      <alignment horizontal="center" vertical="center"/>
    </xf>
    <xf numFmtId="9" fontId="31" fillId="0" borderId="15" xfId="2" applyFont="1" applyFill="1" applyBorder="1"/>
    <xf numFmtId="9" fontId="32" fillId="0" borderId="16" xfId="2" applyFont="1" applyFill="1" applyBorder="1"/>
    <xf numFmtId="9" fontId="32" fillId="0" borderId="17" xfId="2" applyFont="1" applyFill="1" applyBorder="1"/>
    <xf numFmtId="9" fontId="31" fillId="0" borderId="18" xfId="2" applyFont="1" applyFill="1" applyBorder="1"/>
    <xf numFmtId="9" fontId="35" fillId="0" borderId="0" xfId="2" applyFont="1" applyFill="1"/>
    <xf numFmtId="0" fontId="31" fillId="0" borderId="44" xfId="0" applyFont="1" applyBorder="1" applyAlignment="1">
      <alignment horizontal="center"/>
    </xf>
    <xf numFmtId="0" fontId="31" fillId="0" borderId="12" xfId="0" applyFont="1" applyBorder="1" applyAlignment="1">
      <alignment horizontal="center"/>
    </xf>
    <xf numFmtId="0" fontId="31" fillId="0" borderId="12" xfId="0" quotePrefix="1" applyFont="1" applyBorder="1" applyAlignment="1">
      <alignment horizontal="center"/>
    </xf>
    <xf numFmtId="0" fontId="31" fillId="0" borderId="33" xfId="0" quotePrefix="1" applyFont="1" applyBorder="1" applyAlignment="1">
      <alignment horizontal="center"/>
    </xf>
    <xf numFmtId="0" fontId="46" fillId="0" borderId="0" xfId="0" applyFont="1"/>
    <xf numFmtId="9" fontId="46" fillId="0" borderId="0" xfId="2" applyFont="1" applyFill="1"/>
    <xf numFmtId="0" fontId="47" fillId="0" borderId="0" xfId="0" applyFont="1"/>
    <xf numFmtId="0" fontId="42" fillId="0" borderId="0" xfId="2" applyNumberFormat="1" applyFont="1" applyAlignment="1">
      <alignment horizontal="center"/>
    </xf>
    <xf numFmtId="0" fontId="42" fillId="0" borderId="0" xfId="0" applyFont="1" applyAlignment="1">
      <alignment horizontal="left"/>
    </xf>
    <xf numFmtId="0" fontId="42" fillId="0" borderId="0" xfId="0" applyFont="1" applyAlignment="1">
      <alignment horizontal="center"/>
    </xf>
    <xf numFmtId="2" fontId="31" fillId="0" borderId="30" xfId="0" applyNumberFormat="1" applyFont="1" applyBorder="1" applyAlignment="1">
      <alignment horizontal="center"/>
    </xf>
    <xf numFmtId="166" fontId="31" fillId="0" borderId="30" xfId="0" applyNumberFormat="1" applyFont="1" applyBorder="1" applyAlignment="1">
      <alignment horizontal="center"/>
    </xf>
    <xf numFmtId="2" fontId="31" fillId="0" borderId="28" xfId="0" applyNumberFormat="1" applyFont="1" applyBorder="1" applyAlignment="1">
      <alignment horizontal="center"/>
    </xf>
    <xf numFmtId="166" fontId="31" fillId="0" borderId="28" xfId="0" applyNumberFormat="1" applyFont="1" applyBorder="1" applyAlignment="1">
      <alignment horizontal="center"/>
    </xf>
    <xf numFmtId="0" fontId="32" fillId="0" borderId="16" xfId="0" applyFont="1" applyBorder="1" applyAlignment="1">
      <alignment horizontal="center"/>
    </xf>
    <xf numFmtId="0" fontId="31" fillId="0" borderId="2" xfId="0" applyFont="1" applyBorder="1"/>
    <xf numFmtId="11" fontId="31" fillId="0" borderId="40" xfId="0" applyNumberFormat="1" applyFont="1" applyBorder="1" applyAlignment="1">
      <alignment horizontal="center"/>
    </xf>
    <xf numFmtId="11" fontId="32" fillId="0" borderId="0" xfId="0" applyNumberFormat="1" applyFont="1" applyAlignment="1">
      <alignment horizontal="center"/>
    </xf>
    <xf numFmtId="0" fontId="31" fillId="0" borderId="0" xfId="0" quotePrefix="1" applyFont="1" applyAlignment="1">
      <alignment horizontal="center"/>
    </xf>
    <xf numFmtId="0" fontId="35" fillId="0" borderId="0" xfId="0" applyFont="1" applyAlignment="1">
      <alignment horizontal="right"/>
    </xf>
    <xf numFmtId="0" fontId="31" fillId="0" borderId="18" xfId="0" quotePrefix="1" applyFont="1" applyBorder="1" applyAlignment="1">
      <alignment horizontal="center"/>
    </xf>
    <xf numFmtId="11" fontId="31" fillId="13" borderId="30" xfId="0" quotePrefix="1" applyNumberFormat="1" applyFont="1" applyFill="1" applyBorder="1" applyAlignment="1">
      <alignment horizontal="center"/>
    </xf>
    <xf numFmtId="0" fontId="32" fillId="13" borderId="18" xfId="0" applyFont="1" applyFill="1" applyBorder="1" applyAlignment="1">
      <alignment horizontal="center" vertical="center" wrapText="1"/>
    </xf>
    <xf numFmtId="11" fontId="31" fillId="13" borderId="35" xfId="0" quotePrefix="1" applyNumberFormat="1" applyFont="1" applyFill="1" applyBorder="1" applyAlignment="1">
      <alignment horizontal="center"/>
    </xf>
    <xf numFmtId="0" fontId="31" fillId="13" borderId="18" xfId="0" quotePrefix="1" applyFont="1" applyFill="1" applyBorder="1" applyAlignment="1">
      <alignment horizontal="center"/>
    </xf>
    <xf numFmtId="10" fontId="31" fillId="13" borderId="35" xfId="2" applyNumberFormat="1" applyFont="1" applyFill="1" applyBorder="1" applyAlignment="1">
      <alignment horizontal="center"/>
    </xf>
    <xf numFmtId="9" fontId="31" fillId="13" borderId="13" xfId="2" applyFont="1" applyFill="1" applyBorder="1" applyAlignment="1">
      <alignment horizontal="center"/>
    </xf>
    <xf numFmtId="10" fontId="31" fillId="13" borderId="13" xfId="2" applyNumberFormat="1" applyFont="1" applyFill="1" applyBorder="1" applyAlignment="1">
      <alignment horizontal="center"/>
    </xf>
    <xf numFmtId="174" fontId="31" fillId="13" borderId="13" xfId="2" applyNumberFormat="1" applyFont="1" applyFill="1" applyBorder="1" applyAlignment="1">
      <alignment horizontal="center"/>
    </xf>
    <xf numFmtId="9" fontId="31" fillId="13" borderId="27" xfId="2" applyFont="1" applyFill="1" applyBorder="1" applyAlignment="1">
      <alignment horizontal="center"/>
    </xf>
    <xf numFmtId="9" fontId="31" fillId="13" borderId="77" xfId="2" applyFont="1" applyFill="1" applyBorder="1" applyAlignment="1">
      <alignment horizontal="center"/>
    </xf>
    <xf numFmtId="9" fontId="31" fillId="13" borderId="18" xfId="2" applyFont="1" applyFill="1" applyBorder="1" applyAlignment="1">
      <alignment horizontal="center"/>
    </xf>
    <xf numFmtId="11" fontId="31" fillId="13" borderId="1" xfId="0" quotePrefix="1" applyNumberFormat="1" applyFont="1" applyFill="1" applyBorder="1" applyAlignment="1">
      <alignment horizontal="center"/>
    </xf>
    <xf numFmtId="11" fontId="31" fillId="13" borderId="1" xfId="0" applyNumberFormat="1" applyFont="1" applyFill="1" applyBorder="1" applyAlignment="1">
      <alignment horizontal="center"/>
    </xf>
    <xf numFmtId="174" fontId="31" fillId="13" borderId="1" xfId="2" applyNumberFormat="1" applyFont="1" applyFill="1" applyBorder="1" applyAlignment="1">
      <alignment horizontal="center"/>
    </xf>
    <xf numFmtId="0" fontId="31" fillId="13" borderId="44" xfId="0" applyFont="1" applyFill="1" applyBorder="1" applyAlignment="1">
      <alignment horizontal="center"/>
    </xf>
    <xf numFmtId="0" fontId="31" fillId="13" borderId="13" xfId="0" applyFont="1" applyFill="1" applyBorder="1" applyAlignment="1">
      <alignment horizontal="center"/>
    </xf>
    <xf numFmtId="11" fontId="31" fillId="13" borderId="26" xfId="0" quotePrefix="1" applyNumberFormat="1" applyFont="1" applyFill="1" applyBorder="1" applyAlignment="1">
      <alignment horizontal="center"/>
    </xf>
    <xf numFmtId="0" fontId="32" fillId="13" borderId="17" xfId="0" applyFont="1" applyFill="1" applyBorder="1" applyAlignment="1">
      <alignment horizontal="center" vertical="center"/>
    </xf>
    <xf numFmtId="174" fontId="31" fillId="13" borderId="12" xfId="2" applyNumberFormat="1" applyFont="1" applyFill="1" applyBorder="1" applyAlignment="1">
      <alignment horizontal="center"/>
    </xf>
    <xf numFmtId="178" fontId="32" fillId="0" borderId="17" xfId="0" applyNumberFormat="1" applyFont="1" applyBorder="1" applyAlignment="1">
      <alignment horizontal="center"/>
    </xf>
    <xf numFmtId="177" fontId="31" fillId="0" borderId="1" xfId="0" applyNumberFormat="1" applyFont="1" applyBorder="1" applyAlignment="1">
      <alignment horizontal="center"/>
    </xf>
    <xf numFmtId="178" fontId="31" fillId="0" borderId="1" xfId="0" applyNumberFormat="1" applyFont="1" applyBorder="1" applyAlignment="1">
      <alignment horizontal="center"/>
    </xf>
    <xf numFmtId="0" fontId="32" fillId="0" borderId="0" xfId="0" applyFont="1" applyAlignment="1">
      <alignment horizontal="center"/>
    </xf>
    <xf numFmtId="11" fontId="32" fillId="0" borderId="18" xfId="0" applyNumberFormat="1" applyFont="1" applyBorder="1" applyAlignment="1">
      <alignment horizontal="center"/>
    </xf>
    <xf numFmtId="11" fontId="32" fillId="13" borderId="18" xfId="0" applyNumberFormat="1" applyFont="1" applyFill="1" applyBorder="1" applyAlignment="1">
      <alignment horizontal="center" vertical="center" wrapText="1"/>
    </xf>
    <xf numFmtId="164" fontId="32" fillId="13" borderId="17" xfId="0" applyNumberFormat="1" applyFont="1" applyFill="1" applyBorder="1" applyAlignment="1">
      <alignment horizontal="center"/>
    </xf>
    <xf numFmtId="0" fontId="41" fillId="13" borderId="0" xfId="0" applyFont="1" applyFill="1"/>
    <xf numFmtId="0" fontId="31" fillId="13" borderId="10" xfId="0" applyFont="1" applyFill="1" applyBorder="1" applyAlignment="1">
      <alignment horizontal="center" vertical="center"/>
    </xf>
    <xf numFmtId="0" fontId="31" fillId="13" borderId="1" xfId="0" applyFont="1" applyFill="1" applyBorder="1" applyAlignment="1">
      <alignment horizontal="center" vertical="center"/>
    </xf>
    <xf numFmtId="0" fontId="31" fillId="13" borderId="14" xfId="0" applyFont="1" applyFill="1" applyBorder="1" applyAlignment="1">
      <alignment horizontal="center" vertical="center"/>
    </xf>
    <xf numFmtId="0" fontId="32" fillId="13" borderId="24" xfId="0" applyFont="1" applyFill="1" applyBorder="1" applyAlignment="1">
      <alignment horizontal="center" vertical="center" wrapText="1"/>
    </xf>
    <xf numFmtId="168" fontId="31" fillId="13" borderId="10" xfId="0" applyNumberFormat="1" applyFont="1" applyFill="1" applyBorder="1" applyAlignment="1">
      <alignment horizontal="center"/>
    </xf>
    <xf numFmtId="167" fontId="31" fillId="13" borderId="1" xfId="0" applyNumberFormat="1" applyFont="1" applyFill="1" applyBorder="1" applyAlignment="1">
      <alignment horizontal="center"/>
    </xf>
    <xf numFmtId="167" fontId="31" fillId="13" borderId="14" xfId="0" applyNumberFormat="1" applyFont="1" applyFill="1" applyBorder="1" applyAlignment="1">
      <alignment horizontal="center"/>
    </xf>
    <xf numFmtId="166" fontId="31" fillId="13" borderId="14" xfId="0" applyNumberFormat="1" applyFont="1" applyFill="1" applyBorder="1" applyAlignment="1">
      <alignment horizontal="center"/>
    </xf>
    <xf numFmtId="11" fontId="41" fillId="0" borderId="63" xfId="0" applyNumberFormat="1" applyFont="1" applyBorder="1" applyAlignment="1">
      <alignment horizontal="center"/>
    </xf>
    <xf numFmtId="11" fontId="41" fillId="0" borderId="24" xfId="0" applyNumberFormat="1" applyFont="1" applyBorder="1" applyAlignment="1">
      <alignment horizontal="center"/>
    </xf>
    <xf numFmtId="11" fontId="31" fillId="0" borderId="24" xfId="0" applyNumberFormat="1" applyFont="1" applyBorder="1" applyAlignment="1">
      <alignment horizontal="center"/>
    </xf>
    <xf numFmtId="11" fontId="41" fillId="0" borderId="36" xfId="0" applyNumberFormat="1" applyFont="1" applyBorder="1" applyAlignment="1">
      <alignment horizontal="center"/>
    </xf>
    <xf numFmtId="11" fontId="41" fillId="0" borderId="54" xfId="0" applyNumberFormat="1" applyFont="1" applyBorder="1" applyAlignment="1">
      <alignment horizontal="center"/>
    </xf>
    <xf numFmtId="11" fontId="41" fillId="0" borderId="21" xfId="0" applyNumberFormat="1" applyFont="1" applyBorder="1" applyAlignment="1">
      <alignment horizontal="center"/>
    </xf>
    <xf numFmtId="11" fontId="41" fillId="0" borderId="49" xfId="0" applyNumberFormat="1" applyFont="1" applyBorder="1" applyAlignment="1">
      <alignment horizontal="center"/>
    </xf>
    <xf numFmtId="170" fontId="41" fillId="0" borderId="0" xfId="0" applyNumberFormat="1" applyFont="1"/>
    <xf numFmtId="167" fontId="43" fillId="0" borderId="0" xfId="0" applyNumberFormat="1" applyFont="1" applyAlignment="1">
      <alignment horizontal="center"/>
    </xf>
    <xf numFmtId="166" fontId="41" fillId="0" borderId="0" xfId="0" applyNumberFormat="1" applyFont="1"/>
    <xf numFmtId="2" fontId="31" fillId="0" borderId="0" xfId="0" applyNumberFormat="1" applyFont="1" applyAlignment="1">
      <alignment horizontal="center"/>
    </xf>
    <xf numFmtId="166" fontId="31" fillId="0" borderId="0" xfId="0" applyNumberFormat="1" applyFont="1" applyAlignment="1">
      <alignment horizontal="center"/>
    </xf>
    <xf numFmtId="11" fontId="31" fillId="0" borderId="29" xfId="0" applyNumberFormat="1" applyFont="1" applyBorder="1" applyAlignment="1">
      <alignment horizontal="center"/>
    </xf>
    <xf numFmtId="176" fontId="31" fillId="13" borderId="1" xfId="2" applyNumberFormat="1" applyFont="1" applyFill="1" applyBorder="1" applyAlignment="1">
      <alignment horizontal="center"/>
    </xf>
    <xf numFmtId="177" fontId="32" fillId="0" borderId="17" xfId="0" applyNumberFormat="1" applyFont="1" applyBorder="1" applyAlignment="1">
      <alignment horizontal="center"/>
    </xf>
    <xf numFmtId="11" fontId="32" fillId="0" borderId="17" xfId="0" applyNumberFormat="1" applyFont="1" applyBorder="1" applyAlignment="1">
      <alignment horizontal="center"/>
    </xf>
    <xf numFmtId="178" fontId="32" fillId="0" borderId="18" xfId="0" applyNumberFormat="1" applyFont="1" applyBorder="1" applyAlignment="1">
      <alignment horizontal="center"/>
    </xf>
    <xf numFmtId="11" fontId="31" fillId="0" borderId="0" xfId="0" applyNumberFormat="1" applyFont="1" applyAlignment="1">
      <alignment horizontal="center"/>
    </xf>
    <xf numFmtId="11" fontId="31" fillId="15" borderId="0" xfId="0" applyNumberFormat="1" applyFont="1" applyFill="1" applyAlignment="1">
      <alignment horizontal="center"/>
    </xf>
    <xf numFmtId="11" fontId="31" fillId="15" borderId="0" xfId="0" applyNumberFormat="1" applyFont="1" applyFill="1"/>
    <xf numFmtId="11" fontId="32" fillId="0" borderId="0" xfId="0" applyNumberFormat="1" applyFont="1"/>
    <xf numFmtId="0" fontId="32" fillId="13" borderId="5" xfId="0" applyFont="1" applyFill="1" applyBorder="1" applyAlignment="1">
      <alignment horizontal="center" vertical="center" wrapText="1"/>
    </xf>
    <xf numFmtId="0" fontId="32" fillId="13" borderId="0" xfId="0" applyFont="1" applyFill="1" applyAlignment="1">
      <alignment horizontal="center"/>
    </xf>
    <xf numFmtId="0" fontId="32" fillId="13" borderId="0" xfId="0" applyFont="1" applyFill="1"/>
    <xf numFmtId="2" fontId="32" fillId="13" borderId="0" xfId="0" applyNumberFormat="1" applyFont="1" applyFill="1" applyAlignment="1">
      <alignment horizontal="center"/>
    </xf>
    <xf numFmtId="0" fontId="32" fillId="16" borderId="0" xfId="0" applyFont="1" applyFill="1"/>
    <xf numFmtId="10" fontId="31" fillId="16" borderId="30" xfId="2" applyNumberFormat="1" applyFont="1" applyFill="1" applyBorder="1" applyAlignment="1">
      <alignment horizontal="center"/>
    </xf>
    <xf numFmtId="174" fontId="31" fillId="16" borderId="30" xfId="2" applyNumberFormat="1" applyFont="1" applyFill="1" applyBorder="1" applyAlignment="1">
      <alignment horizontal="center"/>
    </xf>
    <xf numFmtId="176" fontId="31" fillId="16" borderId="30" xfId="2" applyNumberFormat="1" applyFont="1" applyFill="1" applyBorder="1" applyAlignment="1">
      <alignment horizontal="center"/>
    </xf>
    <xf numFmtId="179" fontId="31" fillId="16" borderId="30" xfId="2" applyNumberFormat="1" applyFont="1" applyFill="1" applyBorder="1" applyAlignment="1">
      <alignment horizontal="center"/>
    </xf>
    <xf numFmtId="0" fontId="32" fillId="16" borderId="74" xfId="0" applyFont="1" applyFill="1" applyBorder="1"/>
    <xf numFmtId="9" fontId="31" fillId="16" borderId="1" xfId="2" applyFont="1" applyFill="1" applyBorder="1" applyAlignment="1">
      <alignment horizontal="center"/>
    </xf>
    <xf numFmtId="174" fontId="31" fillId="16" borderId="1" xfId="2" applyNumberFormat="1" applyFont="1" applyFill="1" applyBorder="1" applyAlignment="1">
      <alignment horizontal="center"/>
    </xf>
    <xf numFmtId="10" fontId="31" fillId="16" borderId="1" xfId="2" applyNumberFormat="1" applyFont="1" applyFill="1" applyBorder="1" applyAlignment="1">
      <alignment horizontal="center"/>
    </xf>
    <xf numFmtId="0" fontId="32" fillId="13" borderId="17" xfId="0" applyFont="1" applyFill="1" applyBorder="1" applyAlignment="1">
      <alignment horizontal="center" vertical="center" wrapText="1"/>
    </xf>
    <xf numFmtId="10" fontId="31" fillId="13" borderId="30" xfId="2" applyNumberFormat="1" applyFont="1" applyFill="1" applyBorder="1" applyAlignment="1">
      <alignment horizontal="center"/>
    </xf>
    <xf numFmtId="10" fontId="31" fillId="13" borderId="1" xfId="2" applyNumberFormat="1" applyFont="1" applyFill="1" applyBorder="1" applyAlignment="1">
      <alignment horizontal="center"/>
    </xf>
    <xf numFmtId="0" fontId="32" fillId="13" borderId="74" xfId="0" applyFont="1" applyFill="1" applyBorder="1"/>
    <xf numFmtId="10" fontId="31" fillId="13" borderId="12" xfId="2" applyNumberFormat="1" applyFont="1" applyFill="1" applyBorder="1" applyAlignment="1">
      <alignment horizontal="center"/>
    </xf>
    <xf numFmtId="0" fontId="32" fillId="13" borderId="18" xfId="0" applyFont="1" applyFill="1" applyBorder="1" applyAlignment="1">
      <alignment horizontal="center" vertical="center"/>
    </xf>
    <xf numFmtId="11" fontId="31" fillId="13" borderId="27" xfId="0" applyNumberFormat="1" applyFont="1" applyFill="1" applyBorder="1" applyAlignment="1">
      <alignment horizontal="center"/>
    </xf>
    <xf numFmtId="11" fontId="31" fillId="13" borderId="13" xfId="0" applyNumberFormat="1" applyFont="1" applyFill="1" applyBorder="1" applyAlignment="1">
      <alignment horizontal="center"/>
    </xf>
    <xf numFmtId="11" fontId="32" fillId="0" borderId="57" xfId="0" applyNumberFormat="1" applyFont="1" applyBorder="1" applyAlignment="1">
      <alignment horizontal="center" vertical="center" wrapText="1"/>
    </xf>
    <xf numFmtId="0" fontId="43" fillId="0" borderId="1" xfId="0" applyFont="1" applyBorder="1" applyAlignment="1">
      <alignment horizontal="center" wrapText="1"/>
    </xf>
    <xf numFmtId="2" fontId="41" fillId="0" borderId="1" xfId="0" applyNumberFormat="1" applyFont="1" applyBorder="1"/>
    <xf numFmtId="11" fontId="41" fillId="0" borderId="1" xfId="0" applyNumberFormat="1" applyFont="1" applyBorder="1" applyAlignment="1">
      <alignment horizontal="center"/>
    </xf>
    <xf numFmtId="170" fontId="43" fillId="0" borderId="1" xfId="0" applyNumberFormat="1" applyFont="1" applyBorder="1" applyAlignment="1">
      <alignment horizontal="center"/>
    </xf>
    <xf numFmtId="166" fontId="43" fillId="0" borderId="1" xfId="0" applyNumberFormat="1" applyFont="1" applyBorder="1" applyAlignment="1">
      <alignment horizontal="center"/>
    </xf>
    <xf numFmtId="166" fontId="41" fillId="0" borderId="1" xfId="0" applyNumberFormat="1" applyFont="1" applyBorder="1"/>
    <xf numFmtId="166" fontId="31" fillId="0" borderId="0" xfId="0" applyNumberFormat="1" applyFont="1"/>
    <xf numFmtId="170" fontId="43" fillId="0" borderId="1" xfId="0" applyNumberFormat="1" applyFont="1" applyBorder="1"/>
    <xf numFmtId="166" fontId="43" fillId="0" borderId="1" xfId="0" applyNumberFormat="1" applyFont="1" applyBorder="1"/>
    <xf numFmtId="11" fontId="41" fillId="13" borderId="54" xfId="0" applyNumberFormat="1" applyFont="1" applyFill="1" applyBorder="1" applyAlignment="1">
      <alignment horizontal="center"/>
    </xf>
    <xf numFmtId="11" fontId="41" fillId="13" borderId="21" xfId="0" applyNumberFormat="1" applyFont="1" applyFill="1" applyBorder="1" applyAlignment="1">
      <alignment horizontal="center"/>
    </xf>
    <xf numFmtId="11" fontId="41" fillId="13" borderId="49" xfId="0" applyNumberFormat="1" applyFont="1" applyFill="1" applyBorder="1" applyAlignment="1">
      <alignment horizontal="center"/>
    </xf>
    <xf numFmtId="170" fontId="43" fillId="13" borderId="21" xfId="0" applyNumberFormat="1" applyFont="1" applyFill="1" applyBorder="1" applyAlignment="1">
      <alignment horizontal="center"/>
    </xf>
    <xf numFmtId="0" fontId="50" fillId="0" borderId="0" xfId="0" applyFont="1"/>
    <xf numFmtId="9" fontId="31" fillId="16" borderId="12" xfId="2" applyFont="1" applyFill="1" applyBorder="1" applyAlignment="1">
      <alignment horizontal="center"/>
    </xf>
    <xf numFmtId="9" fontId="31" fillId="16" borderId="13" xfId="2" applyFont="1" applyFill="1" applyBorder="1" applyAlignment="1">
      <alignment horizontal="center"/>
    </xf>
    <xf numFmtId="9" fontId="31" fillId="13" borderId="1" xfId="2" applyFont="1" applyFill="1" applyBorder="1" applyAlignment="1">
      <alignment horizontal="center"/>
    </xf>
    <xf numFmtId="9" fontId="31" fillId="16" borderId="28" xfId="2" applyFont="1" applyFill="1" applyBorder="1" applyAlignment="1">
      <alignment horizontal="center"/>
    </xf>
    <xf numFmtId="11" fontId="32" fillId="13" borderId="54" xfId="0" applyNumberFormat="1" applyFont="1" applyFill="1" applyBorder="1" applyAlignment="1">
      <alignment horizontal="center" vertical="center" wrapText="1"/>
    </xf>
    <xf numFmtId="1" fontId="32" fillId="13" borderId="54" xfId="0" applyNumberFormat="1" applyFont="1" applyFill="1" applyBorder="1" applyAlignment="1">
      <alignment horizontal="center" vertical="center"/>
    </xf>
    <xf numFmtId="0" fontId="31" fillId="13" borderId="14" xfId="0" applyFont="1" applyFill="1" applyBorder="1" applyAlignment="1">
      <alignment horizontal="center"/>
    </xf>
    <xf numFmtId="11" fontId="31" fillId="13" borderId="54" xfId="0" applyNumberFormat="1" applyFont="1" applyFill="1" applyBorder="1" applyAlignment="1">
      <alignment horizontal="center"/>
    </xf>
    <xf numFmtId="11" fontId="31" fillId="13" borderId="21" xfId="0" applyNumberFormat="1" applyFont="1" applyFill="1" applyBorder="1" applyAlignment="1">
      <alignment horizontal="center"/>
    </xf>
    <xf numFmtId="11" fontId="31" fillId="13" borderId="49" xfId="0" applyNumberFormat="1" applyFont="1" applyFill="1" applyBorder="1" applyAlignment="1">
      <alignment horizontal="center"/>
    </xf>
    <xf numFmtId="2" fontId="41" fillId="14" borderId="1" xfId="0" applyNumberFormat="1" applyFont="1" applyFill="1" applyBorder="1" applyAlignment="1">
      <alignment horizontal="center"/>
    </xf>
    <xf numFmtId="2" fontId="41" fillId="14" borderId="1" xfId="0" applyNumberFormat="1" applyFont="1" applyFill="1" applyBorder="1"/>
    <xf numFmtId="10" fontId="32" fillId="13" borderId="2" xfId="0" applyNumberFormat="1" applyFont="1" applyFill="1" applyBorder="1"/>
    <xf numFmtId="170" fontId="31" fillId="13" borderId="11" xfId="0" applyNumberFormat="1" applyFont="1" applyFill="1" applyBorder="1" applyAlignment="1">
      <alignment horizontal="center"/>
    </xf>
    <xf numFmtId="2" fontId="31" fillId="13" borderId="13" xfId="0" applyNumberFormat="1" applyFont="1" applyFill="1" applyBorder="1" applyAlignment="1">
      <alignment horizontal="center"/>
    </xf>
    <xf numFmtId="2" fontId="43" fillId="0" borderId="64" xfId="0" applyNumberFormat="1" applyFont="1" applyBorder="1" applyAlignment="1">
      <alignment horizontal="center"/>
    </xf>
    <xf numFmtId="0" fontId="31" fillId="13" borderId="1" xfId="0" quotePrefix="1" applyFont="1" applyFill="1" applyBorder="1" applyAlignment="1">
      <alignment horizontal="center"/>
    </xf>
    <xf numFmtId="9" fontId="31" fillId="13" borderId="0" xfId="2" applyFont="1" applyFill="1"/>
    <xf numFmtId="0" fontId="31" fillId="13" borderId="0" xfId="0" applyFont="1" applyFill="1"/>
    <xf numFmtId="11" fontId="31" fillId="13" borderId="26" xfId="0" applyNumberFormat="1" applyFont="1" applyFill="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center"/>
    </xf>
    <xf numFmtId="0" fontId="1" fillId="0" borderId="6" xfId="0" applyFont="1" applyBorder="1" applyAlignment="1">
      <alignment horizontal="center"/>
    </xf>
    <xf numFmtId="0" fontId="1" fillId="0" borderId="31" xfId="0" applyFont="1" applyBorder="1" applyAlignment="1">
      <alignment horizontal="center"/>
    </xf>
    <xf numFmtId="0" fontId="1" fillId="0" borderId="54" xfId="0" applyFont="1" applyBorder="1" applyAlignment="1">
      <alignment horizontal="center"/>
    </xf>
    <xf numFmtId="0" fontId="0" fillId="0" borderId="6" xfId="0" applyBorder="1" applyAlignment="1">
      <alignment horizontal="center"/>
    </xf>
    <xf numFmtId="0" fontId="0" fillId="0" borderId="48" xfId="0" applyBorder="1" applyAlignment="1">
      <alignment horizontal="center"/>
    </xf>
    <xf numFmtId="0" fontId="1" fillId="0" borderId="3" xfId="0" applyFont="1" applyBorder="1" applyAlignment="1">
      <alignment horizontal="center" wrapText="1"/>
    </xf>
    <xf numFmtId="0" fontId="1" fillId="0" borderId="5" xfId="0" applyFont="1" applyBorder="1" applyAlignment="1">
      <alignment horizontal="center" wrapText="1"/>
    </xf>
    <xf numFmtId="0" fontId="1" fillId="0" borderId="31" xfId="0" applyFont="1" applyBorder="1" applyAlignment="1">
      <alignment horizontal="center" wrapText="1"/>
    </xf>
    <xf numFmtId="0" fontId="1" fillId="0" borderId="73" xfId="0" applyFont="1" applyBorder="1" applyAlignment="1">
      <alignment horizontal="center" wrapText="1"/>
    </xf>
    <xf numFmtId="0" fontId="35" fillId="0" borderId="0" xfId="0" applyFont="1" applyAlignment="1">
      <alignment horizontal="left" wrapText="1"/>
    </xf>
    <xf numFmtId="0" fontId="31" fillId="0" borderId="6" xfId="0" applyFont="1" applyBorder="1" applyAlignment="1">
      <alignment horizontal="center"/>
    </xf>
    <xf numFmtId="0" fontId="31" fillId="0" borderId="32" xfId="0" applyFont="1" applyBorder="1" applyAlignment="1">
      <alignment horizontal="center"/>
    </xf>
    <xf numFmtId="0" fontId="32" fillId="0" borderId="31" xfId="0" applyFont="1" applyBorder="1" applyAlignment="1">
      <alignment horizontal="center" wrapText="1"/>
    </xf>
    <xf numFmtId="0" fontId="32" fillId="0" borderId="0" xfId="0" applyFont="1" applyAlignment="1">
      <alignment horizontal="center" wrapText="1"/>
    </xf>
    <xf numFmtId="0" fontId="32" fillId="0" borderId="3" xfId="0" applyFont="1" applyBorder="1" applyAlignment="1">
      <alignment horizontal="center" wrapText="1"/>
    </xf>
    <xf numFmtId="0" fontId="32" fillId="0" borderId="5" xfId="0" applyFont="1" applyBorder="1" applyAlignment="1">
      <alignment horizontal="center" wrapText="1"/>
    </xf>
    <xf numFmtId="0" fontId="32" fillId="0" borderId="3" xfId="0" applyFont="1" applyBorder="1" applyAlignment="1">
      <alignment horizontal="left"/>
    </xf>
    <xf numFmtId="0" fontId="32" fillId="0" borderId="4" xfId="0" applyFont="1" applyBorder="1" applyAlignment="1">
      <alignment horizontal="left"/>
    </xf>
    <xf numFmtId="0" fontId="32" fillId="0" borderId="5" xfId="0" applyFont="1" applyBorder="1" applyAlignment="1">
      <alignment horizontal="left"/>
    </xf>
    <xf numFmtId="0" fontId="31" fillId="0" borderId="50" xfId="0" applyFont="1" applyBorder="1" applyAlignment="1">
      <alignment horizontal="left"/>
    </xf>
    <xf numFmtId="0" fontId="31" fillId="0" borderId="43" xfId="0" applyFont="1" applyBorder="1" applyAlignment="1">
      <alignment horizontal="left"/>
    </xf>
    <xf numFmtId="0" fontId="31" fillId="0" borderId="71" xfId="0" applyFont="1" applyBorder="1" applyAlignment="1">
      <alignment horizontal="left"/>
    </xf>
    <xf numFmtId="0" fontId="31" fillId="0" borderId="28" xfId="0" applyFont="1" applyBorder="1" applyAlignment="1">
      <alignment horizontal="left"/>
    </xf>
    <xf numFmtId="0" fontId="32" fillId="0" borderId="56" xfId="0" applyFont="1" applyBorder="1" applyAlignment="1">
      <alignment horizontal="center" vertical="center" wrapText="1"/>
    </xf>
    <xf numFmtId="0" fontId="32" fillId="0" borderId="10" xfId="0" applyFont="1" applyBorder="1" applyAlignment="1">
      <alignment horizontal="center" vertical="center" wrapText="1"/>
    </xf>
    <xf numFmtId="0" fontId="31" fillId="0" borderId="67" xfId="0" applyFont="1" applyBorder="1" applyAlignment="1">
      <alignment horizontal="left"/>
    </xf>
    <xf numFmtId="0" fontId="31" fillId="0" borderId="26" xfId="0" applyFont="1" applyBorder="1" applyAlignment="1">
      <alignment horizontal="left"/>
    </xf>
    <xf numFmtId="0" fontId="31" fillId="0" borderId="55" xfId="0" applyFont="1" applyBorder="1" applyAlignment="1">
      <alignment horizontal="center" vertical="center"/>
    </xf>
    <xf numFmtId="0" fontId="31" fillId="0" borderId="52" xfId="0" applyFont="1" applyBorder="1" applyAlignment="1">
      <alignment horizontal="center" vertical="center"/>
    </xf>
    <xf numFmtId="0" fontId="31" fillId="0" borderId="53" xfId="0" applyFont="1" applyBorder="1" applyAlignment="1">
      <alignment horizontal="center" vertical="center"/>
    </xf>
    <xf numFmtId="0" fontId="19" fillId="0" borderId="1" xfId="0" applyFont="1" applyBorder="1" applyAlignment="1">
      <alignment vertical="center"/>
    </xf>
    <xf numFmtId="0" fontId="20" fillId="0" borderId="1" xfId="0" applyFont="1" applyBorder="1"/>
    <xf numFmtId="0" fontId="20" fillId="0" borderId="1" xfId="0" applyFont="1" applyBorder="1" applyAlignment="1">
      <alignment vertical="center" wrapText="1"/>
    </xf>
    <xf numFmtId="0" fontId="20" fillId="0" borderId="1" xfId="0" applyFont="1" applyBorder="1" applyAlignment="1">
      <alignment wrapText="1"/>
    </xf>
    <xf numFmtId="0" fontId="18" fillId="2" borderId="1" xfId="1" applyFont="1" applyFill="1" applyBorder="1" applyAlignment="1">
      <alignment horizontal="center"/>
    </xf>
    <xf numFmtId="1" fontId="14" fillId="5" borderId="1" xfId="0" applyNumberFormat="1" applyFont="1" applyFill="1" applyBorder="1" applyAlignment="1">
      <alignment horizontal="center"/>
    </xf>
    <xf numFmtId="0" fontId="16" fillId="0" borderId="1" xfId="1" applyFont="1" applyBorder="1" applyAlignment="1">
      <alignment horizontal="center"/>
    </xf>
    <xf numFmtId="0" fontId="11" fillId="6" borderId="1" xfId="1" applyFont="1" applyFill="1" applyBorder="1" applyAlignment="1">
      <alignment horizontal="center"/>
    </xf>
    <xf numFmtId="0" fontId="17" fillId="2" borderId="1" xfId="1" applyFont="1" applyFill="1" applyBorder="1" applyAlignment="1">
      <alignment horizontal="center"/>
    </xf>
    <xf numFmtId="0" fontId="7" fillId="2" borderId="39" xfId="1" applyFont="1" applyFill="1" applyBorder="1" applyAlignment="1">
      <alignment horizontal="center"/>
    </xf>
    <xf numFmtId="0" fontId="6" fillId="2" borderId="0" xfId="1" applyFont="1" applyFill="1" applyAlignment="1">
      <alignment horizontal="center"/>
    </xf>
    <xf numFmtId="0" fontId="10" fillId="4" borderId="26" xfId="1" applyFont="1" applyFill="1" applyBorder="1" applyAlignment="1">
      <alignment horizontal="center"/>
    </xf>
    <xf numFmtId="0" fontId="10" fillId="4" borderId="43" xfId="1" applyFont="1" applyFill="1" applyBorder="1" applyAlignment="1">
      <alignment horizontal="center"/>
    </xf>
    <xf numFmtId="0" fontId="11" fillId="4" borderId="43" xfId="1" applyFont="1" applyFill="1" applyBorder="1" applyAlignment="1">
      <alignment horizontal="center"/>
    </xf>
    <xf numFmtId="0" fontId="11" fillId="4" borderId="30" xfId="1" applyFont="1" applyFill="1" applyBorder="1" applyAlignment="1">
      <alignment horizontal="center"/>
    </xf>
    <xf numFmtId="0" fontId="23" fillId="0" borderId="1" xfId="0" applyFont="1" applyBorder="1" applyAlignment="1">
      <alignment vertical="center"/>
    </xf>
    <xf numFmtId="0" fontId="22" fillId="0" borderId="1" xfId="0" applyFont="1" applyBorder="1"/>
    <xf numFmtId="0" fontId="22" fillId="0" borderId="1" xfId="0" applyFont="1" applyBorder="1" applyAlignment="1">
      <alignment vertical="center" wrapText="1"/>
    </xf>
    <xf numFmtId="0" fontId="22" fillId="0" borderId="1" xfId="0" applyFont="1" applyBorder="1" applyAlignment="1">
      <alignment wrapText="1"/>
    </xf>
    <xf numFmtId="1" fontId="21" fillId="5" borderId="1" xfId="0" applyNumberFormat="1" applyFont="1" applyFill="1" applyBorder="1" applyAlignment="1">
      <alignment horizontal="center"/>
    </xf>
    <xf numFmtId="0" fontId="27" fillId="3" borderId="44" xfId="0" applyFont="1" applyFill="1" applyBorder="1" applyAlignment="1">
      <alignment horizontal="center"/>
    </xf>
    <xf numFmtId="0" fontId="26" fillId="0" borderId="45" xfId="0" applyFont="1" applyBorder="1" applyAlignment="1">
      <alignment horizontal="center"/>
    </xf>
    <xf numFmtId="0" fontId="27" fillId="3" borderId="45" xfId="0" applyFont="1" applyFill="1" applyBorder="1" applyAlignment="1">
      <alignment horizontal="center"/>
    </xf>
  </cellXfs>
  <cellStyles count="3">
    <cellStyle name="Normal" xfId="0" builtinId="0"/>
    <cellStyle name="Normal 2" xfId="1" xr:uid="{C5925691-5B1A-417E-8B92-739D1B988F1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eetMetadata" Target="metadata.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62346</xdr:colOff>
      <xdr:row>19</xdr:row>
      <xdr:rowOff>27709</xdr:rowOff>
    </xdr:from>
    <xdr:to>
      <xdr:col>2</xdr:col>
      <xdr:colOff>73787</xdr:colOff>
      <xdr:row>23</xdr:row>
      <xdr:rowOff>63500</xdr:rowOff>
    </xdr:to>
    <xdr:pic>
      <xdr:nvPicPr>
        <xdr:cNvPr id="2" name="Picture 1">
          <a:extLst>
            <a:ext uri="{FF2B5EF4-FFF2-40B4-BE49-F238E27FC236}">
              <a16:creationId xmlns:a16="http://schemas.microsoft.com/office/drawing/2014/main" id="{2D52850E-FC33-4382-84A8-3A61376CE2E7}"/>
            </a:ext>
          </a:extLst>
        </xdr:cNvPr>
        <xdr:cNvPicPr>
          <a:picLocks noChangeAspect="1"/>
        </xdr:cNvPicPr>
      </xdr:nvPicPr>
      <xdr:blipFill>
        <a:blip xmlns:r="http://schemas.openxmlformats.org/officeDocument/2006/relationships" r:embed="rId1"/>
        <a:stretch>
          <a:fillRect/>
        </a:stretch>
      </xdr:blipFill>
      <xdr:spPr>
        <a:xfrm>
          <a:off x="62346" y="27709"/>
          <a:ext cx="335291" cy="8676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62346</xdr:colOff>
      <xdr:row>19</xdr:row>
      <xdr:rowOff>27709</xdr:rowOff>
    </xdr:from>
    <xdr:to>
      <xdr:col>1</xdr:col>
      <xdr:colOff>409883</xdr:colOff>
      <xdr:row>23</xdr:row>
      <xdr:rowOff>93890</xdr:rowOff>
    </xdr:to>
    <xdr:pic>
      <xdr:nvPicPr>
        <xdr:cNvPr id="2" name="Picture 1">
          <a:extLst>
            <a:ext uri="{FF2B5EF4-FFF2-40B4-BE49-F238E27FC236}">
              <a16:creationId xmlns:a16="http://schemas.microsoft.com/office/drawing/2014/main" id="{E3F95197-E123-4310-A215-87BF03B79784}"/>
            </a:ext>
          </a:extLst>
        </xdr:cNvPr>
        <xdr:cNvPicPr>
          <a:picLocks noChangeAspect="1"/>
        </xdr:cNvPicPr>
      </xdr:nvPicPr>
      <xdr:blipFill>
        <a:blip xmlns:r="http://schemas.openxmlformats.org/officeDocument/2006/relationships" r:embed="rId1"/>
        <a:stretch>
          <a:fillRect/>
        </a:stretch>
      </xdr:blipFill>
      <xdr:spPr>
        <a:xfrm>
          <a:off x="62346" y="27709"/>
          <a:ext cx="347537" cy="89803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BA783327-1007-4CAF-8802-116B92BB16AA}"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R5" dT="2023-10-04T20:14:12.20" personId="{BA783327-1007-4CAF-8802-116B92BB16AA}" id="{FB8DF1EF-FB40-4867-91ED-3BBB2CA781C5}">
    <text>Updated Fluoride emissions to use the PM emission factor and Fume Correction Factor, similar to other constituents.</text>
  </threadedComment>
  <threadedComment ref="S5" dT="2023-09-13T22:59:45.08" personId="{BA783327-1007-4CAF-8802-116B92BB16AA}" id="{7ADC25A5-26AD-49A6-986E-952291375A2D}">
    <text>All molybdenum (Mo) is assumed emitted as molybdenum trioxide - elemental Mo is converted into MoO3 using the ratio of molecular weights.</text>
  </threadedComment>
  <threadedComment ref="H8" dT="2023-09-13T23:21:48.50" personId="{BA783327-1007-4CAF-8802-116B92BB16AA}" id="{B7DD1ADC-4E51-4DE0-9599-644B82893467}">
    <text>Rod contains Cr per SDS - updated from "--".</text>
  </threadedComment>
  <threadedComment ref="I8" dT="2023-09-13T23:22:38.59" personId="{BA783327-1007-4CAF-8802-116B92BB16AA}" id="{12C7B4BF-3668-46A6-9373-21D5691BCB2F}">
    <text>Per SDAPCD guidance, applied Total Chromium to Chromium VI conversion rate of 5% for GMAW.</text>
  </threadedComment>
  <threadedComment ref="J8" dT="2023-09-13T23:23:22.52" personId="{BA783327-1007-4CAF-8802-116B92BB16AA}" id="{B6766F50-0239-4202-9161-AD5A3E961EB8}">
    <text>Updated to use SDS information rather than SDAPCD default constituent percentages.</text>
  </threadedComment>
  <threadedComment ref="K8" dT="2023-09-13T23:23:22.52" personId="{BA783327-1007-4CAF-8802-116B92BB16AA}" id="{2D3CF8E6-4093-411C-953A-E7360721BAC1}">
    <text>Updated to use SDS information rather than SDAPCD default constituent percentages.</text>
  </threadedComment>
  <threadedComment ref="L8" dT="2023-09-13T23:23:22.52" personId="{BA783327-1007-4CAF-8802-116B92BB16AA}" id="{1EE88F61-D796-42B7-8477-CFBDC46D2D3A}">
    <text>Updated formula for consistency</text>
  </threadedComment>
  <threadedComment ref="M8" dT="2023-09-13T23:23:22.52" personId="{BA783327-1007-4CAF-8802-116B92BB16AA}" id="{418849DF-71BE-47A5-A43D-60C943496B71}">
    <text>Updated formula for consistency</text>
  </threadedComment>
  <threadedComment ref="H9" dT="2023-09-13T23:33:12.18" personId="{BA783327-1007-4CAF-8802-116B92BB16AA}" id="{332BDD99-2CBD-4491-8B04-DCC86087924F}">
    <text>Updated to use SDS information rather than SDAPCD default constituent percentages.</text>
  </threadedComment>
  <threadedComment ref="I9" dT="2023-09-13T23:22:38.59" personId="{BA783327-1007-4CAF-8802-116B92BB16AA}" id="{551A2D32-4C82-4D98-BFC6-96A902C8B1D4}">
    <text>Per SDAPCD guidance, applied Total Chromium to Chromium VI conversion rate of 5% for GMAW.</text>
  </threadedComment>
  <threadedComment ref="J9" dT="2023-09-13T23:33:12.18" personId="{BA783327-1007-4CAF-8802-116B92BB16AA}" id="{68EEF3B3-79A1-49A1-BFDB-08F86336D1E7}">
    <text>Updated to use SDS information rather than SDAPCD default constituent percentages.</text>
  </threadedComment>
  <threadedComment ref="K9" dT="2023-09-13T23:33:12.18" personId="{BA783327-1007-4CAF-8802-116B92BB16AA}" id="{D098B5FD-C287-4D10-8A25-D5B46735C95A}">
    <text>Updated to use SDS information rather than SDAPCD default constituent percentages.</text>
  </threadedComment>
  <threadedComment ref="L9" dT="2023-09-13T23:33:12.18" personId="{BA783327-1007-4CAF-8802-116B92BB16AA}" id="{2B5AB026-4102-4D0C-94C8-7CB3CE7AB8B2}">
    <text>Updated to use SDS information rather than SDAPCD default constituent percentages.</text>
  </threadedComment>
  <threadedComment ref="M9" dT="2023-09-13T23:33:12.18" personId="{BA783327-1007-4CAF-8802-116B92BB16AA}" id="{65D7D06A-DE90-4326-936B-7084F1C2BCC4}">
    <text>Updated to use SDS information rather than SDAPCD default constituent percentages.</text>
  </threadedComment>
  <threadedComment ref="D10" dT="2023-10-26T18:58:59.58" personId="{BA783327-1007-4CAF-8802-116B92BB16AA}" id="{D8E19E3D-3C84-4413-B235-4768E18E3278}">
    <text>No Aluminum in Washington Alloy SDS.</text>
  </threadedComment>
  <threadedComment ref="J10" dT="2023-10-26T19:21:59.29" personId="{BA783327-1007-4CAF-8802-116B92BB16AA}" id="{DD2EF669-AB40-4778-AEAD-95F7831E23A2}">
    <text>Updated formula for consistency</text>
  </threadedComment>
  <threadedComment ref="K10" dT="2023-10-26T19:22:02.23" personId="{BA783327-1007-4CAF-8802-116B92BB16AA}" id="{FE5109FB-0E89-4666-811A-E151B7D99842}">
    <text>Updated formula for consistency</text>
  </threadedComment>
  <threadedComment ref="L10" dT="2023-10-26T19:22:04.83" personId="{BA783327-1007-4CAF-8802-116B92BB16AA}" id="{9C6BA3FE-E115-43ED-9EE1-27B6733ED176}">
    <text>Updated formula for consistency</text>
  </threadedComment>
  <threadedComment ref="M10" dT="2023-10-26T19:22:07.64" personId="{BA783327-1007-4CAF-8802-116B92BB16AA}" id="{9AD38F25-E1EB-4D25-8D0D-0C33FD50CC79}">
    <text>Updated formula for consistency</text>
  </threadedComment>
  <threadedComment ref="O10" dT="2023-10-09T19:28:05.47" personId="{BA783327-1007-4CAF-8802-116B92BB16AA}" id="{216D39BD-8F45-4D9B-B3B8-B305C4CEF614}">
    <text>Updated to pull SDS and PM data representing the 309L product recommended for GMAW (Washington Alloy)</text>
  </threadedComment>
  <threadedComment ref="D11" dT="2023-10-26T18:59:03.46" personId="{BA783327-1007-4CAF-8802-116B92BB16AA}" id="{A6F753AD-BBD9-4D0E-8A9E-6FABF7921F02}">
    <text>No Aluminum in Washington Alloy SDS.</text>
  </threadedComment>
  <threadedComment ref="J11" dT="2023-09-13T23:33:12.18" personId="{BA783327-1007-4CAF-8802-116B92BB16AA}" id="{8945F646-6C54-43BD-B0AA-A4FFF5C0043D}">
    <text>Updated to include copper from the Washington Alloy 316L 3/32 SDS, "WAS-316L-332-16--WASH-ALLOY STAINLESS-STEEL 316-309.pdf"</text>
  </threadedComment>
  <threadedComment ref="M11" dT="2023-09-13T23:33:12.18" personId="{BA783327-1007-4CAF-8802-116B92BB16AA}" id="{7BE0B413-F48B-4082-823F-45ECC188089E}">
    <text>Updated to include phosphorus from the Washington Alloy 316L 3/32 SDS, "WAS-316L-332-16--WASH-ALLOY STAINLESS-STEEL 316-309.pdf"</text>
  </threadedComment>
  <threadedComment ref="I12" dT="2023-10-26T19:24:09.85" personId="{BA783327-1007-4CAF-8802-116B92BB16AA}" id="{8F0AD9F1-C4EB-4449-B76C-7BA9F73828B1}">
    <text>Updated formula for consistency</text>
  </threadedComment>
  <threadedComment ref="J12" dT="2023-10-26T19:24:12.67" personId="{BA783327-1007-4CAF-8802-116B92BB16AA}" id="{17873EAB-577D-4788-A04D-526651A16061}">
    <text>Updated formula for consistency</text>
  </threadedComment>
  <threadedComment ref="K12" dT="2023-10-26T19:24:15.44" personId="{BA783327-1007-4CAF-8802-116B92BB16AA}" id="{19C3296D-3B62-4C52-B8B1-1F34F136B7DD}">
    <text>Updated formula for consistency</text>
  </threadedComment>
  <threadedComment ref="L12" dT="2023-10-26T19:24:17.89" personId="{BA783327-1007-4CAF-8802-116B92BB16AA}" id="{22E5595B-DFB5-472A-BB8B-88FF0C0932AA}">
    <text>Updated formula for consistency</text>
  </threadedComment>
  <threadedComment ref="M12" dT="2023-09-12T23:39:33.10" personId="{BA783327-1007-4CAF-8802-116B92BB16AA}" id="{0EF0C51D-86E0-462C-A56B-3D845E2049DB}">
    <text>No P in rod per SDS.</text>
  </threadedComment>
  <threadedComment ref="C13" dT="2023-09-13T23:49:24.34" personId="{BA783327-1007-4CAF-8802-116B92BB16AA}" id="{26A9C3FA-F5E4-4E10-9A61-1FD2109FF793}">
    <text>Updated to use SMAW fume correction factor: This is a covered electrode and recommended for "SMAW" welding per the MG 289 SDS provided on 8/31/2023.</text>
  </threadedComment>
  <threadedComment ref="L13" dT="2023-09-13T23:50:34.71" personId="{BA783327-1007-4CAF-8802-116B92BB16AA}" id="{901BD0D9-19DB-4C91-97B1-3C0A23F1F402}">
    <text>Updated to use SMAW fume correction factor: This is a covered electrode and recommended for "SMAW" welding per the MG 289 SDS provided on 8/31/2023.</text>
  </threadedComment>
  <threadedComment ref="R13" dT="2023-09-13T23:50:34.71" personId="{BA783327-1007-4CAF-8802-116B92BB16AA}" id="{0DFC72DB-8006-40AB-AF00-B41ED042597D}">
    <text>Updated to use SMAW fume correction factor: This is a covered electrode and recommended for "SMAW" welding per the MG 289 SDS provided on 8/31/2023.</text>
  </threadedComment>
  <threadedComment ref="H15" dT="2023-09-13T23:33:12.18" personId="{BA783327-1007-4CAF-8802-116B92BB16AA}" id="{7E75B3FD-6229-4E86-92ED-ED3560A8C0E9}">
    <text>Updated to use SDS information rather than SDAPCD default constituent percentages.</text>
  </threadedComment>
  <threadedComment ref="I15" dT="2023-09-13T23:22:38.59" personId="{BA783327-1007-4CAF-8802-116B92BB16AA}" id="{E00628C9-05BD-489A-8C27-B9C59F28DF3B}">
    <text>Per SDAPCD guidance, applied Total Chromium to Chromium VI conversion rate of 55% for SMAW.</text>
  </threadedComment>
  <threadedComment ref="J15" dT="2023-09-13T23:33:12.18" personId="{BA783327-1007-4CAF-8802-116B92BB16AA}" id="{5752DC07-C6BE-400A-9BA2-824C46F40BA0}">
    <text>Updated to use SDS information rather than SDAPCD default constituent percentages; no Copper reported in SDS.</text>
  </threadedComment>
  <threadedComment ref="K15" dT="2023-09-13T23:33:12.18" personId="{BA783327-1007-4CAF-8802-116B92BB16AA}" id="{88E76F50-0C87-4613-80EB-6968DA6AC767}">
    <text>Updated to use SDS information rather than SDAPCD default constituent percentages.</text>
  </threadedComment>
  <threadedComment ref="L15" dT="2023-09-13T23:33:12.18" personId="{BA783327-1007-4CAF-8802-116B92BB16AA}" id="{61593972-5B38-47DA-B13C-A8A749EB6870}">
    <text>Updated to use SDS information rather than SDAPCD default constituent percentages.</text>
  </threadedComment>
  <threadedComment ref="M15" dT="2023-09-13T23:33:12.18" personId="{BA783327-1007-4CAF-8802-116B92BB16AA}" id="{7441410F-85E6-4B12-85E8-490408D2F0EC}">
    <text>Updated to use SDS information rather than SDAPCD default constituent percentages; no phosphorus reported in the SDS.</text>
  </threadedComment>
  <threadedComment ref="I16" dT="2023-09-13T23:22:38.59" personId="{BA783327-1007-4CAF-8802-116B92BB16AA}" id="{80E729D3-E40C-47FA-B5AD-EA9F0D741B71}">
    <text>Per SDAPCD guidance, applied Total Chromium to Chromium VI conversion rate of 55% for SMAW.</text>
  </threadedComment>
  <threadedComment ref="M17" dT="2023-09-13T05:22:04.02" personId="{BA783327-1007-4CAF-8802-116B92BB16AA}" id="{AEB64356-C06A-426D-B0F3-207C35F9DEA0}">
    <text>No phosphorus in this SDS (bluemax)</text>
  </threadedComment>
  <threadedComment ref="D18" dT="2023-09-14T00:02:50.62" personId="{BA783327-1007-4CAF-8802-116B92BB16AA}" id="{47373532-DC44-40D1-AFB9-90F0D0ECCEA8}">
    <text>Updated to pull from "AP-42" Fume emission column below instead of "ARB" column.</text>
  </threadedComment>
  <threadedComment ref="C21" dT="2023-10-26T19:28:38.73" personId="{BA783327-1007-4CAF-8802-116B92BB16AA}" id="{03559992-FBA0-4E41-B904-6FDAE4779190}">
    <text>Updated to use SDS information rather than SDAPCD default constituent percentages.</text>
  </threadedComment>
  <threadedComment ref="H21" dT="2023-09-13T23:33:12.18" personId="{BA783327-1007-4CAF-8802-116B92BB16AA}" id="{94E034A4-787E-4270-B9DD-BE5773DBF0B1}">
    <text>Updated to use SDS information rather than SDAPCD default constituent percentages.</text>
  </threadedComment>
  <threadedComment ref="I21" dT="2023-09-13T23:22:38.59" personId="{BA783327-1007-4CAF-8802-116B92BB16AA}" id="{724E5625-2C18-4A13-995F-CFB2E61C94DD}">
    <text>Per SDAPCD guidance, applied Total Chromium to Chromium VI conversion rate of 55% for SMAW.</text>
  </threadedComment>
  <threadedComment ref="K21" dT="2023-09-13T23:33:12.18" personId="{BA783327-1007-4CAF-8802-116B92BB16AA}" id="{A6E74F50-1054-4C58-B654-F3A385A7FA6C}">
    <text>Updated to use SDS information rather than SDAPCD default constituent percentages.</text>
  </threadedComment>
  <threadedComment ref="L21" dT="2023-09-13T23:33:12.18" personId="{BA783327-1007-4CAF-8802-116B92BB16AA}" id="{801B904D-64B9-4E2D-A989-15A2EB0B117E}">
    <text>Updated to use SDS information rather than SDAPCD default constituent percentages.</text>
  </threadedComment>
  <threadedComment ref="R21" dT="2023-09-13T23:33:12.18" personId="{BA783327-1007-4CAF-8802-116B92BB16AA}" id="{14E4937C-5565-425A-B46B-227A2F6BF8C7}">
    <text>Updated to use SDS information rather than SDAPCD default constituent percentages.</text>
  </threadedComment>
  <threadedComment ref="E28" dT="2023-10-05T00:04:09.53" personId="{BA783327-1007-4CAF-8802-116B92BB16AA}" id="{8157EB9E-F912-4081-B1AA-D20F03A5FE09}">
    <text>Updated from 35% (99% for HEPA filters)</text>
  </threadedComment>
  <threadedComment ref="D56" dT="2023-10-26T19:29:40.01" personId="{BA783327-1007-4CAF-8802-116B92BB16AA}" id="{21BAFF68-16CA-4A8A-92FA-FA15F2741C78}">
    <text>Updated to SMAW, based on SDS information.</text>
  </threadedComment>
</ThreadedComments>
</file>

<file path=xl/threadedComments/threadedComment10.xml><?xml version="1.0" encoding="utf-8"?>
<ThreadedComments xmlns="http://schemas.microsoft.com/office/spreadsheetml/2018/threadedcomments" xmlns:x="http://schemas.openxmlformats.org/spreadsheetml/2006/main">
  <threadedComment ref="A1" dT="2023-10-04T22:25:07.88" personId="{BA783327-1007-4CAF-8802-116B92BB16AA}" id="{45534E36-1308-44A8-8E4E-A1865F466A44}">
    <text>Note: updated RBCs for TACs with emissions on all REER tabs to use rounded values from OAR 340-245-8010 Table 2.</text>
  </threadedComment>
  <threadedComment ref="T3" dT="2023-10-13T00:27:32.69" personId="{BA783327-1007-4CAF-8802-116B92BB16AA}" id="{B285C9C5-3AC0-45EA-815D-EC627A9B8EDB}">
    <text>Added MoO3</text>
  </threadedComment>
  <threadedComment ref="T13" dT="2023-10-13T00:27:32.69" personId="{BA783327-1007-4CAF-8802-116B92BB16AA}" id="{9AB556C1-E8A4-47D0-BBF6-B0661F96E397}">
    <text>Added MoO3</text>
  </threadedComment>
</ThreadedComments>
</file>

<file path=xl/threadedComments/threadedComment11.xml><?xml version="1.0" encoding="utf-8"?>
<ThreadedComments xmlns="http://schemas.microsoft.com/office/spreadsheetml/2018/threadedcomments" xmlns:x="http://schemas.openxmlformats.org/spreadsheetml/2006/main">
  <threadedComment ref="T3" dT="2023-10-13T00:27:32.69" personId="{BA783327-1007-4CAF-8802-116B92BB16AA}" id="{604D4A7E-0E03-41F9-B7A1-B3E2E466B733}">
    <text>Added MoO3</text>
  </threadedComment>
  <threadedComment ref="T13" dT="2023-10-13T00:27:32.69" personId="{BA783327-1007-4CAF-8802-116B92BB16AA}" id="{F903BA3F-16C9-4709-BDF3-9192E9ED2244}">
    <text>Added MoO3</text>
  </threadedComment>
</ThreadedComments>
</file>

<file path=xl/threadedComments/threadedComment12.xml><?xml version="1.0" encoding="utf-8"?>
<ThreadedComments xmlns="http://schemas.microsoft.com/office/spreadsheetml/2018/threadedcomments" xmlns:x="http://schemas.openxmlformats.org/spreadsheetml/2006/main">
  <threadedComment ref="T3" dT="2023-10-13T00:27:32.69" personId="{BA783327-1007-4CAF-8802-116B92BB16AA}" id="{36DD2177-A44A-4833-BFC5-E2C1262F7662}">
    <text>Added MoO3</text>
  </threadedComment>
  <threadedComment ref="T12" dT="2023-10-13T00:27:32.69" personId="{BA783327-1007-4CAF-8802-116B92BB16AA}" id="{B8958C5D-3211-4CC6-A906-1600789D82D4}">
    <text>Added MoO3</text>
  </threadedComment>
</ThreadedComments>
</file>

<file path=xl/threadedComments/threadedComment13.xml><?xml version="1.0" encoding="utf-8"?>
<ThreadedComments xmlns="http://schemas.microsoft.com/office/spreadsheetml/2018/threadedcomments" xmlns:x="http://schemas.openxmlformats.org/spreadsheetml/2006/main">
  <threadedComment ref="T3" dT="2023-10-13T00:27:32.69" personId="{BA783327-1007-4CAF-8802-116B92BB16AA}" id="{F8DEAE1F-F00E-4263-B089-7A91FD1CA850}">
    <text>Added MoO3</text>
  </threadedComment>
</ThreadedComments>
</file>

<file path=xl/threadedComments/threadedComment14.xml><?xml version="1.0" encoding="utf-8"?>
<ThreadedComments xmlns="http://schemas.microsoft.com/office/spreadsheetml/2018/threadedcomments" xmlns:x="http://schemas.openxmlformats.org/spreadsheetml/2006/main">
  <threadedComment ref="I3" dT="2023-10-25T18:56:20.46" personId="{BA783327-1007-4CAF-8802-116B92BB16AA}" id="{F7444A60-54BF-4167-927F-B24BB0F56CA5}">
    <text>Adjusted to measure distances from source edge to exposure location edge. Outside distances assume welding does not take place outside of paved areas.</text>
  </threadedComment>
  <threadedComment ref="J3" dT="2023-10-04T23:33:30.76" personId="{BA783327-1007-4CAF-8802-116B92BB16AA}" id="{58BF087D-1655-4CBE-9733-DA6305FAA221}">
    <text>Adjusted to measure distances from source edge to  exposure location edge. Outside distances assume welding does not take place outside of paved areas.</text>
  </threadedComment>
  <threadedComment ref="K3" dT="2023-10-04T23:37:41.14" personId="{BA783327-1007-4CAF-8802-116B92BB16AA}" id="{5ECAD60A-9258-4CB8-8BEE-C78C5BC8949F}">
    <text>Adjusted to measure distances from source edge to  exposure location edge. Outside distances assume welding does not take place outside of paved areas.</text>
  </threadedComment>
</ThreadedComments>
</file>

<file path=xl/threadedComments/threadedComment2.xml><?xml version="1.0" encoding="utf-8"?>
<ThreadedComments xmlns="http://schemas.microsoft.com/office/spreadsheetml/2018/threadedcomments" xmlns:x="http://schemas.openxmlformats.org/spreadsheetml/2006/main">
  <threadedComment ref="C2" dT="2023-10-09T17:27:26.20" personId="{BA783327-1007-4CAF-8802-116B92BB16AA}" id="{5DEE917D-5624-44AC-B435-AFD3C389D552}">
    <text>Percentages have been updated to use the average rather than the maximum percent composition from the SDS where appropriate - where this was the only change, it is indicated in orange highlighting.</text>
  </threadedComment>
  <threadedComment ref="E5" dT="2023-10-04T19:13:00.38" personId="{BA783327-1007-4CAF-8802-116B92BB16AA}" id="{562C79D3-A0EF-420D-99FD-ED2A58BF15B2}">
    <text>Weight percentages have been updated to include only aluminum portion, to be reported as "Aluminum and Compounds"</text>
  </threadedComment>
  <threadedComment ref="P5" dT="2023-10-09T18:43:14.63" personId="{BA783327-1007-4CAF-8802-116B92BB16AA}" id="{17C50901-ACDE-488F-A78A-C2DF4B0206C0}">
    <text>Where the SDS lists elemental silicon (Si) or sodium silicate (Na2SiO3), the percent has been converted to weight percent in SiO2 using ratio of molecular weights (60.08 for SiO2, 28.09 for Si, and 122.06 for Na2SiO3)</text>
  </threadedComment>
  <threadedComment ref="T5" dT="2023-10-09T23:27:09.53" personId="{BA783327-1007-4CAF-8802-116B92BB16AA}" id="{C184773C-6903-4AAF-B4D4-B6D5619105CF}">
    <text>Molybdenum has been added when present in the SDS.</text>
  </threadedComment>
  <threadedComment ref="C7" dT="2023-10-09T18:10:47.19" personId="{BA783327-1007-4CAF-8802-116B92BB16AA}" id="{CFDCAB3F-94BB-435E-AA48-E840447C60F2}">
    <text>For this wire, the maximum percentages have been used as the SDS did not generally provide composition ranges.</text>
  </threadedComment>
  <threadedComment ref="C9" dT="2023-10-09T19:01:22.24" personId="{BA783327-1007-4CAF-8802-116B92BB16AA}" id="{9D723733-8510-47FE-8191-D57941193391}">
    <text>Based on the SDSs provided, this row has been updated to reflect the Washington Alloy ER316L product, which is a bare electrode recommended for arc and gas welding (GMAW)</text>
  </threadedComment>
  <threadedComment ref="E9" dT="2023-10-16T23:34:45.24" personId="{BA783327-1007-4CAF-8802-116B92BB16AA}" id="{9DE0C32C-22F7-4D5A-999E-2CFFA709A3F6}">
    <text>Updated to reflect Washington alloy 316 SDS - no aluminum oxide in this product per SDS.</text>
  </threadedComment>
  <threadedComment ref="C10" dT="2023-10-09T18:52:03.26" personId="{BA783327-1007-4CAF-8802-116B92BB16AA}" id="{09AF3CEE-C428-4D7C-8285-AA5E87B3F8E5}">
    <text>This row was not reviewed; could not be matched to an SDS.</text>
  </threadedComment>
  <threadedComment ref="C11" dT="2023-10-09T19:25:01.06" personId="{BA783327-1007-4CAF-8802-116B92BB16AA}" id="{A8255C88-7095-47BE-B8C5-A092DCA8E481}">
    <text>This row was not reviewed; could not be matched to an SDS.</text>
  </threadedComment>
  <threadedComment ref="E12" dT="2023-10-06T19:31:21.55" personId="{BA783327-1007-4CAF-8802-116B92BB16AA}" id="{99E4F02E-BE67-4969-BB43-D95BDDA67A3E}">
    <text>No Aluminum in SDS for Washington Alloy Company 309L (recommended for GMAW)</text>
  </threadedComment>
  <threadedComment ref="K14" dT="2023-09-13T23:28:14.39" personId="{BA783327-1007-4CAF-8802-116B92BB16AA}" id="{3BC70C68-649C-4183-B952-2676B6520852}">
    <text>Updated for consistency with SDS for "JW Harris" materials provided on 8/31/2023</text>
  </threadedComment>
  <threadedComment ref="M14" dT="2023-09-13T23:28:14.39" personId="{BA783327-1007-4CAF-8802-116B92BB16AA}" id="{4C39D9F4-79D5-4D74-9623-1CC5957107E3}">
    <text>Updated for consistency with SDS for "JW Harris" materials provided on 8/31/2023</text>
  </threadedComment>
  <threadedComment ref="N14" dT="2023-09-13T23:28:14.39" personId="{BA783327-1007-4CAF-8802-116B92BB16AA}" id="{6CE35CCC-B081-452D-86AD-E6B16FF7CE5E}">
    <text>Updated for consistency with SDS for "JW Harris" materials provided on 8/31/2023</text>
  </threadedComment>
  <threadedComment ref="Q14" dT="2023-10-09T19:50:26.20" personId="{BA783327-1007-4CAF-8802-116B92BB16AA}" id="{98F94804-6165-4A28-9FB3-92FC2A897398}">
    <text>Updated for consistency with SDS - no vanadium listed.</text>
  </threadedComment>
  <threadedComment ref="C15" dT="2023-10-09T19:53:24.40" personId="{BA783327-1007-4CAF-8802-116B92BB16AA}" id="{86DE7199-5355-4C6B-A724-797599CF17C6}">
    <text>Appears to be a duplicate of the "Tig 70" row above.</text>
  </threadedComment>
  <threadedComment ref="K16" dT="2023-09-13T23:28:14.39" personId="{BA783327-1007-4CAF-8802-116B92BB16AA}" id="{93B661A0-C5C9-4816-9B28-CF19E867B31F}">
    <text>Updated for consistency with SDS for "JW Harris" materials provided on 8/31/2023</text>
  </threadedComment>
  <threadedComment ref="M16" dT="2023-09-13T23:28:14.39" personId="{BA783327-1007-4CAF-8802-116B92BB16AA}" id="{8BCB8DEC-225C-462C-B610-27D2A3A27EA1}">
    <text>Updated for consistency with SDS for "JW Harris" materials provided on 8/31/2023</text>
  </threadedComment>
  <threadedComment ref="N16" dT="2023-09-13T23:28:14.39" personId="{BA783327-1007-4CAF-8802-116B92BB16AA}" id="{4F4E5003-7EDE-4E2F-BA4E-B46C4886E717}">
    <text>Updated for consistency with SDS for "JW Harris" materials provided on 8/31/2023</text>
  </threadedComment>
  <threadedComment ref="D22" dT="2023-10-04T19:17:18.50" personId="{BA783327-1007-4CAF-8802-116B92BB16AA}" id="{BF223EB0-70D2-4EF4-A460-7C5AB0E68B85}">
    <text>Added percent Al (converted from lithium aluminum silicate in SDS)</text>
  </threadedComment>
  <threadedComment ref="S22" dT="2023-09-13T23:52:32.63" personId="{BA783327-1007-4CAF-8802-116B92BB16AA}" id="{54B622CA-8E69-43AB-8747-8243C1FA7989}">
    <text>Includes fluoride portion of Calcium Fluoride (CaF2).</text>
  </threadedComment>
  <threadedComment ref="S24" dT="2023-09-13T23:52:32.63" personId="{BA783327-1007-4CAF-8802-116B92BB16AA}" id="{DC1D14FC-C98A-40E9-BAE2-801D1E32624A}">
    <text>Added Fluorides for consistency with the MG 289 SDS provided on 8/31/2023, which includes 5% Calcium Fluoride. Only the fluoride portion of the compound is counted, using a ratio of the molecular weights of F and CaF2.</text>
  </threadedComment>
  <threadedComment ref="S27" dT="2023-10-09T20:56:53.99" personId="{BA783327-1007-4CAF-8802-116B92BB16AA}" id="{4C2995BB-7C15-49AA-85BC-8393175D2B2D}">
    <text xml:space="preserve">Added Fluorides for consistency with the SDS provided 1-3% Fluorides. </text>
  </threadedComment>
  <threadedComment ref="C28" dT="2023-10-09T19:02:22.56" personId="{BA783327-1007-4CAF-8802-116B92BB16AA}" id="{76518104-9F24-475E-8F39-E3E7F1670BAB}">
    <text>Based on the SDSs provided, this row has been updated to reflect the Lincoln Red Baron ER316L MR product, which is a covered electrode more likely used in SMAW.</text>
  </threadedComment>
  <threadedComment ref="I28" dT="2023-10-09T18:37:40.58" personId="{BA783327-1007-4CAF-8802-116B92BB16AA}" id="{D206B7CD-C18A-4810-B9D7-3FB3F8E32DE8}">
    <text>Added the percent composition for the stainless steel core wire, as listed on the SDS. Because default AWMA EFs are used for calculations, there was no change to emission factor.</text>
  </threadedComment>
  <threadedComment ref="L28" dT="2023-10-09T18:38:12.92" personId="{BA783327-1007-4CAF-8802-116B92BB16AA}" id="{6C65871F-319F-499D-8AE0-B2CDC84D9B66}">
    <text>Added the percent composition for the stainless steel core wire, as listed on the SDS. Because default AWMA EFs are used for calculations, there was no change to emission factor.</text>
  </threadedComment>
  <threadedComment ref="M28" dT="2023-10-09T18:38:33.13" personId="{BA783327-1007-4CAF-8802-116B92BB16AA}" id="{A5510399-7ED4-4C54-9EA9-ADA48614FC0D}">
    <text>Added the percent composition for the stainless steel core wire, as listed on the SDS. Because default AWMA EFs are used for calculations, there was no change to emission factor.</text>
  </threadedComment>
  <threadedComment ref="P29" dT="2023-09-13T23:28:14.39" personId="{BA783327-1007-4CAF-8802-116B92BB16AA}" id="{45B0CAA5-CFA5-4565-834F-50DC71CE7496}">
    <text>Updated for consistency with the Blue Max® 309/309L AC-DC SDS (LIN-ED025098 LINCOLN 316 SS 1_8 10# CAN.pdf) which lists 1-5% quartz.</text>
  </threadedComment>
  <threadedComment ref="C31" dT="2023-10-09T23:23:02.25" personId="{BA783327-1007-4CAF-8802-116B92BB16AA}" id="{644102AB-11D4-439A-878F-F30748D6F1BC}">
    <text>For this wire, the maximum percentages have been used as the SDS did not generally provide composition ranges.</text>
  </threadedComment>
  <threadedComment ref="S32" dT="2023-10-09T21:04:24.87" personId="{BA783327-1007-4CAF-8802-116B92BB16AA}" id="{E6930E5A-46CA-45BB-957B-904A630FB5FA}">
    <text>Includes fluoride portion of Calcium Fluoride (CaF2) and cryolite (Na3AlF6).</text>
  </threadedComment>
</ThreadedComments>
</file>

<file path=xl/threadedComments/threadedComment3.xml><?xml version="1.0" encoding="utf-8"?>
<ThreadedComments xmlns="http://schemas.microsoft.com/office/spreadsheetml/2018/threadedcomments" xmlns:x="http://schemas.openxmlformats.org/spreadsheetml/2006/main">
  <threadedComment ref="E6" dT="2023-10-04T19:13:00.38" personId="{BA783327-1007-4CAF-8802-116B92BB16AA}" id="{F294DD12-9244-487C-ACFE-99B178AFD35E}">
    <text>Updated to include only aluminum portion, to be reported as "Aluminum and Compounds"</text>
  </threadedComment>
  <threadedComment ref="E13" dT="2023-10-06T19:31:21.55" personId="{BA783327-1007-4CAF-8802-116B92BB16AA}" id="{6F19A53C-FEAC-40D7-9EE5-CC75632F013E}">
    <text>No Aluminum in SDS for Washington Alloy Company 309L (recommended for GMAW)</text>
  </threadedComment>
  <threadedComment ref="K15" dT="2023-09-13T23:28:14.39" personId="{BA783327-1007-4CAF-8802-116B92BB16AA}" id="{E85D1C15-BD2E-4BBE-AC37-1E9D51522B61}">
    <text>Updated for consistency with SDS for "JW Harris" materials provided on 8/31/2023</text>
  </threadedComment>
  <threadedComment ref="M15" dT="2023-09-13T23:28:14.39" personId="{BA783327-1007-4CAF-8802-116B92BB16AA}" id="{0590EDDA-DCA7-4AAF-92C6-42C79ED9FC29}">
    <text>Updated for consistency with SDS for "JW Harris" materials provided on 8/31/2023</text>
  </threadedComment>
  <threadedComment ref="N15" dT="2023-09-13T23:28:14.39" personId="{BA783327-1007-4CAF-8802-116B92BB16AA}" id="{603F53AD-FA62-4374-97E9-3EC1C872CF6B}">
    <text>Updated for consistency with SDS for "JW Harris" materials provided on 8/31/2023</text>
  </threadedComment>
  <threadedComment ref="K17" dT="2023-09-13T23:28:14.39" personId="{BA783327-1007-4CAF-8802-116B92BB16AA}" id="{7B1CBD46-5035-408D-B706-4908691D7115}">
    <text>Updated for consistency with SDS for "JW Harris" materials provided on 8/31/2023</text>
  </threadedComment>
  <threadedComment ref="M17" dT="2023-09-13T23:28:14.39" personId="{BA783327-1007-4CAF-8802-116B92BB16AA}" id="{73F97E5E-D4A3-4302-9415-1CD195A418BA}">
    <text>Updated for consistency with SDS for "JW Harris" materials provided on 8/31/2023</text>
  </threadedComment>
  <threadedComment ref="N17" dT="2023-09-13T23:28:14.39" personId="{BA783327-1007-4CAF-8802-116B92BB16AA}" id="{57B6161B-85AA-4346-AE76-01C522EA6566}">
    <text>Updated for consistency with SDS for "JW Harris" materials provided on 8/31/2023</text>
  </threadedComment>
  <threadedComment ref="D23" dT="2023-10-04T19:17:18.50" personId="{BA783327-1007-4CAF-8802-116B92BB16AA}" id="{41249ACE-23FB-4D7A-9385-E45697F521D7}">
    <text>Added percent Al (converted from lithium aluminum silicate in SDS)</text>
  </threadedComment>
  <threadedComment ref="S23" dT="2023-09-13T23:52:32.63" personId="{BA783327-1007-4CAF-8802-116B92BB16AA}" id="{DE68C677-DDFB-43FE-B00B-A5B38D113A79}">
    <text>Added Fluorides for consistency with the Super 600 SDS ("EUT-093425857342 SUPER 600 1_8 10# BOX1.pdf", which includes 5% Calcium Fluoride. Only the fluoride portion of the compound is counted, using a ratio of the molecular weights of F and CaF.</text>
  </threadedComment>
  <threadedComment ref="S25" dT="2023-09-13T23:52:32.63" personId="{BA783327-1007-4CAF-8802-116B92BB16AA}" id="{1320A811-2FDD-4D57-B3E8-DDA3418549A6}">
    <text>Added Fluorides for consistency with the MG 289 SDS provided on 8/31/2023, which includes 5% Calcium Fluoride. Only the fluoride portion of the compound is counted, using a ratio of the molecular weights of F and CaF.</text>
  </threadedComment>
  <threadedComment ref="P30" dT="2023-09-13T23:28:14.39" personId="{BA783327-1007-4CAF-8802-116B92BB16AA}" id="{D3EB3468-534D-4840-A8EA-FFBA34B76036}">
    <text>Updated for consistency with the Blue Max® 309/309L AC-DC SDS (LIN-ED025098 LINCOLN 316 SS 1_8 10# CAN.pdf) which lists 5% quartz.</text>
  </threadedComment>
</ThreadedComments>
</file>

<file path=xl/threadedComments/threadedComment4.xml><?xml version="1.0" encoding="utf-8"?>
<ThreadedComments xmlns="http://schemas.microsoft.com/office/spreadsheetml/2018/threadedcomments" xmlns:x="http://schemas.openxmlformats.org/spreadsheetml/2006/main">
  <threadedComment ref="T5" dT="2023-10-04T20:29:27.51" personId="{BA783327-1007-4CAF-8802-116B92BB16AA}" id="{4D41BA9E-A104-4C54-99A5-D534FA46C910}">
    <text>Added molybdenum trioxide column.</text>
  </threadedComment>
  <threadedComment ref="D33" dT="2023-10-04T20:30:06.80" personId="{BA783327-1007-4CAF-8802-116B92BB16AA}" id="{8631C10A-0110-4ECF-BEFD-FE9DC4351DFD}">
    <text>Updated to include Al2O3 as "Aluminum and Compounds"</text>
  </threadedComment>
  <threadedComment ref="E33" dT="2023-10-04T20:30:40.70" personId="{BA783327-1007-4CAF-8802-116B92BB16AA}" id="{355AB433-1AEB-439A-9BAD-1E3EBFD43F04}">
    <text>Removed; emissions are included as "Al"</text>
  </threadedComment>
</ThreadedComments>
</file>

<file path=xl/threadedComments/threadedComment5.xml><?xml version="1.0" encoding="utf-8"?>
<ThreadedComments xmlns="http://schemas.microsoft.com/office/spreadsheetml/2018/threadedcomments" xmlns:x="http://schemas.openxmlformats.org/spreadsheetml/2006/main">
  <threadedComment ref="T5" dT="2023-10-04T20:29:27.51" personId="{BA783327-1007-4CAF-8802-116B92BB16AA}" id="{8557835A-9DF9-413E-BF69-E5FE338B8BFD}">
    <text>Added molybdenum trioxide column.</text>
  </threadedComment>
  <threadedComment ref="D33" dT="2023-10-04T20:30:06.80" personId="{BA783327-1007-4CAF-8802-116B92BB16AA}" id="{DDD31687-57F3-49E6-BD01-3247E748BA60}">
    <text>Updated to include Al2O3 as "Aluminum and Compounds"</text>
  </threadedComment>
  <threadedComment ref="E33" dT="2023-10-04T20:30:40.70" personId="{BA783327-1007-4CAF-8802-116B92BB16AA}" id="{412A1E6A-0D7C-417F-8C4D-60FCE748C8AB}">
    <text>Removed; emissions are included as "Al"</text>
  </threadedComment>
</ThreadedComments>
</file>

<file path=xl/threadedComments/threadedComment6.xml><?xml version="1.0" encoding="utf-8"?>
<ThreadedComments xmlns="http://schemas.microsoft.com/office/spreadsheetml/2018/threadedcomments" xmlns:x="http://schemas.openxmlformats.org/spreadsheetml/2006/main">
  <threadedComment ref="T5" dT="2023-10-04T20:29:27.51" personId="{BA783327-1007-4CAF-8802-116B92BB16AA}" id="{13B7A58A-3878-489B-B1BF-4F7F9084BE89}">
    <text>Added molybdenum trioxide column.</text>
  </threadedComment>
  <threadedComment ref="D33" dT="2023-10-04T20:30:06.80" personId="{BA783327-1007-4CAF-8802-116B92BB16AA}" id="{4F663A38-6D8B-453C-A74D-2E3E6C8DBD87}">
    <text>Updated to include Al2O3 as "Aluminum and Compounds"</text>
  </threadedComment>
  <threadedComment ref="E33" dT="2023-10-04T20:30:40.70" personId="{BA783327-1007-4CAF-8802-116B92BB16AA}" id="{7748FF50-50D1-484B-9949-F09B26D64BE7}">
    <text>Removed; emissions are included as "Al"</text>
  </threadedComment>
</ThreadedComments>
</file>

<file path=xl/threadedComments/threadedComment7.xml><?xml version="1.0" encoding="utf-8"?>
<ThreadedComments xmlns="http://schemas.microsoft.com/office/spreadsheetml/2018/threadedcomments" xmlns:x="http://schemas.openxmlformats.org/spreadsheetml/2006/main">
  <threadedComment ref="T5" dT="2023-10-04T20:29:27.51" personId="{BA783327-1007-4CAF-8802-116B92BB16AA}" id="{9B27E31F-4A45-4AEF-9575-3C132D3B0B06}">
    <text>Added molybdenum trioxide column.</text>
  </threadedComment>
  <threadedComment ref="D33" dT="2023-10-04T20:30:06.80" personId="{BA783327-1007-4CAF-8802-116B92BB16AA}" id="{759D8417-6E68-4E6C-BE65-6EFAD416AEC3}">
    <text>Updated to include Al2O3 as "Aluminum and Compounds"</text>
  </threadedComment>
  <threadedComment ref="E33" dT="2023-10-04T20:30:40.70" personId="{BA783327-1007-4CAF-8802-116B92BB16AA}" id="{0D2BB26F-611C-4DC4-8C62-1C73C1345AF4}">
    <text>Removed; emissions are included as "Al"</text>
  </threadedComment>
</ThreadedComments>
</file>

<file path=xl/threadedComments/threadedComment8.xml><?xml version="1.0" encoding="utf-8"?>
<ThreadedComments xmlns="http://schemas.microsoft.com/office/spreadsheetml/2018/threadedcomments" xmlns:x="http://schemas.openxmlformats.org/spreadsheetml/2006/main">
  <threadedComment ref="B63" dT="2023-10-06T21:24:28.21" personId="{BA783327-1007-4CAF-8802-116B92BB16AA}" id="{AD4DB697-8323-4D75-A40F-08218DD2EDB5}">
    <text>Added max daily totals for use in estimating daily risk from the worst-case rod type.</text>
  </threadedComment>
</ThreadedComments>
</file>

<file path=xl/threadedComments/threadedComment9.xml><?xml version="1.0" encoding="utf-8"?>
<ThreadedComments xmlns="http://schemas.microsoft.com/office/spreadsheetml/2018/threadedcomments" xmlns:x="http://schemas.openxmlformats.org/spreadsheetml/2006/main">
  <threadedComment ref="J3" dT="2023-10-10T00:29:26.35" personId="{BA783327-1007-4CAF-8802-116B92BB16AA}" id="{F1C9C2DF-6894-4507-949C-CDCBE252D24D}">
    <text>Column added by DEQ for updated acute risk analysis.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7.bin"/><Relationship Id="rId4" Type="http://schemas.microsoft.com/office/2017/10/relationships/threadedComment" Target="../threadedComments/threadedComment8.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8.bin"/><Relationship Id="rId4" Type="http://schemas.microsoft.com/office/2017/10/relationships/threadedComment" Target="../threadedComments/threadedComment9.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3" Type="http://schemas.microsoft.com/office/2017/10/relationships/threadedComment" Target="../threadedComments/threadedComment10.xml"/><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11.xml"/><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8.xml.rels><?xml version="1.0" encoding="UTF-8" standalone="yes"?>
<Relationships xmlns="http://schemas.openxmlformats.org/package/2006/relationships"><Relationship Id="rId3" Type="http://schemas.microsoft.com/office/2017/10/relationships/threadedComment" Target="../threadedComments/threadedComment12.xml"/><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9.xml.rels><?xml version="1.0" encoding="UTF-8" standalone="yes"?>
<Relationships xmlns="http://schemas.openxmlformats.org/package/2006/relationships"><Relationship Id="rId3" Type="http://schemas.microsoft.com/office/2017/10/relationships/threadedComment" Target="../threadedComments/threadedComment13.xml"/><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1.bin"/><Relationship Id="rId4" Type="http://schemas.microsoft.com/office/2017/10/relationships/threadedComment" Target="../threadedComments/threadedComment14.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5.x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67CF7-0DF5-40EC-9B02-1330F6C0F83B}">
  <dimension ref="B2:Q7"/>
  <sheetViews>
    <sheetView zoomScale="70" zoomScaleNormal="70" workbookViewId="0">
      <selection activeCell="I22" sqref="I22"/>
    </sheetView>
  </sheetViews>
  <sheetFormatPr defaultColWidth="9.1796875" defaultRowHeight="12.5" x14ac:dyDescent="0.25"/>
  <cols>
    <col min="1" max="1" width="9.1796875" style="101"/>
    <col min="2" max="17" width="12.81640625" style="101" customWidth="1"/>
    <col min="18" max="16384" width="9.1796875" style="101"/>
  </cols>
  <sheetData>
    <row r="2" spans="2:17" x14ac:dyDescent="0.25">
      <c r="B2" s="100" t="s">
        <v>0</v>
      </c>
    </row>
    <row r="3" spans="2:17" ht="6.65" customHeight="1" thickBot="1" x14ac:dyDescent="0.3">
      <c r="B3" s="100"/>
    </row>
    <row r="4" spans="2:17" ht="13" thickBot="1" x14ac:dyDescent="0.3">
      <c r="B4" s="611" t="s">
        <v>1</v>
      </c>
      <c r="C4" s="612"/>
      <c r="D4" s="612"/>
      <c r="E4" s="612"/>
      <c r="F4" s="612"/>
      <c r="G4" s="612"/>
      <c r="H4" s="612"/>
      <c r="I4" s="612"/>
      <c r="J4" s="612"/>
      <c r="K4" s="612"/>
      <c r="L4" s="612"/>
      <c r="M4" s="612"/>
      <c r="N4" s="612"/>
      <c r="O4" s="612"/>
      <c r="P4" s="612"/>
      <c r="Q4" s="613"/>
    </row>
    <row r="5" spans="2:17" ht="25.5" thickBot="1" x14ac:dyDescent="0.3">
      <c r="B5" s="233" t="s">
        <v>2</v>
      </c>
      <c r="C5" s="234" t="s">
        <v>3</v>
      </c>
      <c r="D5" s="234" t="s">
        <v>4</v>
      </c>
      <c r="E5" s="234" t="s">
        <v>5</v>
      </c>
      <c r="F5" s="234" t="s">
        <v>6</v>
      </c>
      <c r="G5" s="234" t="s">
        <v>7</v>
      </c>
      <c r="H5" s="234" t="s">
        <v>8</v>
      </c>
      <c r="I5" s="234" t="s">
        <v>9</v>
      </c>
      <c r="J5" s="234" t="s">
        <v>10</v>
      </c>
      <c r="K5" s="234" t="s">
        <v>11</v>
      </c>
      <c r="L5" s="234" t="s">
        <v>12</v>
      </c>
      <c r="M5" s="234" t="s">
        <v>13</v>
      </c>
      <c r="N5" s="235" t="s">
        <v>14</v>
      </c>
      <c r="O5" s="234" t="s">
        <v>15</v>
      </c>
      <c r="P5" s="236" t="s">
        <v>16</v>
      </c>
      <c r="Q5" s="194" t="s">
        <v>17</v>
      </c>
    </row>
    <row r="6" spans="2:17" ht="13" thickBot="1" x14ac:dyDescent="0.3">
      <c r="B6" s="233" t="s">
        <v>18</v>
      </c>
      <c r="C6" s="234" t="s">
        <v>19</v>
      </c>
      <c r="D6" s="234" t="s">
        <v>20</v>
      </c>
      <c r="E6" s="234" t="s">
        <v>21</v>
      </c>
      <c r="F6" s="234" t="s">
        <v>22</v>
      </c>
      <c r="G6" s="234" t="s">
        <v>23</v>
      </c>
      <c r="H6" s="234" t="s">
        <v>24</v>
      </c>
      <c r="I6" s="234" t="s">
        <v>25</v>
      </c>
      <c r="J6" s="234" t="s">
        <v>26</v>
      </c>
      <c r="K6" s="234" t="s">
        <v>27</v>
      </c>
      <c r="L6" s="234" t="s">
        <v>28</v>
      </c>
      <c r="M6" s="234" t="s">
        <v>29</v>
      </c>
      <c r="N6" s="235" t="s">
        <v>30</v>
      </c>
      <c r="O6" s="234" t="s">
        <v>31</v>
      </c>
      <c r="P6" s="236" t="s">
        <v>32</v>
      </c>
      <c r="Q6" s="237">
        <v>239</v>
      </c>
    </row>
    <row r="7" spans="2:17" ht="13" thickBot="1" x14ac:dyDescent="0.3">
      <c r="B7" s="238">
        <f ca="1">SUM('Boiler Emissions'!D33,'In-Shop Emissions'!D33,'Boiler Building Emissions'!D33,'Outside Emissions'!D33)</f>
        <v>2.0304949953660603E-3</v>
      </c>
      <c r="C7" s="239">
        <f>SUM('Boiler Emissions'!E33,'In-Shop Emissions'!E33,'Boiler Building Emissions'!E33,'Outside Emissions'!E33)</f>
        <v>0</v>
      </c>
      <c r="D7" s="239">
        <f ca="1">SUM('Boiler Emissions'!F33,'In-Shop Emissions'!F33,'Boiler Building Emissions'!F33,'Outside Emissions'!F33)</f>
        <v>0</v>
      </c>
      <c r="E7" s="239">
        <f ca="1">SUM('Boiler Emissions'!G33,'In-Shop Emissions'!G33,'Boiler Building Emissions'!G33,'Outside Emissions'!G33)</f>
        <v>0</v>
      </c>
      <c r="F7" s="239">
        <f ca="1">SUM('Boiler Emissions'!H33,'In-Shop Emissions'!H33,'Boiler Building Emissions'!H33,'Outside Emissions'!H33)</f>
        <v>1.5769659975000013E-2</v>
      </c>
      <c r="G7" s="239">
        <f ca="1">SUM('Boiler Emissions'!I33,'In-Shop Emissions'!I33,'Boiler Building Emissions'!I33,'Outside Emissions'!I33)</f>
        <v>7.4531140619999992E-2</v>
      </c>
      <c r="H7" s="239">
        <f ca="1">SUM('Boiler Emissions'!J33,'In-Shop Emissions'!J33,'Boiler Building Emissions'!J33,'Outside Emissions'!J33)</f>
        <v>7.315004891000002E-3</v>
      </c>
      <c r="I7" s="239">
        <f ca="1">SUM('Boiler Emissions'!K33,'In-Shop Emissions'!K33,'Boiler Building Emissions'!K33,'Outside Emissions'!K33)</f>
        <v>1.0988006857246004</v>
      </c>
      <c r="J7" s="239">
        <f ca="1">SUM('Boiler Emissions'!L33,'In-Shop Emissions'!L33,'Boiler Building Emissions'!L33,'Outside Emissions'!L33)</f>
        <v>9.4595240595000005E-2</v>
      </c>
      <c r="K7" s="239">
        <f ca="1">SUM('Boiler Emissions'!M33,'In-Shop Emissions'!M33,'Boiler Building Emissions'!M33,'Outside Emissions'!M33)</f>
        <v>3.8716344040000024E-2</v>
      </c>
      <c r="L7" s="239">
        <f ca="1">SUM('Boiler Emissions'!N33,'In-Shop Emissions'!N33,'Boiler Building Emissions'!N33,'Outside Emissions'!N33)</f>
        <v>1.1643510800000002E-4</v>
      </c>
      <c r="M7" s="239">
        <f ca="1">SUM('Boiler Emissions'!O33,'In-Shop Emissions'!O33,'Boiler Building Emissions'!O33,'Outside Emissions'!O33)</f>
        <v>0</v>
      </c>
      <c r="N7" s="239">
        <f ca="1">SUM('Boiler Emissions'!P33,'In-Shop Emissions'!P33,'Boiler Building Emissions'!P33,'Outside Emissions'!P33)</f>
        <v>3.9961596511882622E-2</v>
      </c>
      <c r="O7" s="239">
        <f ca="1">SUM('Boiler Emissions'!Q33,'In-Shop Emissions'!Q33,'Boiler Building Emissions'!Q33,'Outside Emissions'!Q33)</f>
        <v>1.1185545110960009E-3</v>
      </c>
      <c r="P7" s="240">
        <f ca="1">SUM('Boiler Emissions'!R33,'In-Shop Emissions'!R33,'Boiler Building Emissions'!R33,'Outside Emissions'!R33)</f>
        <v>8.5878375000000013E-5</v>
      </c>
      <c r="Q7" s="241">
        <f ca="1">SUM('Boiler Emissions'!S33,'In-Shop Emissions'!S33,'Boiler Building Emissions'!S33,'Outside Emissions'!S33)</f>
        <v>5.3813703418467054E-3</v>
      </c>
    </row>
  </sheetData>
  <mergeCells count="1">
    <mergeCell ref="B4:Q4"/>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8BCAE-BF29-4510-B69D-4098F837DB70}">
  <sheetPr>
    <tabColor rgb="FFFFFF00"/>
  </sheetPr>
  <dimension ref="B2:T33"/>
  <sheetViews>
    <sheetView zoomScale="60" zoomScaleNormal="60" workbookViewId="0">
      <selection activeCell="V34" sqref="V34"/>
    </sheetView>
  </sheetViews>
  <sheetFormatPr defaultColWidth="9.1796875" defaultRowHeight="12.5" x14ac:dyDescent="0.25"/>
  <cols>
    <col min="1" max="1" width="9.1796875" style="101"/>
    <col min="2" max="2" width="18.1796875" style="101" hidden="1" customWidth="1"/>
    <col min="3" max="3" width="23.1796875" style="101" bestFit="1" customWidth="1"/>
    <col min="4" max="5" width="11.1796875" style="101" bestFit="1" customWidth="1"/>
    <col min="6" max="7" width="9.1796875" style="101" bestFit="1" customWidth="1"/>
    <col min="8" max="10" width="11.1796875" style="101" bestFit="1" customWidth="1"/>
    <col min="11" max="11" width="11.1796875" style="101" customWidth="1"/>
    <col min="12" max="14" width="11.1796875" style="101" bestFit="1" customWidth="1"/>
    <col min="15" max="15" width="9.1796875" style="101" bestFit="1" customWidth="1"/>
    <col min="16" max="16" width="12.81640625" style="101" customWidth="1"/>
    <col min="17" max="18" width="11.1796875" style="101" bestFit="1" customWidth="1"/>
    <col min="19" max="19" width="9.81640625" style="101" customWidth="1"/>
    <col min="20" max="20" width="16.7265625" style="101" customWidth="1"/>
    <col min="21" max="16384" width="9.1796875" style="101"/>
  </cols>
  <sheetData>
    <row r="2" spans="2:20" x14ac:dyDescent="0.25">
      <c r="C2" s="100" t="s">
        <v>171</v>
      </c>
    </row>
    <row r="3" spans="2:20" ht="7" customHeight="1" thickBot="1" x14ac:dyDescent="0.3">
      <c r="D3" s="312"/>
      <c r="E3" s="312"/>
      <c r="F3" s="312"/>
      <c r="G3" s="312"/>
      <c r="H3" s="312"/>
      <c r="I3" s="312"/>
      <c r="J3" s="312"/>
      <c r="K3" s="312"/>
      <c r="L3" s="312"/>
      <c r="M3" s="312"/>
      <c r="N3" s="312"/>
      <c r="O3" s="312"/>
      <c r="P3" s="312"/>
      <c r="Q3" s="312"/>
      <c r="R3" s="312"/>
      <c r="S3" s="312"/>
    </row>
    <row r="4" spans="2:20" ht="13" thickBot="1" x14ac:dyDescent="0.3">
      <c r="D4" s="611" t="s">
        <v>1</v>
      </c>
      <c r="E4" s="612"/>
      <c r="F4" s="612"/>
      <c r="G4" s="612"/>
      <c r="H4" s="612"/>
      <c r="I4" s="612"/>
      <c r="J4" s="612"/>
      <c r="K4" s="612"/>
      <c r="L4" s="612"/>
      <c r="M4" s="612"/>
      <c r="N4" s="612"/>
      <c r="O4" s="612"/>
      <c r="P4" s="612"/>
      <c r="Q4" s="612"/>
      <c r="R4" s="612"/>
      <c r="S4" s="613"/>
    </row>
    <row r="5" spans="2:20" ht="25.5" thickBot="1" x14ac:dyDescent="0.3">
      <c r="D5" s="192" t="s">
        <v>2</v>
      </c>
      <c r="E5" s="171" t="s">
        <v>3</v>
      </c>
      <c r="F5" s="171" t="s">
        <v>4</v>
      </c>
      <c r="G5" s="171" t="s">
        <v>5</v>
      </c>
      <c r="H5" s="171" t="s">
        <v>6</v>
      </c>
      <c r="I5" s="171" t="s">
        <v>7</v>
      </c>
      <c r="J5" s="171" t="s">
        <v>8</v>
      </c>
      <c r="K5" s="171" t="s">
        <v>9</v>
      </c>
      <c r="L5" s="171" t="s">
        <v>10</v>
      </c>
      <c r="M5" s="171" t="s">
        <v>11</v>
      </c>
      <c r="N5" s="171" t="s">
        <v>12</v>
      </c>
      <c r="O5" s="171" t="s">
        <v>13</v>
      </c>
      <c r="P5" s="172" t="s">
        <v>14</v>
      </c>
      <c r="Q5" s="171" t="s">
        <v>15</v>
      </c>
      <c r="R5" s="193" t="s">
        <v>16</v>
      </c>
      <c r="S5" s="306" t="s">
        <v>17</v>
      </c>
      <c r="T5" s="523" t="s">
        <v>417</v>
      </c>
    </row>
    <row r="6" spans="2:20" x14ac:dyDescent="0.25">
      <c r="B6" s="224" t="s">
        <v>36</v>
      </c>
      <c r="C6" s="295" t="s">
        <v>64</v>
      </c>
      <c r="D6" s="308" t="str">
        <f ca="1">IFERROR(INDEX('Emission Factors'!C$7:C$24,MATCH(OFFSET(Usage!$D5,0,-2),'Emission Factors'!$B$7:$B$45,0))*INDEX(Usage!$M$5:$M$31,MATCH('Outside Emissions'!$C6,Usage!$D$5:$D$31,0)),"--")</f>
        <v>--</v>
      </c>
      <c r="E6" s="276" t="str">
        <f ca="1">IFERROR(INDEX('Emission Factors'!D$7:D$24,MATCH(OFFSET(Usage!$D5,0,-2),'Emission Factors'!$B$7:$B$45,0))*INDEX(Usage!$M$5:$M$31,MATCH('Outside Emissions'!$C6,Usage!$D$5:$D$31,0)),"--")</f>
        <v>--</v>
      </c>
      <c r="F6" s="276" t="str">
        <f ca="1">IFERROR(INDEX('Emission Factors'!E$7:E$24,MATCH(OFFSET(Usage!$D5,0,-2),'Emission Factors'!$B$7:$B$45,0))*INDEX(Usage!$M$5:$M$31,MATCH('Outside Emissions'!$C6,Usage!$D$5:$D$31,0)),"--")</f>
        <v>--</v>
      </c>
      <c r="G6" s="276" t="str">
        <f ca="1">IFERROR(INDEX('Emission Factors'!F$7:F$24,MATCH(OFFSET(Usage!$D5,0,-2),'Emission Factors'!$B$7:$B$45,0))*INDEX(Usage!$M$5:$M$31,MATCH('Outside Emissions'!$C6,Usage!$D$5:$D$31,0)),"--")</f>
        <v>--</v>
      </c>
      <c r="H6" s="276" t="str">
        <f ca="1">IFERROR(INDEX('Emission Factors'!G$7:G$24,MATCH(OFFSET(Usage!$D5,0,-2),'Emission Factors'!$B$7:$B$45,0))*INDEX(Usage!$M$5:$M$31,MATCH('Outside Emissions'!$C6,Usage!$D$5:$D$31,0)),"--")</f>
        <v>--</v>
      </c>
      <c r="I6" s="276">
        <f ca="1">IFERROR(INDEX('Emission Factors'!H$7:H$24,MATCH(OFFSET(Usage!$D5,0,-2),'Emission Factors'!$B$7:$B$45,0))*INDEX(Usage!$M$5:$M$31,MATCH('Outside Emissions'!$C6,Usage!$D$5:$D$31,0)),"--")</f>
        <v>8.0099999999999995E-6</v>
      </c>
      <c r="J6" s="276">
        <f ca="1">IFERROR(INDEX('Emission Factors'!I$7:I$24,MATCH(OFFSET(Usage!$D5,0,-2),'Emission Factors'!$B$7:$B$45,0))*INDEX(Usage!$M$5:$M$31,MATCH('Outside Emissions'!$C6,Usage!$D$5:$D$31,0)),"--")</f>
        <v>4.0999999999999999E-7</v>
      </c>
      <c r="K6" s="276">
        <f ca="1">IFERROR(INDEX('Emission Factors'!J$7:J$24,MATCH(OFFSET(Usage!$D5,0,-2),'Emission Factors'!$B$7:$B$45,0))*INDEX(Usage!$M$5:$M$31,MATCH('Outside Emissions'!$C6,Usage!$D$5:$D$31,0)),"--")</f>
        <v>7.1032000000000002E-7</v>
      </c>
      <c r="L6" s="276">
        <f ca="1">IFERROR(INDEX('Emission Factors'!K$7:K$24,MATCH(OFFSET(Usage!$D5,0,-2),'Emission Factors'!$B$7:$B$45,0))*INDEX(Usage!$M$5:$M$31,MATCH('Outside Emissions'!$C6,Usage!$D$5:$D$31,0)),"--")</f>
        <v>3.18E-5</v>
      </c>
      <c r="M6" s="276">
        <f ca="1">IFERROR(INDEX('Emission Factors'!L$7:L$24,MATCH(OFFSET(Usage!$D5,0,-2),'Emission Factors'!$B$7:$B$45,0))*INDEX(Usage!$M$5:$M$31,MATCH('Outside Emissions'!$C6,Usage!$D$5:$D$31,0)),"--")</f>
        <v>9.9999999999999995E-8</v>
      </c>
      <c r="N6" s="276">
        <f ca="1">IFERROR(INDEX('Emission Factors'!M$7:M$24,MATCH(OFFSET(Usage!$D5,0,-2),'Emission Factors'!$B$7:$B$45,0))*INDEX(Usage!$M$5:$M$31,MATCH('Outside Emissions'!$C6,Usage!$D$5:$D$31,0)),"--")</f>
        <v>3.5516000000000005E-8</v>
      </c>
      <c r="O6" s="276" t="str">
        <f ca="1">IFERROR(INDEX('Emission Factors'!N$7:N$24,MATCH(OFFSET(Usage!$D5,0,-2),'Emission Factors'!$B$7:$B$45,0))*INDEX(Usage!$M$5:$M$31,MATCH('Outside Emissions'!$C6,Usage!$D$5:$D$31,0)),"--")</f>
        <v>--</v>
      </c>
      <c r="P6" s="276">
        <f ca="1">IFERROR(INDEX('Emission Factors'!O$7:O$24,MATCH(OFFSET(Usage!$D5,0,-2),'Emission Factors'!$B$7:$B$45,0))*INDEX(Usage!$M$5:$M$31,MATCH('Outside Emissions'!$C6,Usage!$D$5:$D$31,0)),"--")</f>
        <v>5.1654854766820938E-6</v>
      </c>
      <c r="Q6" s="276">
        <f ca="1">IFERROR(INDEX('Emission Factors'!P$7:P$24,MATCH(OFFSET(Usage!$D5,0,-2),'Emission Factors'!$B$7:$B$45,0))*INDEX(Usage!$M$5:$M$31,MATCH('Outside Emissions'!$C6,Usage!$D$5:$D$31,0)),"--")</f>
        <v>4.2619199999999997E-8</v>
      </c>
      <c r="R6" s="276" t="str">
        <f ca="1">IFERROR(INDEX('Emission Factors'!Q$7:Q$24,MATCH(OFFSET(Usage!$D5,0,-2),'Emission Factors'!$B$7:$B$45,0))*INDEX(Usage!$M$5:$M$31,MATCH('Outside Emissions'!$C6,Usage!$D$5:$D$31,0)),"--")</f>
        <v>--</v>
      </c>
      <c r="S6" s="291" t="str">
        <f ca="1">IFERROR(INDEX('Emission Factors'!R$7:R$24,MATCH(OFFSET(Usage!$D5,0,-2),'Emission Factors'!$B$7:$B$45,0))*INDEX(Usage!$M$5:$M$31,MATCH('Outside Emissions'!$C6,Usage!$D$5:$D$31,0)),"--")</f>
        <v>--</v>
      </c>
      <c r="T6" s="291">
        <f ca="1">IFERROR(INDEX('Emission Factors'!S$7:S$24,MATCH(OFFSET(Usage!$D5,0,-2),'Emission Factors'!$B$7:$B$45,0))*INDEX(Usage!$M$5:$M$31,MATCH('Outside Emissions'!$C6,Usage!$D$5:$D$31,0)),"--")</f>
        <v>3.1967731360083372E-7</v>
      </c>
    </row>
    <row r="7" spans="2:20" x14ac:dyDescent="0.25">
      <c r="B7" s="190" t="s">
        <v>66</v>
      </c>
      <c r="C7" s="299" t="s">
        <v>67</v>
      </c>
      <c r="D7" s="309">
        <f ca="1">IFERROR(INDEX('Emission Factors'!C$7:C$24,MATCH(OFFSET(Usage!$D6,0,-2),'Emission Factors'!$B$7:$B$45,0))*INDEX(Usage!$M$5:$M$31,MATCH('Outside Emissions'!$C7,Usage!$D$5:$D$31,0)),"--")</f>
        <v>0</v>
      </c>
      <c r="E7" s="279" t="str">
        <f ca="1">IFERROR(INDEX('Emission Factors'!D$7:D$24,MATCH(OFFSET(Usage!$D6,0,-2),'Emission Factors'!$B$7:$B$45,0))*INDEX(Usage!$M$5:$M$31,MATCH('Outside Emissions'!$C7,Usage!$D$5:$D$31,0)),"--")</f>
        <v>--</v>
      </c>
      <c r="F7" s="279" t="str">
        <f ca="1">IFERROR(INDEX('Emission Factors'!E$7:E$24,MATCH(OFFSET(Usage!$D6,0,-2),'Emission Factors'!$B$7:$B$45,0))*INDEX(Usage!$M$5:$M$31,MATCH('Outside Emissions'!$C7,Usage!$D$5:$D$31,0)),"--")</f>
        <v>--</v>
      </c>
      <c r="G7" s="279" t="str">
        <f ca="1">IFERROR(INDEX('Emission Factors'!F$7:F$24,MATCH(OFFSET(Usage!$D6,0,-2),'Emission Factors'!$B$7:$B$45,0))*INDEX(Usage!$M$5:$M$31,MATCH('Outside Emissions'!$C7,Usage!$D$5:$D$31,0)),"--")</f>
        <v>--</v>
      </c>
      <c r="H7" s="279">
        <f ca="1">IFERROR(INDEX('Emission Factors'!G$7:G$24,MATCH(OFFSET(Usage!$D6,0,-2),'Emission Factors'!$B$7:$B$45,0))*INDEX(Usage!$M$5:$M$31,MATCH('Outside Emissions'!$C7,Usage!$D$5:$D$31,0)),"--")</f>
        <v>0</v>
      </c>
      <c r="I7" s="279">
        <f ca="1">IFERROR(INDEX('Emission Factors'!H$7:H$24,MATCH(OFFSET(Usage!$D6,0,-2),'Emission Factors'!$B$7:$B$45,0))*INDEX(Usage!$M$5:$M$31,MATCH('Outside Emissions'!$C7,Usage!$D$5:$D$31,0)),"--")</f>
        <v>0</v>
      </c>
      <c r="J7" s="279">
        <f ca="1">IFERROR(INDEX('Emission Factors'!I$7:I$24,MATCH(OFFSET(Usage!$D6,0,-2),'Emission Factors'!$B$7:$B$45,0))*INDEX(Usage!$M$5:$M$31,MATCH('Outside Emissions'!$C7,Usage!$D$5:$D$31,0)),"--")</f>
        <v>0</v>
      </c>
      <c r="K7" s="279">
        <f ca="1">IFERROR(INDEX('Emission Factors'!J$7:J$24,MATCH(OFFSET(Usage!$D6,0,-2),'Emission Factors'!$B$7:$B$45,0))*INDEX(Usage!$M$5:$M$31,MATCH('Outside Emissions'!$C7,Usage!$D$5:$D$31,0)),"--")</f>
        <v>0</v>
      </c>
      <c r="L7" s="279">
        <f ca="1">IFERROR(INDEX('Emission Factors'!K$7:K$24,MATCH(OFFSET(Usage!$D6,0,-2),'Emission Factors'!$B$7:$B$45,0))*INDEX(Usage!$M$5:$M$31,MATCH('Outside Emissions'!$C7,Usage!$D$5:$D$31,0)),"--")</f>
        <v>0</v>
      </c>
      <c r="M7" s="279">
        <f ca="1">IFERROR(INDEX('Emission Factors'!L$7:L$24,MATCH(OFFSET(Usage!$D6,0,-2),'Emission Factors'!$B$7:$B$45,0))*INDEX(Usage!$M$5:$M$31,MATCH('Outside Emissions'!$C7,Usage!$D$5:$D$31,0)),"--")</f>
        <v>0</v>
      </c>
      <c r="N7" s="279">
        <f ca="1">IFERROR(INDEX('Emission Factors'!M$7:M$24,MATCH(OFFSET(Usage!$D6,0,-2),'Emission Factors'!$B$7:$B$45,0))*INDEX(Usage!$M$5:$M$31,MATCH('Outside Emissions'!$C7,Usage!$D$5:$D$31,0)),"--")</f>
        <v>0</v>
      </c>
      <c r="O7" s="279" t="str">
        <f ca="1">IFERROR(INDEX('Emission Factors'!N$7:N$24,MATCH(OFFSET(Usage!$D6,0,-2),'Emission Factors'!$B$7:$B$45,0))*INDEX(Usage!$M$5:$M$31,MATCH('Outside Emissions'!$C7,Usage!$D$5:$D$31,0)),"--")</f>
        <v>--</v>
      </c>
      <c r="P7" s="279">
        <f ca="1">IFERROR(INDEX('Emission Factors'!O$7:O$24,MATCH(OFFSET(Usage!$D6,0,-2),'Emission Factors'!$B$7:$B$45,0))*INDEX(Usage!$M$5:$M$31,MATCH('Outside Emissions'!$C7,Usage!$D$5:$D$31,0)),"--")</f>
        <v>0</v>
      </c>
      <c r="Q7" s="279">
        <f ca="1">IFERROR(INDEX('Emission Factors'!P$7:P$24,MATCH(OFFSET(Usage!$D6,0,-2),'Emission Factors'!$B$7:$B$45,0))*INDEX(Usage!$M$5:$M$31,MATCH('Outside Emissions'!$C7,Usage!$D$5:$D$31,0)),"--")</f>
        <v>0</v>
      </c>
      <c r="R7" s="280" t="str">
        <f ca="1">IFERROR(INDEX('Emission Factors'!Q$7:Q$24,MATCH(OFFSET(Usage!$D6,0,-2),'Emission Factors'!$B$7:$B$45,0))*INDEX(Usage!$M$5:$M$31,MATCH('Outside Emissions'!$C7,Usage!$D$5:$D$31,0)),"--")</f>
        <v>--</v>
      </c>
      <c r="S7" s="292" t="str">
        <f ca="1">IFERROR(INDEX('Emission Factors'!R$7:R$24,MATCH(OFFSET(Usage!$D6,0,-2),'Emission Factors'!$B$7:$B$45,0))*INDEX(Usage!$M$5:$M$31,MATCH('Outside Emissions'!$C7,Usage!$D$5:$D$31,0)),"--")</f>
        <v>--</v>
      </c>
      <c r="T7" s="292">
        <f ca="1">IFERROR(INDEX('Emission Factors'!S$7:S$24,MATCH(OFFSET(Usage!$D6,0,-2),'Emission Factors'!$B$7:$B$45,0))*INDEX(Usage!$M$5:$M$31,MATCH('Outside Emissions'!$C7,Usage!$D$5:$D$31,0)),"--")</f>
        <v>0</v>
      </c>
    </row>
    <row r="8" spans="2:20" x14ac:dyDescent="0.25">
      <c r="B8" s="190" t="s">
        <v>36</v>
      </c>
      <c r="C8" s="299" t="s">
        <v>68</v>
      </c>
      <c r="D8" s="309" t="str">
        <f ca="1">IFERROR(INDEX('Emission Factors'!C$7:C$24,MATCH(OFFSET(Usage!$D7,0,-2),'Emission Factors'!$B$7:$B$45,0))*INDEX(Usage!$M$5:$M$31,MATCH('Outside Emissions'!$C8,Usage!$D$5:$D$31,0)),"--")</f>
        <v>--</v>
      </c>
      <c r="E8" s="279" t="str">
        <f ca="1">IFERROR(INDEX('Emission Factors'!D$7:D$24,MATCH(OFFSET(Usage!$D7,0,-2),'Emission Factors'!$B$7:$B$45,0))*INDEX(Usage!$M$5:$M$31,MATCH('Outside Emissions'!$C8,Usage!$D$5:$D$31,0)),"--")</f>
        <v>--</v>
      </c>
      <c r="F8" s="279" t="str">
        <f ca="1">IFERROR(INDEX('Emission Factors'!E$7:E$24,MATCH(OFFSET(Usage!$D7,0,-2),'Emission Factors'!$B$7:$B$45,0))*INDEX(Usage!$M$5:$M$31,MATCH('Outside Emissions'!$C8,Usage!$D$5:$D$31,0)),"--")</f>
        <v>--</v>
      </c>
      <c r="G8" s="279" t="str">
        <f ca="1">IFERROR(INDEX('Emission Factors'!F$7:F$24,MATCH(OFFSET(Usage!$D7,0,-2),'Emission Factors'!$B$7:$B$45,0))*INDEX(Usage!$M$5:$M$31,MATCH('Outside Emissions'!$C8,Usage!$D$5:$D$31,0)),"--")</f>
        <v>--</v>
      </c>
      <c r="H8" s="279" t="str">
        <f ca="1">IFERROR(INDEX('Emission Factors'!G$7:G$24,MATCH(OFFSET(Usage!$D7,0,-2),'Emission Factors'!$B$7:$B$45,0))*INDEX(Usage!$M$5:$M$31,MATCH('Outside Emissions'!$C8,Usage!$D$5:$D$31,0)),"--")</f>
        <v>--</v>
      </c>
      <c r="I8" s="279">
        <f ca="1">IFERROR(INDEX('Emission Factors'!H$7:H$24,MATCH(OFFSET(Usage!$D7,0,-2),'Emission Factors'!$B$7:$B$45,0))*INDEX(Usage!$M$5:$M$31,MATCH('Outside Emissions'!$C8,Usage!$D$5:$D$31,0)),"--")</f>
        <v>1.0573200000000001E-5</v>
      </c>
      <c r="J8" s="279">
        <f ca="1">IFERROR(INDEX('Emission Factors'!I$7:I$24,MATCH(OFFSET(Usage!$D7,0,-2),'Emission Factors'!$B$7:$B$45,0))*INDEX(Usage!$M$5:$M$31,MATCH('Outside Emissions'!$C8,Usage!$D$5:$D$31,0)),"--")</f>
        <v>5.412E-7</v>
      </c>
      <c r="K8" s="279">
        <f ca="1">IFERROR(INDEX('Emission Factors'!J$7:J$24,MATCH(OFFSET(Usage!$D7,0,-2),'Emission Factors'!$B$7:$B$45,0))*INDEX(Usage!$M$5:$M$31,MATCH('Outside Emissions'!$C8,Usage!$D$5:$D$31,0)),"--")</f>
        <v>9.3762240000000008E-7</v>
      </c>
      <c r="L8" s="279">
        <f ca="1">IFERROR(INDEX('Emission Factors'!K$7:K$24,MATCH(OFFSET(Usage!$D7,0,-2),'Emission Factors'!$B$7:$B$45,0))*INDEX(Usage!$M$5:$M$31,MATCH('Outside Emissions'!$C8,Usage!$D$5:$D$31,0)),"--")</f>
        <v>4.1975999999999999E-5</v>
      </c>
      <c r="M8" s="279">
        <f ca="1">IFERROR(INDEX('Emission Factors'!L$7:L$24,MATCH(OFFSET(Usage!$D7,0,-2),'Emission Factors'!$B$7:$B$45,0))*INDEX(Usage!$M$5:$M$31,MATCH('Outside Emissions'!$C8,Usage!$D$5:$D$31,0)),"--")</f>
        <v>1.3199999999999999E-7</v>
      </c>
      <c r="N8" s="279">
        <f ca="1">IFERROR(INDEX('Emission Factors'!M$7:M$24,MATCH(OFFSET(Usage!$D7,0,-2),'Emission Factors'!$B$7:$B$45,0))*INDEX(Usage!$M$5:$M$31,MATCH('Outside Emissions'!$C8,Usage!$D$5:$D$31,0)),"--")</f>
        <v>4.6881120000000007E-8</v>
      </c>
      <c r="O8" s="279" t="str">
        <f ca="1">IFERROR(INDEX('Emission Factors'!N$7:N$24,MATCH(OFFSET(Usage!$D7,0,-2),'Emission Factors'!$B$7:$B$45,0))*INDEX(Usage!$M$5:$M$31,MATCH('Outside Emissions'!$C8,Usage!$D$5:$D$31,0)),"--")</f>
        <v>--</v>
      </c>
      <c r="P8" s="279">
        <f ca="1">IFERROR(INDEX('Emission Factors'!O$7:O$24,MATCH(OFFSET(Usage!$D7,0,-2),'Emission Factors'!$B$7:$B$45,0))*INDEX(Usage!$M$5:$M$31,MATCH('Outside Emissions'!$C8,Usage!$D$5:$D$31,0)),"--")</f>
        <v>6.8184408292203637E-6</v>
      </c>
      <c r="Q8" s="279">
        <f ca="1">IFERROR(INDEX('Emission Factors'!P$7:P$24,MATCH(OFFSET(Usage!$D7,0,-2),'Emission Factors'!$B$7:$B$45,0))*INDEX(Usage!$M$5:$M$31,MATCH('Outside Emissions'!$C8,Usage!$D$5:$D$31,0)),"--")</f>
        <v>5.6257343999999996E-8</v>
      </c>
      <c r="R8" s="280" t="str">
        <f ca="1">IFERROR(INDEX('Emission Factors'!Q$7:Q$24,MATCH(OFFSET(Usage!$D7,0,-2),'Emission Factors'!$B$7:$B$45,0))*INDEX(Usage!$M$5:$M$31,MATCH('Outside Emissions'!$C8,Usage!$D$5:$D$31,0)),"--")</f>
        <v>--</v>
      </c>
      <c r="S8" s="292" t="str">
        <f ca="1">IFERROR(INDEX('Emission Factors'!R$7:R$24,MATCH(OFFSET(Usage!$D7,0,-2),'Emission Factors'!$B$7:$B$45,0))*INDEX(Usage!$M$5:$M$31,MATCH('Outside Emissions'!$C8,Usage!$D$5:$D$31,0)),"--")</f>
        <v>--</v>
      </c>
      <c r="T8" s="292">
        <f ca="1">IFERROR(INDEX('Emission Factors'!S$7:S$24,MATCH(OFFSET(Usage!$D7,0,-2),'Emission Factors'!$B$7:$B$45,0))*INDEX(Usage!$M$5:$M$31,MATCH('Outside Emissions'!$C8,Usage!$D$5:$D$31,0)),"--")</f>
        <v>4.2197405395310048E-7</v>
      </c>
    </row>
    <row r="9" spans="2:20" x14ac:dyDescent="0.25">
      <c r="B9" s="190" t="s">
        <v>41</v>
      </c>
      <c r="C9" s="299" t="s">
        <v>69</v>
      </c>
      <c r="D9" s="309" t="str">
        <f ca="1">IFERROR(INDEX('Emission Factors'!C$7:C$24,MATCH(OFFSET(Usage!$D8,0,-2),'Emission Factors'!$B$7:$B$45,0))*INDEX(Usage!$M$5:$M$31,MATCH('Outside Emissions'!$C9,Usage!$D$5:$D$31,0)),"--")</f>
        <v>--</v>
      </c>
      <c r="E9" s="279">
        <f ca="1">IFERROR(INDEX('Emission Factors'!D$7:D$24,MATCH(OFFSET(Usage!$D8,0,-2),'Emission Factors'!$B$7:$B$45,0))*INDEX(Usage!$M$5:$M$31,MATCH('Outside Emissions'!$C9,Usage!$D$5:$D$31,0)),"--")</f>
        <v>0</v>
      </c>
      <c r="F9" s="279" t="str">
        <f ca="1">IFERROR(INDEX('Emission Factors'!E$7:E$24,MATCH(OFFSET(Usage!$D8,0,-2),'Emission Factors'!$B$7:$B$45,0))*INDEX(Usage!$M$5:$M$31,MATCH('Outside Emissions'!$C9,Usage!$D$5:$D$31,0)),"--")</f>
        <v>--</v>
      </c>
      <c r="G9" s="279" t="str">
        <f ca="1">IFERROR(INDEX('Emission Factors'!F$7:F$24,MATCH(OFFSET(Usage!$D8,0,-2),'Emission Factors'!$B$7:$B$45,0))*INDEX(Usage!$M$5:$M$31,MATCH('Outside Emissions'!$C9,Usage!$D$5:$D$31,0)),"--")</f>
        <v>--</v>
      </c>
      <c r="H9" s="279" t="str">
        <f ca="1">IFERROR(INDEX('Emission Factors'!G$7:G$24,MATCH(OFFSET(Usage!$D8,0,-2),'Emission Factors'!$B$7:$B$45,0))*INDEX(Usage!$M$5:$M$31,MATCH('Outside Emissions'!$C9,Usage!$D$5:$D$31,0)),"--")</f>
        <v>--</v>
      </c>
      <c r="I9" s="279">
        <f ca="1">IFERROR(INDEX('Emission Factors'!H$7:H$24,MATCH(OFFSET(Usage!$D8,0,-2),'Emission Factors'!$B$7:$B$45,0))*INDEX(Usage!$M$5:$M$31,MATCH('Outside Emissions'!$C9,Usage!$D$5:$D$31,0)),"--")</f>
        <v>7.7200000000000006E-5</v>
      </c>
      <c r="J9" s="279">
        <f ca="1">IFERROR(INDEX('Emission Factors'!I$7:I$24,MATCH(OFFSET(Usage!$D8,0,-2),'Emission Factors'!$B$7:$B$45,0))*INDEX(Usage!$M$5:$M$31,MATCH('Outside Emissions'!$C9,Usage!$D$5:$D$31,0)),"--")</f>
        <v>2.84E-7</v>
      </c>
      <c r="K9" s="279">
        <f ca="1">IFERROR(INDEX('Emission Factors'!J$7:J$24,MATCH(OFFSET(Usage!$D8,0,-2),'Emission Factors'!$B$7:$B$45,0))*INDEX(Usage!$M$5:$M$31,MATCH('Outside Emissions'!$C9,Usage!$D$5:$D$31,0)),"--")</f>
        <v>1.3113600000000002E-7</v>
      </c>
      <c r="L9" s="279">
        <f ca="1">IFERROR(INDEX('Emission Factors'!K$7:K$24,MATCH(OFFSET(Usage!$D8,0,-2),'Emission Factors'!$B$7:$B$45,0))*INDEX(Usage!$M$5:$M$31,MATCH('Outside Emissions'!$C9,Usage!$D$5:$D$31,0)),"--")</f>
        <v>2.4499999999999998E-6</v>
      </c>
      <c r="M9" s="279">
        <f ca="1">IFERROR(INDEX('Emission Factors'!L$7:L$24,MATCH(OFFSET(Usage!$D8,0,-2),'Emission Factors'!$B$7:$B$45,0))*INDEX(Usage!$M$5:$M$31,MATCH('Outside Emissions'!$C9,Usage!$D$5:$D$31,0)),"--")</f>
        <v>2.26E-6</v>
      </c>
      <c r="N9" s="279">
        <f ca="1">IFERROR(INDEX('Emission Factors'!M$7:M$24,MATCH(OFFSET(Usage!$D8,0,-2),'Emission Factors'!$B$7:$B$45,0))*INDEX(Usage!$M$5:$M$31,MATCH('Outside Emissions'!$C9,Usage!$D$5:$D$31,0)),"--")</f>
        <v>5.2454399999999996E-9</v>
      </c>
      <c r="O9" s="279" t="str">
        <f ca="1">IFERROR(INDEX('Emission Factors'!N$7:N$24,MATCH(OFFSET(Usage!$D8,0,-2),'Emission Factors'!$B$7:$B$45,0))*INDEX(Usage!$M$5:$M$31,MATCH('Outside Emissions'!$C9,Usage!$D$5:$D$31,0)),"--")</f>
        <v>--</v>
      </c>
      <c r="P9" s="279">
        <f ca="1">IFERROR(INDEX('Emission Factors'!O$7:O$24,MATCH(OFFSET(Usage!$D8,0,-2),'Emission Factors'!$B$7:$B$45,0))*INDEX(Usage!$M$5:$M$31,MATCH('Outside Emissions'!$C9,Usage!$D$5:$D$31,0)),"--")</f>
        <v>1.7763660462798153E-7</v>
      </c>
      <c r="Q9" s="279" t="str">
        <f ca="1">IFERROR(INDEX('Emission Factors'!P$7:P$24,MATCH(OFFSET(Usage!$D8,0,-2),'Emission Factors'!$B$7:$B$45,0))*INDEX(Usage!$M$5:$M$31,MATCH('Outside Emissions'!$C9,Usage!$D$5:$D$31,0)),"--")</f>
        <v>--</v>
      </c>
      <c r="R9" s="280" t="str">
        <f ca="1">IFERROR(INDEX('Emission Factors'!Q$7:Q$24,MATCH(OFFSET(Usage!$D8,0,-2),'Emission Factors'!$B$7:$B$45,0))*INDEX(Usage!$M$5:$M$31,MATCH('Outside Emissions'!$C9,Usage!$D$5:$D$31,0)),"--")</f>
        <v>--</v>
      </c>
      <c r="S9" s="292" t="str">
        <f ca="1">IFERROR(INDEX('Emission Factors'!R$7:R$24,MATCH(OFFSET(Usage!$D8,0,-2),'Emission Factors'!$B$7:$B$45,0))*INDEX(Usage!$M$5:$M$31,MATCH('Outside Emissions'!$C9,Usage!$D$5:$D$31,0)),"--")</f>
        <v>--</v>
      </c>
      <c r="T9" s="292">
        <f ca="1">IFERROR(INDEX('Emission Factors'!S$7:S$24,MATCH(OFFSET(Usage!$D8,0,-2),'Emission Factors'!$B$7:$B$45,0))*INDEX(Usage!$M$5:$M$31,MATCH('Outside Emissions'!$C9,Usage!$D$5:$D$31,0)),"--")</f>
        <v>6.5574833559145391E-7</v>
      </c>
    </row>
    <row r="10" spans="2:20" x14ac:dyDescent="0.25">
      <c r="B10" s="190" t="s">
        <v>41</v>
      </c>
      <c r="C10" s="299" t="s">
        <v>70</v>
      </c>
      <c r="D10" s="309" t="str">
        <f ca="1">IFERROR(INDEX('Emission Factors'!C$7:C$24,MATCH(OFFSET(Usage!$D9,0,-2),'Emission Factors'!$B$7:$B$45,0))*INDEX(Usage!$M$5:$M$31,MATCH('Outside Emissions'!$C10,Usage!$D$5:$D$31,0)),"--")</f>
        <v>--</v>
      </c>
      <c r="E10" s="279">
        <f ca="1">IFERROR(INDEX('Emission Factors'!D$7:D$24,MATCH(OFFSET(Usage!$D9,0,-2),'Emission Factors'!$B$7:$B$45,0))*INDEX(Usage!$M$5:$M$31,MATCH('Outside Emissions'!$C10,Usage!$D$5:$D$31,0)),"--")</f>
        <v>0</v>
      </c>
      <c r="F10" s="279" t="str">
        <f ca="1">IFERROR(INDEX('Emission Factors'!E$7:E$24,MATCH(OFFSET(Usage!$D9,0,-2),'Emission Factors'!$B$7:$B$45,0))*INDEX(Usage!$M$5:$M$31,MATCH('Outside Emissions'!$C10,Usage!$D$5:$D$31,0)),"--")</f>
        <v>--</v>
      </c>
      <c r="G10" s="279" t="str">
        <f ca="1">IFERROR(INDEX('Emission Factors'!F$7:F$24,MATCH(OFFSET(Usage!$D9,0,-2),'Emission Factors'!$B$7:$B$45,0))*INDEX(Usage!$M$5:$M$31,MATCH('Outside Emissions'!$C10,Usage!$D$5:$D$31,0)),"--")</f>
        <v>--</v>
      </c>
      <c r="H10" s="279" t="str">
        <f ca="1">IFERROR(INDEX('Emission Factors'!G$7:G$24,MATCH(OFFSET(Usage!$D9,0,-2),'Emission Factors'!$B$7:$B$45,0))*INDEX(Usage!$M$5:$M$31,MATCH('Outside Emissions'!$C10,Usage!$D$5:$D$31,0)),"--")</f>
        <v>--</v>
      </c>
      <c r="I10" s="279">
        <f ca="1">IFERROR(INDEX('Emission Factors'!H$7:H$24,MATCH(OFFSET(Usage!$D9,0,-2),'Emission Factors'!$B$7:$B$45,0))*INDEX(Usage!$M$5:$M$31,MATCH('Outside Emissions'!$C10,Usage!$D$5:$D$31,0)),"--")</f>
        <v>7.7200000000000006E-5</v>
      </c>
      <c r="J10" s="279">
        <f ca="1">IFERROR(INDEX('Emission Factors'!I$7:I$24,MATCH(OFFSET(Usage!$D9,0,-2),'Emission Factors'!$B$7:$B$45,0))*INDEX(Usage!$M$5:$M$31,MATCH('Outside Emissions'!$C10,Usage!$D$5:$D$31,0)),"--")</f>
        <v>2.84E-7</v>
      </c>
      <c r="K10" s="279">
        <f ca="1">IFERROR(INDEX('Emission Factors'!J$7:J$24,MATCH(OFFSET(Usage!$D9,0,-2),'Emission Factors'!$B$7:$B$45,0))*INDEX(Usage!$M$5:$M$31,MATCH('Outside Emissions'!$C10,Usage!$D$5:$D$31,0)),"--")</f>
        <v>1.3113600000000002E-7</v>
      </c>
      <c r="L10" s="279">
        <f ca="1">IFERROR(INDEX('Emission Factors'!K$7:K$24,MATCH(OFFSET(Usage!$D9,0,-2),'Emission Factors'!$B$7:$B$45,0))*INDEX(Usage!$M$5:$M$31,MATCH('Outside Emissions'!$C10,Usage!$D$5:$D$31,0)),"--")</f>
        <v>2.4499999999999998E-6</v>
      </c>
      <c r="M10" s="279">
        <f ca="1">IFERROR(INDEX('Emission Factors'!L$7:L$24,MATCH(OFFSET(Usage!$D9,0,-2),'Emission Factors'!$B$7:$B$45,0))*INDEX(Usage!$M$5:$M$31,MATCH('Outside Emissions'!$C10,Usage!$D$5:$D$31,0)),"--")</f>
        <v>2.26E-6</v>
      </c>
      <c r="N10" s="279">
        <f ca="1">IFERROR(INDEX('Emission Factors'!M$7:M$24,MATCH(OFFSET(Usage!$D9,0,-2),'Emission Factors'!$B$7:$B$45,0))*INDEX(Usage!$M$5:$M$31,MATCH('Outside Emissions'!$C10,Usage!$D$5:$D$31,0)),"--")</f>
        <v>5.2454399999999996E-9</v>
      </c>
      <c r="O10" s="279" t="str">
        <f ca="1">IFERROR(INDEX('Emission Factors'!N$7:N$24,MATCH(OFFSET(Usage!$D9,0,-2),'Emission Factors'!$B$7:$B$45,0))*INDEX(Usage!$M$5:$M$31,MATCH('Outside Emissions'!$C10,Usage!$D$5:$D$31,0)),"--")</f>
        <v>--</v>
      </c>
      <c r="P10" s="279">
        <f ca="1">IFERROR(INDEX('Emission Factors'!O$7:O$24,MATCH(OFFSET(Usage!$D9,0,-2),'Emission Factors'!$B$7:$B$45,0))*INDEX(Usage!$M$5:$M$31,MATCH('Outside Emissions'!$C10,Usage!$D$5:$D$31,0)),"--")</f>
        <v>1.7763660462798153E-7</v>
      </c>
      <c r="Q10" s="279" t="str">
        <f ca="1">IFERROR(INDEX('Emission Factors'!P$7:P$24,MATCH(OFFSET(Usage!$D9,0,-2),'Emission Factors'!$B$7:$B$45,0))*INDEX(Usage!$M$5:$M$31,MATCH('Outside Emissions'!$C10,Usage!$D$5:$D$31,0)),"--")</f>
        <v>--</v>
      </c>
      <c r="R10" s="280" t="str">
        <f ca="1">IFERROR(INDEX('Emission Factors'!Q$7:Q$24,MATCH(OFFSET(Usage!$D9,0,-2),'Emission Factors'!$B$7:$B$45,0))*INDEX(Usage!$M$5:$M$31,MATCH('Outside Emissions'!$C10,Usage!$D$5:$D$31,0)),"--")</f>
        <v>--</v>
      </c>
      <c r="S10" s="292" t="str">
        <f ca="1">IFERROR(INDEX('Emission Factors'!R$7:R$24,MATCH(OFFSET(Usage!$D9,0,-2),'Emission Factors'!$B$7:$B$45,0))*INDEX(Usage!$M$5:$M$31,MATCH('Outside Emissions'!$C10,Usage!$D$5:$D$31,0)),"--")</f>
        <v>--</v>
      </c>
      <c r="T10" s="292">
        <f ca="1">IFERROR(INDEX('Emission Factors'!S$7:S$24,MATCH(OFFSET(Usage!$D9,0,-2),'Emission Factors'!$B$7:$B$45,0))*INDEX(Usage!$M$5:$M$31,MATCH('Outside Emissions'!$C10,Usage!$D$5:$D$31,0)),"--")</f>
        <v>6.5574833559145391E-7</v>
      </c>
    </row>
    <row r="11" spans="2:20" x14ac:dyDescent="0.25">
      <c r="B11" s="190" t="s">
        <v>40</v>
      </c>
      <c r="C11" s="299" t="s">
        <v>71</v>
      </c>
      <c r="D11" s="309" t="str">
        <f ca="1">IFERROR(INDEX('Emission Factors'!C$7:C$24,MATCH(OFFSET(Usage!$D10,0,-2),'Emission Factors'!$B$7:$B$45,0))*INDEX(Usage!$M$5:$M$31,MATCH('Outside Emissions'!$C11,Usage!$D$5:$D$31,0)),"--")</f>
        <v>--</v>
      </c>
      <c r="E11" s="279" t="str">
        <f ca="1">IFERROR(INDEX('Emission Factors'!D$7:D$24,MATCH(OFFSET(Usage!$D10,0,-2),'Emission Factors'!$B$7:$B$45,0))*INDEX(Usage!$M$5:$M$31,MATCH('Outside Emissions'!$C11,Usage!$D$5:$D$31,0)),"--")</f>
        <v>--</v>
      </c>
      <c r="F11" s="279" t="str">
        <f ca="1">IFERROR(INDEX('Emission Factors'!E$7:E$24,MATCH(OFFSET(Usage!$D10,0,-2),'Emission Factors'!$B$7:$B$45,0))*INDEX(Usage!$M$5:$M$31,MATCH('Outside Emissions'!$C11,Usage!$D$5:$D$31,0)),"--")</f>
        <v>--</v>
      </c>
      <c r="G11" s="279" t="str">
        <f ca="1">IFERROR(INDEX('Emission Factors'!F$7:F$24,MATCH(OFFSET(Usage!$D10,0,-2),'Emission Factors'!$B$7:$B$45,0))*INDEX(Usage!$M$5:$M$31,MATCH('Outside Emissions'!$C11,Usage!$D$5:$D$31,0)),"--")</f>
        <v>--</v>
      </c>
      <c r="H11" s="279" t="str">
        <f ca="1">IFERROR(INDEX('Emission Factors'!G$7:G$24,MATCH(OFFSET(Usage!$D10,0,-2),'Emission Factors'!$B$7:$B$45,0))*INDEX(Usage!$M$5:$M$31,MATCH('Outside Emissions'!$C11,Usage!$D$5:$D$31,0)),"--")</f>
        <v>--</v>
      </c>
      <c r="I11" s="279">
        <f ca="1">IFERROR(INDEX('Emission Factors'!H$7:H$24,MATCH(OFFSET(Usage!$D10,0,-2),'Emission Factors'!$B$7:$B$45,0))*INDEX(Usage!$M$5:$M$31,MATCH('Outside Emissions'!$C11,Usage!$D$5:$D$31,0)),"--")</f>
        <v>1.5219999999999999E-4</v>
      </c>
      <c r="J11" s="279">
        <f ca="1">IFERROR(INDEX('Emission Factors'!I$7:I$24,MATCH(OFFSET(Usage!$D10,0,-2),'Emission Factors'!$B$7:$B$45,0))*INDEX(Usage!$M$5:$M$31,MATCH('Outside Emissions'!$C11,Usage!$D$5:$D$31,0)),"--")</f>
        <v>1.6019999999999999E-6</v>
      </c>
      <c r="K11" s="279">
        <f ca="1">IFERROR(INDEX('Emission Factors'!J$7:J$24,MATCH(OFFSET(Usage!$D10,0,-2),'Emission Factors'!$B$7:$B$45,0))*INDEX(Usage!$M$5:$M$31,MATCH('Outside Emissions'!$C11,Usage!$D$5:$D$31,0)),"--")</f>
        <v>8.1959999999999995E-7</v>
      </c>
      <c r="L11" s="279">
        <f ca="1">IFERROR(INDEX('Emission Factors'!K$7:K$24,MATCH(OFFSET(Usage!$D10,0,-2),'Emission Factors'!$B$7:$B$45,0))*INDEX(Usage!$M$5:$M$31,MATCH('Outside Emissions'!$C11,Usage!$D$5:$D$31,0)),"--")</f>
        <v>1.9124000000000001E-6</v>
      </c>
      <c r="M11" s="279">
        <f ca="1">IFERROR(INDEX('Emission Factors'!L$7:L$24,MATCH(OFFSET(Usage!$D10,0,-2),'Emission Factors'!$B$7:$B$45,0))*INDEX(Usage!$M$5:$M$31,MATCH('Outside Emissions'!$C11,Usage!$D$5:$D$31,0)),"--")</f>
        <v>1.4206400000000002E-5</v>
      </c>
      <c r="N11" s="279">
        <f ca="1">IFERROR(INDEX('Emission Factors'!M$7:M$24,MATCH(OFFSET(Usage!$D10,0,-2),'Emission Factors'!$B$7:$B$45,0))*INDEX(Usage!$M$5:$M$31,MATCH('Outside Emissions'!$C11,Usage!$D$5:$D$31,0)),"--")</f>
        <v>3.2783999999999998E-8</v>
      </c>
      <c r="O11" s="279" t="str">
        <f ca="1">IFERROR(INDEX('Emission Factors'!N$7:N$24,MATCH(OFFSET(Usage!$D10,0,-2),'Emission Factors'!$B$7:$B$45,0))*INDEX(Usage!$M$5:$M$31,MATCH('Outside Emissions'!$C11,Usage!$D$5:$D$31,0)),"--")</f>
        <v>--</v>
      </c>
      <c r="P11" s="279">
        <f ca="1">IFERROR(INDEX('Emission Factors'!O$7:O$24,MATCH(OFFSET(Usage!$D10,0,-2),'Emission Factors'!$B$7:$B$45,0))*INDEX(Usage!$M$5:$M$31,MATCH('Outside Emissions'!$C11,Usage!$D$5:$D$31,0)),"--")</f>
        <v>1.1102287789248846E-6</v>
      </c>
      <c r="Q11" s="279" t="str">
        <f ca="1">IFERROR(INDEX('Emission Factors'!P$7:P$24,MATCH(OFFSET(Usage!$D10,0,-2),'Emission Factors'!$B$7:$B$45,0))*INDEX(Usage!$M$5:$M$31,MATCH('Outside Emissions'!$C11,Usage!$D$5:$D$31,0)),"--")</f>
        <v>--</v>
      </c>
      <c r="R11" s="280" t="str">
        <f ca="1">IFERROR(INDEX('Emission Factors'!Q$7:Q$24,MATCH(OFFSET(Usage!$D10,0,-2),'Emission Factors'!$B$7:$B$45,0))*INDEX(Usage!$M$5:$M$31,MATCH('Outside Emissions'!$C11,Usage!$D$5:$D$31,0)),"--")</f>
        <v>--</v>
      </c>
      <c r="S11" s="292" t="str">
        <f ca="1">IFERROR(INDEX('Emission Factors'!R$7:R$24,MATCH(OFFSET(Usage!$D10,0,-2),'Emission Factors'!$B$7:$B$45,0))*INDEX(Usage!$M$5:$M$31,MATCH('Outside Emissions'!$C11,Usage!$D$5:$D$31,0)),"--")</f>
        <v>--</v>
      </c>
      <c r="T11" s="292">
        <f ca="1">IFERROR(INDEX('Emission Factors'!S$7:S$24,MATCH(OFFSET(Usage!$D10,0,-2),'Emission Factors'!$B$7:$B$45,0))*INDEX(Usage!$M$5:$M$31,MATCH('Outside Emissions'!$C11,Usage!$D$5:$D$31,0)),"--")</f>
        <v>1.2295281292339758E-6</v>
      </c>
    </row>
    <row r="12" spans="2:20" x14ac:dyDescent="0.25">
      <c r="B12" s="190" t="s">
        <v>40</v>
      </c>
      <c r="C12" s="299" t="s">
        <v>72</v>
      </c>
      <c r="D12" s="309" t="str">
        <f ca="1">IFERROR(INDEX('Emission Factors'!C$7:C$24,MATCH(OFFSET(Usage!$D11,0,-2),'Emission Factors'!$B$7:$B$45,0))*INDEX(Usage!$M$5:$M$31,MATCH('Outside Emissions'!$C12,Usage!$D$5:$D$31,0)),"--")</f>
        <v>--</v>
      </c>
      <c r="E12" s="279" t="str">
        <f ca="1">IFERROR(INDEX('Emission Factors'!D$7:D$24,MATCH(OFFSET(Usage!$D11,0,-2),'Emission Factors'!$B$7:$B$45,0))*INDEX(Usage!$M$5:$M$31,MATCH('Outside Emissions'!$C12,Usage!$D$5:$D$31,0)),"--")</f>
        <v>--</v>
      </c>
      <c r="F12" s="279" t="str">
        <f ca="1">IFERROR(INDEX('Emission Factors'!E$7:E$24,MATCH(OFFSET(Usage!$D11,0,-2),'Emission Factors'!$B$7:$B$45,0))*INDEX(Usage!$M$5:$M$31,MATCH('Outside Emissions'!$C12,Usage!$D$5:$D$31,0)),"--")</f>
        <v>--</v>
      </c>
      <c r="G12" s="279" t="str">
        <f ca="1">IFERROR(INDEX('Emission Factors'!F$7:F$24,MATCH(OFFSET(Usage!$D11,0,-2),'Emission Factors'!$B$7:$B$45,0))*INDEX(Usage!$M$5:$M$31,MATCH('Outside Emissions'!$C12,Usage!$D$5:$D$31,0)),"--")</f>
        <v>--</v>
      </c>
      <c r="H12" s="279" t="str">
        <f ca="1">IFERROR(INDEX('Emission Factors'!G$7:G$24,MATCH(OFFSET(Usage!$D11,0,-2),'Emission Factors'!$B$7:$B$45,0))*INDEX(Usage!$M$5:$M$31,MATCH('Outside Emissions'!$C12,Usage!$D$5:$D$31,0)),"--")</f>
        <v>--</v>
      </c>
      <c r="I12" s="279">
        <f ca="1">IFERROR(INDEX('Emission Factors'!H$7:H$24,MATCH(OFFSET(Usage!$D11,0,-2),'Emission Factors'!$B$7:$B$45,0))*INDEX(Usage!$M$5:$M$31,MATCH('Outside Emissions'!$C12,Usage!$D$5:$D$31,0)),"--")</f>
        <v>1.5219999999999999E-4</v>
      </c>
      <c r="J12" s="279">
        <f ca="1">IFERROR(INDEX('Emission Factors'!I$7:I$24,MATCH(OFFSET(Usage!$D11,0,-2),'Emission Factors'!$B$7:$B$45,0))*INDEX(Usage!$M$5:$M$31,MATCH('Outside Emissions'!$C12,Usage!$D$5:$D$31,0)),"--")</f>
        <v>1.6019999999999999E-6</v>
      </c>
      <c r="K12" s="279">
        <f ca="1">IFERROR(INDEX('Emission Factors'!J$7:J$24,MATCH(OFFSET(Usage!$D11,0,-2),'Emission Factors'!$B$7:$B$45,0))*INDEX(Usage!$M$5:$M$31,MATCH('Outside Emissions'!$C12,Usage!$D$5:$D$31,0)),"--")</f>
        <v>8.1959999999999995E-7</v>
      </c>
      <c r="L12" s="279">
        <f ca="1">IFERROR(INDEX('Emission Factors'!K$7:K$24,MATCH(OFFSET(Usage!$D11,0,-2),'Emission Factors'!$B$7:$B$45,0))*INDEX(Usage!$M$5:$M$31,MATCH('Outside Emissions'!$C12,Usage!$D$5:$D$31,0)),"--")</f>
        <v>1.9124000000000001E-6</v>
      </c>
      <c r="M12" s="279">
        <f ca="1">IFERROR(INDEX('Emission Factors'!L$7:L$24,MATCH(OFFSET(Usage!$D11,0,-2),'Emission Factors'!$B$7:$B$45,0))*INDEX(Usage!$M$5:$M$31,MATCH('Outside Emissions'!$C12,Usage!$D$5:$D$31,0)),"--")</f>
        <v>1.4206400000000002E-5</v>
      </c>
      <c r="N12" s="279">
        <f ca="1">IFERROR(INDEX('Emission Factors'!M$7:M$24,MATCH(OFFSET(Usage!$D11,0,-2),'Emission Factors'!$B$7:$B$45,0))*INDEX(Usage!$M$5:$M$31,MATCH('Outside Emissions'!$C12,Usage!$D$5:$D$31,0)),"--")</f>
        <v>3.2783999999999998E-8</v>
      </c>
      <c r="O12" s="279" t="str">
        <f ca="1">IFERROR(INDEX('Emission Factors'!N$7:N$24,MATCH(OFFSET(Usage!$D11,0,-2),'Emission Factors'!$B$7:$B$45,0))*INDEX(Usage!$M$5:$M$31,MATCH('Outside Emissions'!$C12,Usage!$D$5:$D$31,0)),"--")</f>
        <v>--</v>
      </c>
      <c r="P12" s="279">
        <f ca="1">IFERROR(INDEX('Emission Factors'!O$7:O$24,MATCH(OFFSET(Usage!$D11,0,-2),'Emission Factors'!$B$7:$B$45,0))*INDEX(Usage!$M$5:$M$31,MATCH('Outside Emissions'!$C12,Usage!$D$5:$D$31,0)),"--")</f>
        <v>1.1102287789248846E-6</v>
      </c>
      <c r="Q12" s="279" t="str">
        <f ca="1">IFERROR(INDEX('Emission Factors'!P$7:P$24,MATCH(OFFSET(Usage!$D11,0,-2),'Emission Factors'!$B$7:$B$45,0))*INDEX(Usage!$M$5:$M$31,MATCH('Outside Emissions'!$C12,Usage!$D$5:$D$31,0)),"--")</f>
        <v>--</v>
      </c>
      <c r="R12" s="280" t="str">
        <f ca="1">IFERROR(INDEX('Emission Factors'!Q$7:Q$24,MATCH(OFFSET(Usage!$D11,0,-2),'Emission Factors'!$B$7:$B$45,0))*INDEX(Usage!$M$5:$M$31,MATCH('Outside Emissions'!$C12,Usage!$D$5:$D$31,0)),"--")</f>
        <v>--</v>
      </c>
      <c r="S12" s="292" t="str">
        <f ca="1">IFERROR(INDEX('Emission Factors'!R$7:R$24,MATCH(OFFSET(Usage!$D11,0,-2),'Emission Factors'!$B$7:$B$45,0))*INDEX(Usage!$M$5:$M$31,MATCH('Outside Emissions'!$C12,Usage!$D$5:$D$31,0)),"--")</f>
        <v>--</v>
      </c>
      <c r="T12" s="292">
        <f ca="1">IFERROR(INDEX('Emission Factors'!S$7:S$24,MATCH(OFFSET(Usage!$D11,0,-2),'Emission Factors'!$B$7:$B$45,0))*INDEX(Usage!$M$5:$M$31,MATCH('Outside Emissions'!$C12,Usage!$D$5:$D$31,0)),"--")</f>
        <v>1.2295281292339758E-6</v>
      </c>
    </row>
    <row r="13" spans="2:20" x14ac:dyDescent="0.25">
      <c r="B13" s="190">
        <v>6010</v>
      </c>
      <c r="C13" s="299" t="s">
        <v>73</v>
      </c>
      <c r="D13" s="309" t="str">
        <f ca="1">IFERROR(INDEX('Emission Factors'!C$7:C$24,MATCH(OFFSET(Usage!$D12,0,-2),'Emission Factors'!$B$7:$B$45,0))*INDEX(Usage!$M$5:$M$31,MATCH('Outside Emissions'!$C13,Usage!$D$5:$D$31,0)),"--")</f>
        <v>--</v>
      </c>
      <c r="E13" s="279" t="str">
        <f ca="1">IFERROR(INDEX('Emission Factors'!D$7:D$24,MATCH(OFFSET(Usage!$D12,0,-2),'Emission Factors'!$B$7:$B$45,0))*INDEX(Usage!$M$5:$M$31,MATCH('Outside Emissions'!$C13,Usage!$D$5:$D$31,0)),"--")</f>
        <v>--</v>
      </c>
      <c r="F13" s="279" t="str">
        <f ca="1">IFERROR(INDEX('Emission Factors'!E$7:E$24,MATCH(OFFSET(Usage!$D12,0,-2),'Emission Factors'!$B$7:$B$45,0))*INDEX(Usage!$M$5:$M$31,MATCH('Outside Emissions'!$C13,Usage!$D$5:$D$31,0)),"--")</f>
        <v>--</v>
      </c>
      <c r="G13" s="279" t="str">
        <f ca="1">IFERROR(INDEX('Emission Factors'!F$7:F$24,MATCH(OFFSET(Usage!$D12,0,-2),'Emission Factors'!$B$7:$B$45,0))*INDEX(Usage!$M$5:$M$31,MATCH('Outside Emissions'!$C13,Usage!$D$5:$D$31,0)),"--")</f>
        <v>--</v>
      </c>
      <c r="H13" s="279" t="str">
        <f ca="1">IFERROR(INDEX('Emission Factors'!G$7:G$24,MATCH(OFFSET(Usage!$D12,0,-2),'Emission Factors'!$B$7:$B$45,0))*INDEX(Usage!$M$5:$M$31,MATCH('Outside Emissions'!$C13,Usage!$D$5:$D$31,0)),"--")</f>
        <v>--</v>
      </c>
      <c r="I13" s="279">
        <f ca="1">IFERROR(INDEX('Emission Factors'!H$7:H$24,MATCH(OFFSET(Usage!$D12,0,-2),'Emission Factors'!$B$7:$B$45,0))*INDEX(Usage!$M$5:$M$31,MATCH('Outside Emissions'!$C13,Usage!$D$5:$D$31,0)),"--")</f>
        <v>3.0000000000000004E-7</v>
      </c>
      <c r="J13" s="279">
        <f ca="1">IFERROR(INDEX('Emission Factors'!I$7:I$24,MATCH(OFFSET(Usage!$D12,0,-2),'Emission Factors'!$B$7:$B$45,0))*INDEX(Usage!$M$5:$M$31,MATCH('Outside Emissions'!$C13,Usage!$D$5:$D$31,0)),"--")</f>
        <v>9.9999999999999995E-8</v>
      </c>
      <c r="K13" s="279" t="str">
        <f ca="1">IFERROR(INDEX('Emission Factors'!J$7:J$24,MATCH(OFFSET(Usage!$D12,0,-2),'Emission Factors'!$B$7:$B$45,0))*INDEX(Usage!$M$5:$M$31,MATCH('Outside Emissions'!$C13,Usage!$D$5:$D$31,0)),"--")</f>
        <v>--</v>
      </c>
      <c r="L13" s="279">
        <f ca="1">IFERROR(INDEX('Emission Factors'!K$7:K$24,MATCH(OFFSET(Usage!$D12,0,-2),'Emission Factors'!$B$7:$B$45,0))*INDEX(Usage!$M$5:$M$31,MATCH('Outside Emissions'!$C13,Usage!$D$5:$D$31,0)),"--")</f>
        <v>9.9099999999999996E-5</v>
      </c>
      <c r="M13" s="279">
        <f ca="1">IFERROR(INDEX('Emission Factors'!L$7:L$24,MATCH(OFFSET(Usage!$D12,0,-2),'Emission Factors'!$B$7:$B$45,0))*INDEX(Usage!$M$5:$M$31,MATCH('Outside Emissions'!$C13,Usage!$D$5:$D$31,0)),"--")</f>
        <v>3.9999999999999998E-7</v>
      </c>
      <c r="N13" s="279" t="str">
        <f ca="1">IFERROR(INDEX('Emission Factors'!M$7:M$24,MATCH(OFFSET(Usage!$D12,0,-2),'Emission Factors'!$B$7:$B$45,0))*INDEX(Usage!$M$5:$M$31,MATCH('Outside Emissions'!$C13,Usage!$D$5:$D$31,0)),"--")</f>
        <v>--</v>
      </c>
      <c r="O13" s="279" t="str">
        <f ca="1">IFERROR(INDEX('Emission Factors'!N$7:N$24,MATCH(OFFSET(Usage!$D12,0,-2),'Emission Factors'!$B$7:$B$45,0))*INDEX(Usage!$M$5:$M$31,MATCH('Outside Emissions'!$C13,Usage!$D$5:$D$31,0)),"--")</f>
        <v>--</v>
      </c>
      <c r="P13" s="279">
        <f ca="1">IFERROR(INDEX('Emission Factors'!O$7:O$24,MATCH(OFFSET(Usage!$D12,0,-2),'Emission Factors'!$B$7:$B$45,0))*INDEX(Usage!$M$5:$M$31,MATCH('Outside Emissions'!$C13,Usage!$D$5:$D$31,0)),"--")</f>
        <v>1.0830347828936589E-5</v>
      </c>
      <c r="Q13" s="279" t="str">
        <f ca="1">IFERROR(INDEX('Emission Factors'!P$7:P$24,MATCH(OFFSET(Usage!$D12,0,-2),'Emission Factors'!$B$7:$B$45,0))*INDEX(Usage!$M$5:$M$31,MATCH('Outside Emissions'!$C13,Usage!$D$5:$D$31,0)),"--")</f>
        <v>--</v>
      </c>
      <c r="R13" s="280" t="str">
        <f ca="1">IFERROR(INDEX('Emission Factors'!Q$7:Q$24,MATCH(OFFSET(Usage!$D12,0,-2),'Emission Factors'!$B$7:$B$45,0))*INDEX(Usage!$M$5:$M$31,MATCH('Outside Emissions'!$C13,Usage!$D$5:$D$31,0)),"--")</f>
        <v>--</v>
      </c>
      <c r="S13" s="292" t="str">
        <f ca="1">IFERROR(INDEX('Emission Factors'!R$7:R$24,MATCH(OFFSET(Usage!$D12,0,-2),'Emission Factors'!$B$7:$B$45,0))*INDEX(Usage!$M$5:$M$31,MATCH('Outside Emissions'!$C13,Usage!$D$5:$D$31,0)),"--")</f>
        <v>--</v>
      </c>
      <c r="T13" s="292" t="str">
        <f ca="1">IFERROR(INDEX('Emission Factors'!S$7:S$24,MATCH(OFFSET(Usage!$D12,0,-2),'Emission Factors'!$B$7:$B$45,0))*INDEX(Usage!$M$5:$M$31,MATCH('Outside Emissions'!$C13,Usage!$D$5:$D$31,0)),"--")</f>
        <v>--</v>
      </c>
    </row>
    <row r="14" spans="2:20" x14ac:dyDescent="0.25">
      <c r="B14" s="190" t="s">
        <v>38</v>
      </c>
      <c r="C14" s="299" t="s">
        <v>75</v>
      </c>
      <c r="D14" s="309" t="str">
        <f ca="1">IFERROR(INDEX('Emission Factors'!C$7:C$24,MATCH(OFFSET(Usage!$D13,0,-2),'Emission Factors'!$B$7:$B$45,0))*INDEX(Usage!$M$5:$M$31,MATCH('Outside Emissions'!$C14,Usage!$D$5:$D$31,0)),"--")</f>
        <v>--</v>
      </c>
      <c r="E14" s="279" t="str">
        <f ca="1">IFERROR(INDEX('Emission Factors'!D$7:D$24,MATCH(OFFSET(Usage!$D13,0,-2),'Emission Factors'!$B$7:$B$45,0))*INDEX(Usage!$M$5:$M$31,MATCH('Outside Emissions'!$C14,Usage!$D$5:$D$31,0)),"--")</f>
        <v>--</v>
      </c>
      <c r="F14" s="279" t="str">
        <f ca="1">IFERROR(INDEX('Emission Factors'!E$7:E$24,MATCH(OFFSET(Usage!$D13,0,-2),'Emission Factors'!$B$7:$B$45,0))*INDEX(Usage!$M$5:$M$31,MATCH('Outside Emissions'!$C14,Usage!$D$5:$D$31,0)),"--")</f>
        <v>--</v>
      </c>
      <c r="G14" s="279" t="str">
        <f ca="1">IFERROR(INDEX('Emission Factors'!F$7:F$24,MATCH(OFFSET(Usage!$D13,0,-2),'Emission Factors'!$B$7:$B$45,0))*INDEX(Usage!$M$5:$M$31,MATCH('Outside Emissions'!$C14,Usage!$D$5:$D$31,0)),"--")</f>
        <v>--</v>
      </c>
      <c r="H14" s="279" t="str">
        <f ca="1">IFERROR(INDEX('Emission Factors'!G$7:G$24,MATCH(OFFSET(Usage!$D13,0,-2),'Emission Factors'!$B$7:$B$45,0))*INDEX(Usage!$M$5:$M$31,MATCH('Outside Emissions'!$C14,Usage!$D$5:$D$31,0)),"--")</f>
        <v>--</v>
      </c>
      <c r="I14" s="279">
        <f ca="1">IFERROR(INDEX('Emission Factors'!H$7:H$24,MATCH(OFFSET(Usage!$D13,0,-2),'Emission Factors'!$B$7:$B$45,0))*INDEX(Usage!$M$5:$M$31,MATCH('Outside Emissions'!$C14,Usage!$D$5:$D$31,0)),"--")</f>
        <v>1.4752800000000002E-6</v>
      </c>
      <c r="J14" s="279">
        <f ca="1">IFERROR(INDEX('Emission Factors'!I$7:I$24,MATCH(OFFSET(Usage!$D13,0,-2),'Emission Factors'!$B$7:$B$45,0))*INDEX(Usage!$M$5:$M$31,MATCH('Outside Emissions'!$C14,Usage!$D$5:$D$31,0)),"--")</f>
        <v>7.3764000000000011E-8</v>
      </c>
      <c r="K14" s="279">
        <f ca="1">IFERROR(INDEX('Emission Factors'!J$7:J$24,MATCH(OFFSET(Usage!$D13,0,-2),'Emission Factors'!$B$7:$B$45,0))*INDEX(Usage!$M$5:$M$31,MATCH('Outside Emissions'!$C14,Usage!$D$5:$D$31,0)),"--")</f>
        <v>5.4640000000000008E-7</v>
      </c>
      <c r="L14" s="279">
        <f ca="1">IFERROR(INDEX('Emission Factors'!K$7:K$24,MATCH(OFFSET(Usage!$D13,0,-2),'Emission Factors'!$B$7:$B$45,0))*INDEX(Usage!$M$5:$M$31,MATCH('Outside Emissions'!$C14,Usage!$D$5:$D$31,0)),"--")</f>
        <v>6.0103999999999999E-7</v>
      </c>
      <c r="M14" s="279">
        <f ca="1">IFERROR(INDEX('Emission Factors'!L$7:L$24,MATCH(OFFSET(Usage!$D13,0,-2),'Emission Factors'!$B$7:$B$45,0))*INDEX(Usage!$M$5:$M$31,MATCH('Outside Emissions'!$C14,Usage!$D$5:$D$31,0)),"--")</f>
        <v>6.5568000000000011E-7</v>
      </c>
      <c r="N14" s="279">
        <f ca="1">IFERROR(INDEX('Emission Factors'!M$7:M$24,MATCH(OFFSET(Usage!$D13,0,-2),'Emission Factors'!$B$7:$B$45,0))*INDEX(Usage!$M$5:$M$31,MATCH('Outside Emissions'!$C14,Usage!$D$5:$D$31,0)),"--")</f>
        <v>4.3712000000000004E-7</v>
      </c>
      <c r="O14" s="279" t="str">
        <f ca="1">IFERROR(INDEX('Emission Factors'!N$7:N$24,MATCH(OFFSET(Usage!$D13,0,-2),'Emission Factors'!$B$7:$B$45,0))*INDEX(Usage!$M$5:$M$31,MATCH('Outside Emissions'!$C14,Usage!$D$5:$D$31,0)),"--")</f>
        <v>--</v>
      </c>
      <c r="P14" s="279">
        <f ca="1">IFERROR(INDEX('Emission Factors'!O$7:O$24,MATCH(OFFSET(Usage!$D13,0,-2),'Emission Factors'!$B$7:$B$45,0))*INDEX(Usage!$M$5:$M$31,MATCH('Outside Emissions'!$C14,Usage!$D$5:$D$31,0)),"--")</f>
        <v>1.2855280598077605E-6</v>
      </c>
      <c r="Q14" s="279" t="str">
        <f ca="1">IFERROR(INDEX('Emission Factors'!P$7:P$24,MATCH(OFFSET(Usage!$D13,0,-2),'Emission Factors'!$B$7:$B$45,0))*INDEX(Usage!$M$5:$M$31,MATCH('Outside Emissions'!$C14,Usage!$D$5:$D$31,0)),"--")</f>
        <v>--</v>
      </c>
      <c r="R14" s="280" t="str">
        <f ca="1">IFERROR(INDEX('Emission Factors'!Q$7:Q$24,MATCH(OFFSET(Usage!$D13,0,-2),'Emission Factors'!$B$7:$B$45,0))*INDEX(Usage!$M$5:$M$31,MATCH('Outside Emissions'!$C14,Usage!$D$5:$D$31,0)),"--")</f>
        <v>--</v>
      </c>
      <c r="S14" s="292" t="str">
        <f ca="1">IFERROR(INDEX('Emission Factors'!R$7:R$24,MATCH(OFFSET(Usage!$D13,0,-2),'Emission Factors'!$B$7:$B$45,0))*INDEX(Usage!$M$5:$M$31,MATCH('Outside Emissions'!$C14,Usage!$D$5:$D$31,0)),"--")</f>
        <v>--</v>
      </c>
      <c r="T14" s="292">
        <f ca="1">IFERROR(INDEX('Emission Factors'!S$7:S$24,MATCH(OFFSET(Usage!$D13,0,-2),'Emission Factors'!$B$7:$B$45,0))*INDEX(Usage!$M$5:$M$31,MATCH('Outside Emissions'!$C14,Usage!$D$5:$D$31,0)),"--")</f>
        <v>8.6066969046378329E-7</v>
      </c>
    </row>
    <row r="15" spans="2:20" x14ac:dyDescent="0.25">
      <c r="B15" s="190" t="s">
        <v>36</v>
      </c>
      <c r="C15" s="299" t="s">
        <v>76</v>
      </c>
      <c r="D15" s="309" t="str">
        <f ca="1">IFERROR(INDEX('Emission Factors'!C$7:C$24,MATCH(OFFSET(Usage!$D14,0,-2),'Emission Factors'!$B$7:$B$45,0))*INDEX(Usage!$M$5:$M$31,MATCH('Outside Emissions'!$C15,Usage!$D$5:$D$31,0)),"--")</f>
        <v>--</v>
      </c>
      <c r="E15" s="279" t="str">
        <f ca="1">IFERROR(INDEX('Emission Factors'!D$7:D$24,MATCH(OFFSET(Usage!$D14,0,-2),'Emission Factors'!$B$7:$B$45,0))*INDEX(Usage!$M$5:$M$31,MATCH('Outside Emissions'!$C15,Usage!$D$5:$D$31,0)),"--")</f>
        <v>--</v>
      </c>
      <c r="F15" s="279" t="str">
        <f ca="1">IFERROR(INDEX('Emission Factors'!E$7:E$24,MATCH(OFFSET(Usage!$D14,0,-2),'Emission Factors'!$B$7:$B$45,0))*INDEX(Usage!$M$5:$M$31,MATCH('Outside Emissions'!$C15,Usage!$D$5:$D$31,0)),"--")</f>
        <v>--</v>
      </c>
      <c r="G15" s="279" t="str">
        <f ca="1">IFERROR(INDEX('Emission Factors'!F$7:F$24,MATCH(OFFSET(Usage!$D14,0,-2),'Emission Factors'!$B$7:$B$45,0))*INDEX(Usage!$M$5:$M$31,MATCH('Outside Emissions'!$C15,Usage!$D$5:$D$31,0)),"--")</f>
        <v>--</v>
      </c>
      <c r="H15" s="279" t="str">
        <f ca="1">IFERROR(INDEX('Emission Factors'!G$7:G$24,MATCH(OFFSET(Usage!$D14,0,-2),'Emission Factors'!$B$7:$B$45,0))*INDEX(Usage!$M$5:$M$31,MATCH('Outside Emissions'!$C15,Usage!$D$5:$D$31,0)),"--")</f>
        <v>--</v>
      </c>
      <c r="I15" s="279">
        <f ca="1">IFERROR(INDEX('Emission Factors'!H$7:H$24,MATCH(OFFSET(Usage!$D14,0,-2),'Emission Factors'!$B$7:$B$45,0))*INDEX(Usage!$M$5:$M$31,MATCH('Outside Emissions'!$C15,Usage!$D$5:$D$31,0)),"--")</f>
        <v>8.0099999999999995E-6</v>
      </c>
      <c r="J15" s="279">
        <f ca="1">IFERROR(INDEX('Emission Factors'!I$7:I$24,MATCH(OFFSET(Usage!$D14,0,-2),'Emission Factors'!$B$7:$B$45,0))*INDEX(Usage!$M$5:$M$31,MATCH('Outside Emissions'!$C15,Usage!$D$5:$D$31,0)),"--")</f>
        <v>4.0999999999999999E-7</v>
      </c>
      <c r="K15" s="279">
        <f ca="1">IFERROR(INDEX('Emission Factors'!J$7:J$24,MATCH(OFFSET(Usage!$D14,0,-2),'Emission Factors'!$B$7:$B$45,0))*INDEX(Usage!$M$5:$M$31,MATCH('Outside Emissions'!$C15,Usage!$D$5:$D$31,0)),"--")</f>
        <v>7.1032000000000002E-7</v>
      </c>
      <c r="L15" s="279">
        <f ca="1">IFERROR(INDEX('Emission Factors'!K$7:K$24,MATCH(OFFSET(Usage!$D14,0,-2),'Emission Factors'!$B$7:$B$45,0))*INDEX(Usage!$M$5:$M$31,MATCH('Outside Emissions'!$C15,Usage!$D$5:$D$31,0)),"--")</f>
        <v>3.18E-5</v>
      </c>
      <c r="M15" s="279">
        <f ca="1">IFERROR(INDEX('Emission Factors'!L$7:L$24,MATCH(OFFSET(Usage!$D14,0,-2),'Emission Factors'!$B$7:$B$45,0))*INDEX(Usage!$M$5:$M$31,MATCH('Outside Emissions'!$C15,Usage!$D$5:$D$31,0)),"--")</f>
        <v>9.9999999999999995E-8</v>
      </c>
      <c r="N15" s="279">
        <f ca="1">IFERROR(INDEX('Emission Factors'!M$7:M$24,MATCH(OFFSET(Usage!$D14,0,-2),'Emission Factors'!$B$7:$B$45,0))*INDEX(Usage!$M$5:$M$31,MATCH('Outside Emissions'!$C15,Usage!$D$5:$D$31,0)),"--")</f>
        <v>3.5516000000000005E-8</v>
      </c>
      <c r="O15" s="279" t="str">
        <f ca="1">IFERROR(INDEX('Emission Factors'!N$7:N$24,MATCH(OFFSET(Usage!$D14,0,-2),'Emission Factors'!$B$7:$B$45,0))*INDEX(Usage!$M$5:$M$31,MATCH('Outside Emissions'!$C15,Usage!$D$5:$D$31,0)),"--")</f>
        <v>--</v>
      </c>
      <c r="P15" s="279">
        <f ca="1">IFERROR(INDEX('Emission Factors'!O$7:O$24,MATCH(OFFSET(Usage!$D14,0,-2),'Emission Factors'!$B$7:$B$45,0))*INDEX(Usage!$M$5:$M$31,MATCH('Outside Emissions'!$C15,Usage!$D$5:$D$31,0)),"--")</f>
        <v>5.1654854766820938E-6</v>
      </c>
      <c r="Q15" s="279">
        <f ca="1">IFERROR(INDEX('Emission Factors'!P$7:P$24,MATCH(OFFSET(Usage!$D14,0,-2),'Emission Factors'!$B$7:$B$45,0))*INDEX(Usage!$M$5:$M$31,MATCH('Outside Emissions'!$C15,Usage!$D$5:$D$31,0)),"--")</f>
        <v>4.2619199999999997E-8</v>
      </c>
      <c r="R15" s="280" t="str">
        <f ca="1">IFERROR(INDEX('Emission Factors'!Q$7:Q$24,MATCH(OFFSET(Usage!$D14,0,-2),'Emission Factors'!$B$7:$B$45,0))*INDEX(Usage!$M$5:$M$31,MATCH('Outside Emissions'!$C15,Usage!$D$5:$D$31,0)),"--")</f>
        <v>--</v>
      </c>
      <c r="S15" s="292" t="str">
        <f ca="1">IFERROR(INDEX('Emission Factors'!R$7:R$24,MATCH(OFFSET(Usage!$D14,0,-2),'Emission Factors'!$B$7:$B$45,0))*INDEX(Usage!$M$5:$M$31,MATCH('Outside Emissions'!$C15,Usage!$D$5:$D$31,0)),"--")</f>
        <v>--</v>
      </c>
      <c r="T15" s="292">
        <f ca="1">IFERROR(INDEX('Emission Factors'!S$7:S$24,MATCH(OFFSET(Usage!$D14,0,-2),'Emission Factors'!$B$7:$B$45,0))*INDEX(Usage!$M$5:$M$31,MATCH('Outside Emissions'!$C15,Usage!$D$5:$D$31,0)),"--")</f>
        <v>3.1967731360083372E-7</v>
      </c>
    </row>
    <row r="16" spans="2:20" x14ac:dyDescent="0.25">
      <c r="B16" s="190" t="s">
        <v>39</v>
      </c>
      <c r="C16" s="299" t="s">
        <v>77</v>
      </c>
      <c r="D16" s="309" t="str">
        <f ca="1">IFERROR(INDEX('Emission Factors'!C$7:C$24,MATCH(OFFSET(Usage!$D15,0,-2),'Emission Factors'!$B$7:$B$45,0))*INDEX(Usage!$M$5:$M$31,MATCH('Outside Emissions'!$C16,Usage!$D$5:$D$31,0)),"--")</f>
        <v>--</v>
      </c>
      <c r="E16" s="279" t="str">
        <f ca="1">IFERROR(INDEX('Emission Factors'!D$7:D$24,MATCH(OFFSET(Usage!$D15,0,-2),'Emission Factors'!$B$7:$B$45,0))*INDEX(Usage!$M$5:$M$31,MATCH('Outside Emissions'!$C16,Usage!$D$5:$D$31,0)),"--")</f>
        <v>--</v>
      </c>
      <c r="F16" s="279" t="str">
        <f ca="1">IFERROR(INDEX('Emission Factors'!E$7:E$24,MATCH(OFFSET(Usage!$D15,0,-2),'Emission Factors'!$B$7:$B$45,0))*INDEX(Usage!$M$5:$M$31,MATCH('Outside Emissions'!$C16,Usage!$D$5:$D$31,0)),"--")</f>
        <v>--</v>
      </c>
      <c r="G16" s="279" t="str">
        <f ca="1">IFERROR(INDEX('Emission Factors'!F$7:F$24,MATCH(OFFSET(Usage!$D15,0,-2),'Emission Factors'!$B$7:$B$45,0))*INDEX(Usage!$M$5:$M$31,MATCH('Outside Emissions'!$C16,Usage!$D$5:$D$31,0)),"--")</f>
        <v>--</v>
      </c>
      <c r="H16" s="279" t="str">
        <f ca="1">IFERROR(INDEX('Emission Factors'!G$7:G$24,MATCH(OFFSET(Usage!$D15,0,-2),'Emission Factors'!$B$7:$B$45,0))*INDEX(Usage!$M$5:$M$31,MATCH('Outside Emissions'!$C16,Usage!$D$5:$D$31,0)),"--")</f>
        <v>--</v>
      </c>
      <c r="I16" s="279">
        <f ca="1">IFERROR(INDEX('Emission Factors'!H$7:H$24,MATCH(OFFSET(Usage!$D15,0,-2),'Emission Factors'!$B$7:$B$45,0))*INDEX(Usage!$M$5:$M$31,MATCH('Outside Emissions'!$C16,Usage!$D$5:$D$31,0)),"--")</f>
        <v>2.7320000000000003E-6</v>
      </c>
      <c r="J16" s="279">
        <f ca="1">IFERROR(INDEX('Emission Factors'!I$7:I$24,MATCH(OFFSET(Usage!$D15,0,-2),'Emission Factors'!$B$7:$B$45,0))*INDEX(Usage!$M$5:$M$31,MATCH('Outside Emissions'!$C16,Usage!$D$5:$D$31,0)),"--")</f>
        <v>1.3660000000000002E-7</v>
      </c>
      <c r="K16" s="279">
        <f ca="1">IFERROR(INDEX('Emission Factors'!J$7:J$24,MATCH(OFFSET(Usage!$D15,0,-2),'Emission Factors'!$B$7:$B$45,0))*INDEX(Usage!$M$5:$M$31,MATCH('Outside Emissions'!$C16,Usage!$D$5:$D$31,0)),"--")</f>
        <v>5.4640000000000008E-7</v>
      </c>
      <c r="L16" s="279">
        <f ca="1">IFERROR(INDEX('Emission Factors'!K$7:K$24,MATCH(OFFSET(Usage!$D15,0,-2),'Emission Factors'!$B$7:$B$45,0))*INDEX(Usage!$M$5:$M$31,MATCH('Outside Emissions'!$C16,Usage!$D$5:$D$31,0)),"--")</f>
        <v>6.0103999999999999E-7</v>
      </c>
      <c r="M16" s="279">
        <f ca="1">IFERROR(INDEX('Emission Factors'!L$7:L$24,MATCH(OFFSET(Usage!$D15,0,-2),'Emission Factors'!$B$7:$B$45,0))*INDEX(Usage!$M$5:$M$31,MATCH('Outside Emissions'!$C16,Usage!$D$5:$D$31,0)),"--")</f>
        <v>6.5568000000000011E-7</v>
      </c>
      <c r="N16" s="279">
        <f ca="1">IFERROR(INDEX('Emission Factors'!M$7:M$24,MATCH(OFFSET(Usage!$D15,0,-2),'Emission Factors'!$B$7:$B$45,0))*INDEX(Usage!$M$5:$M$31,MATCH('Outside Emissions'!$C16,Usage!$D$5:$D$31,0)),"--")</f>
        <v>4.3712000000000004E-7</v>
      </c>
      <c r="O16" s="279" t="str">
        <f ca="1">IFERROR(INDEX('Emission Factors'!N$7:N$24,MATCH(OFFSET(Usage!$D15,0,-2),'Emission Factors'!$B$7:$B$45,0))*INDEX(Usage!$M$5:$M$31,MATCH('Outside Emissions'!$C16,Usage!$D$5:$D$31,0)),"--")</f>
        <v>--</v>
      </c>
      <c r="P16" s="279">
        <f ca="1">IFERROR(INDEX('Emission Factors'!O$7:O$24,MATCH(OFFSET(Usage!$D15,0,-2),'Emission Factors'!$B$7:$B$45,0))*INDEX(Usage!$M$5:$M$31,MATCH('Outside Emissions'!$C16,Usage!$D$5:$D$31,0)),"--")</f>
        <v>1.2855280598077605E-6</v>
      </c>
      <c r="Q16" s="279" t="str">
        <f ca="1">IFERROR(INDEX('Emission Factors'!P$7:P$24,MATCH(OFFSET(Usage!$D15,0,-2),'Emission Factors'!$B$7:$B$45,0))*INDEX(Usage!$M$5:$M$31,MATCH('Outside Emissions'!$C16,Usage!$D$5:$D$31,0)),"--")</f>
        <v>--</v>
      </c>
      <c r="R16" s="280" t="str">
        <f ca="1">IFERROR(INDEX('Emission Factors'!Q$7:Q$24,MATCH(OFFSET(Usage!$D15,0,-2),'Emission Factors'!$B$7:$B$45,0))*INDEX(Usage!$M$5:$M$31,MATCH('Outside Emissions'!$C16,Usage!$D$5:$D$31,0)),"--")</f>
        <v>--</v>
      </c>
      <c r="S16" s="292" t="str">
        <f ca="1">IFERROR(INDEX('Emission Factors'!R$7:R$24,MATCH(OFFSET(Usage!$D15,0,-2),'Emission Factors'!$B$7:$B$45,0))*INDEX(Usage!$M$5:$M$31,MATCH('Outside Emissions'!$C16,Usage!$D$5:$D$31,0)),"--")</f>
        <v>--</v>
      </c>
      <c r="T16" s="292">
        <f ca="1">IFERROR(INDEX('Emission Factors'!S$7:S$24,MATCH(OFFSET(Usage!$D15,0,-2),'Emission Factors'!$B$7:$B$45,0))*INDEX(Usage!$M$5:$M$31,MATCH('Outside Emissions'!$C16,Usage!$D$5:$D$31,0)),"--")</f>
        <v>1.7213393809275666E-6</v>
      </c>
    </row>
    <row r="17" spans="2:20" x14ac:dyDescent="0.25">
      <c r="B17" s="190">
        <v>6010</v>
      </c>
      <c r="C17" s="299" t="s">
        <v>78</v>
      </c>
      <c r="D17" s="309" t="str">
        <f ca="1">IFERROR(INDEX('Emission Factors'!C$7:C$24,MATCH(OFFSET(Usage!$D16,0,-2),'Emission Factors'!$B$7:$B$45,0))*INDEX(Usage!$M$5:$M$31,MATCH('Outside Emissions'!$C17,Usage!$D$5:$D$31,0)),"--")</f>
        <v>--</v>
      </c>
      <c r="E17" s="279" t="str">
        <f ca="1">IFERROR(INDEX('Emission Factors'!D$7:D$24,MATCH(OFFSET(Usage!$D16,0,-2),'Emission Factors'!$B$7:$B$45,0))*INDEX(Usage!$M$5:$M$31,MATCH('Outside Emissions'!$C17,Usage!$D$5:$D$31,0)),"--")</f>
        <v>--</v>
      </c>
      <c r="F17" s="279" t="str">
        <f ca="1">IFERROR(INDEX('Emission Factors'!E$7:E$24,MATCH(OFFSET(Usage!$D16,0,-2),'Emission Factors'!$B$7:$B$45,0))*INDEX(Usage!$M$5:$M$31,MATCH('Outside Emissions'!$C17,Usage!$D$5:$D$31,0)),"--")</f>
        <v>--</v>
      </c>
      <c r="G17" s="279" t="str">
        <f ca="1">IFERROR(INDEX('Emission Factors'!F$7:F$24,MATCH(OFFSET(Usage!$D16,0,-2),'Emission Factors'!$B$7:$B$45,0))*INDEX(Usage!$M$5:$M$31,MATCH('Outside Emissions'!$C17,Usage!$D$5:$D$31,0)),"--")</f>
        <v>--</v>
      </c>
      <c r="H17" s="279" t="str">
        <f ca="1">IFERROR(INDEX('Emission Factors'!G$7:G$24,MATCH(OFFSET(Usage!$D16,0,-2),'Emission Factors'!$B$7:$B$45,0))*INDEX(Usage!$M$5:$M$31,MATCH('Outside Emissions'!$C17,Usage!$D$5:$D$31,0)),"--")</f>
        <v>--</v>
      </c>
      <c r="I17" s="279">
        <f ca="1">IFERROR(INDEX('Emission Factors'!H$7:H$24,MATCH(OFFSET(Usage!$D16,0,-2),'Emission Factors'!$B$7:$B$45,0))*INDEX(Usage!$M$5:$M$31,MATCH('Outside Emissions'!$C17,Usage!$D$5:$D$31,0)),"--")</f>
        <v>3.0000000000000004E-7</v>
      </c>
      <c r="J17" s="279">
        <f ca="1">IFERROR(INDEX('Emission Factors'!I$7:I$24,MATCH(OFFSET(Usage!$D16,0,-2),'Emission Factors'!$B$7:$B$45,0))*INDEX(Usage!$M$5:$M$31,MATCH('Outside Emissions'!$C17,Usage!$D$5:$D$31,0)),"--")</f>
        <v>9.9999999999999995E-8</v>
      </c>
      <c r="K17" s="279" t="str">
        <f ca="1">IFERROR(INDEX('Emission Factors'!J$7:J$24,MATCH(OFFSET(Usage!$D16,0,-2),'Emission Factors'!$B$7:$B$45,0))*INDEX(Usage!$M$5:$M$31,MATCH('Outside Emissions'!$C17,Usage!$D$5:$D$31,0)),"--")</f>
        <v>--</v>
      </c>
      <c r="L17" s="279">
        <f ca="1">IFERROR(INDEX('Emission Factors'!K$7:K$24,MATCH(OFFSET(Usage!$D16,0,-2),'Emission Factors'!$B$7:$B$45,0))*INDEX(Usage!$M$5:$M$31,MATCH('Outside Emissions'!$C17,Usage!$D$5:$D$31,0)),"--")</f>
        <v>9.9099999999999996E-5</v>
      </c>
      <c r="M17" s="279">
        <f ca="1">IFERROR(INDEX('Emission Factors'!L$7:L$24,MATCH(OFFSET(Usage!$D16,0,-2),'Emission Factors'!$B$7:$B$45,0))*INDEX(Usage!$M$5:$M$31,MATCH('Outside Emissions'!$C17,Usage!$D$5:$D$31,0)),"--")</f>
        <v>3.9999999999999998E-7</v>
      </c>
      <c r="N17" s="279" t="str">
        <f ca="1">IFERROR(INDEX('Emission Factors'!M$7:M$24,MATCH(OFFSET(Usage!$D16,0,-2),'Emission Factors'!$B$7:$B$45,0))*INDEX(Usage!$M$5:$M$31,MATCH('Outside Emissions'!$C17,Usage!$D$5:$D$31,0)),"--")</f>
        <v>--</v>
      </c>
      <c r="O17" s="279" t="str">
        <f ca="1">IFERROR(INDEX('Emission Factors'!N$7:N$24,MATCH(OFFSET(Usage!$D16,0,-2),'Emission Factors'!$B$7:$B$45,0))*INDEX(Usage!$M$5:$M$31,MATCH('Outside Emissions'!$C17,Usage!$D$5:$D$31,0)),"--")</f>
        <v>--</v>
      </c>
      <c r="P17" s="279">
        <f ca="1">IFERROR(INDEX('Emission Factors'!O$7:O$24,MATCH(OFFSET(Usage!$D16,0,-2),'Emission Factors'!$B$7:$B$45,0))*INDEX(Usage!$M$5:$M$31,MATCH('Outside Emissions'!$C17,Usage!$D$5:$D$31,0)),"--")</f>
        <v>1.0830347828936589E-5</v>
      </c>
      <c r="Q17" s="279" t="str">
        <f ca="1">IFERROR(INDEX('Emission Factors'!P$7:P$24,MATCH(OFFSET(Usage!$D16,0,-2),'Emission Factors'!$B$7:$B$45,0))*INDEX(Usage!$M$5:$M$31,MATCH('Outside Emissions'!$C17,Usage!$D$5:$D$31,0)),"--")</f>
        <v>--</v>
      </c>
      <c r="R17" s="280" t="str">
        <f ca="1">IFERROR(INDEX('Emission Factors'!Q$7:Q$24,MATCH(OFFSET(Usage!$D16,0,-2),'Emission Factors'!$B$7:$B$45,0))*INDEX(Usage!$M$5:$M$31,MATCH('Outside Emissions'!$C17,Usage!$D$5:$D$31,0)),"--")</f>
        <v>--</v>
      </c>
      <c r="S17" s="292" t="str">
        <f ca="1">IFERROR(INDEX('Emission Factors'!R$7:R$24,MATCH(OFFSET(Usage!$D16,0,-2),'Emission Factors'!$B$7:$B$45,0))*INDEX(Usage!$M$5:$M$31,MATCH('Outside Emissions'!$C17,Usage!$D$5:$D$31,0)),"--")</f>
        <v>--</v>
      </c>
      <c r="T17" s="292" t="str">
        <f ca="1">IFERROR(INDEX('Emission Factors'!S$7:S$24,MATCH(OFFSET(Usage!$D16,0,-2),'Emission Factors'!$B$7:$B$45,0))*INDEX(Usage!$M$5:$M$31,MATCH('Outside Emissions'!$C17,Usage!$D$5:$D$31,0)),"--")</f>
        <v>--</v>
      </c>
    </row>
    <row r="18" spans="2:20" x14ac:dyDescent="0.25">
      <c r="B18" s="190">
        <v>6010</v>
      </c>
      <c r="C18" s="299" t="s">
        <v>79</v>
      </c>
      <c r="D18" s="309" t="str">
        <f ca="1">IFERROR(INDEX('Emission Factors'!C$7:C$24,MATCH(OFFSET(Usage!$D17,0,-2),'Emission Factors'!$B$7:$B$45,0))*INDEX(Usage!$M$5:$M$31,MATCH('Outside Emissions'!$C18,Usage!$D$5:$D$31,0)),"--")</f>
        <v>--</v>
      </c>
      <c r="E18" s="279" t="str">
        <f ca="1">IFERROR(INDEX('Emission Factors'!D$7:D$24,MATCH(OFFSET(Usage!$D17,0,-2),'Emission Factors'!$B$7:$B$45,0))*INDEX(Usage!$M$5:$M$31,MATCH('Outside Emissions'!$C18,Usage!$D$5:$D$31,0)),"--")</f>
        <v>--</v>
      </c>
      <c r="F18" s="279" t="str">
        <f ca="1">IFERROR(INDEX('Emission Factors'!E$7:E$24,MATCH(OFFSET(Usage!$D17,0,-2),'Emission Factors'!$B$7:$B$45,0))*INDEX(Usage!$M$5:$M$31,MATCH('Outside Emissions'!$C18,Usage!$D$5:$D$31,0)),"--")</f>
        <v>--</v>
      </c>
      <c r="G18" s="279" t="str">
        <f ca="1">IFERROR(INDEX('Emission Factors'!F$7:F$24,MATCH(OFFSET(Usage!$D17,0,-2),'Emission Factors'!$B$7:$B$45,0))*INDEX(Usage!$M$5:$M$31,MATCH('Outside Emissions'!$C18,Usage!$D$5:$D$31,0)),"--")</f>
        <v>--</v>
      </c>
      <c r="H18" s="279" t="str">
        <f ca="1">IFERROR(INDEX('Emission Factors'!G$7:G$24,MATCH(OFFSET(Usage!$D17,0,-2),'Emission Factors'!$B$7:$B$45,0))*INDEX(Usage!$M$5:$M$31,MATCH('Outside Emissions'!$C18,Usage!$D$5:$D$31,0)),"--")</f>
        <v>--</v>
      </c>
      <c r="I18" s="279">
        <f ca="1">IFERROR(INDEX('Emission Factors'!H$7:H$24,MATCH(OFFSET(Usage!$D17,0,-2),'Emission Factors'!$B$7:$B$45,0))*INDEX(Usage!$M$5:$M$31,MATCH('Outside Emissions'!$C18,Usage!$D$5:$D$31,0)),"--")</f>
        <v>3.0000000000000004E-7</v>
      </c>
      <c r="J18" s="279">
        <f ca="1">IFERROR(INDEX('Emission Factors'!I$7:I$24,MATCH(OFFSET(Usage!$D17,0,-2),'Emission Factors'!$B$7:$B$45,0))*INDEX(Usage!$M$5:$M$31,MATCH('Outside Emissions'!$C18,Usage!$D$5:$D$31,0)),"--")</f>
        <v>9.9999999999999995E-8</v>
      </c>
      <c r="K18" s="279" t="str">
        <f ca="1">IFERROR(INDEX('Emission Factors'!J$7:J$24,MATCH(OFFSET(Usage!$D17,0,-2),'Emission Factors'!$B$7:$B$45,0))*INDEX(Usage!$M$5:$M$31,MATCH('Outside Emissions'!$C18,Usage!$D$5:$D$31,0)),"--")</f>
        <v>--</v>
      </c>
      <c r="L18" s="279">
        <f ca="1">IFERROR(INDEX('Emission Factors'!K$7:K$24,MATCH(OFFSET(Usage!$D17,0,-2),'Emission Factors'!$B$7:$B$45,0))*INDEX(Usage!$M$5:$M$31,MATCH('Outside Emissions'!$C18,Usage!$D$5:$D$31,0)),"--")</f>
        <v>9.9099999999999996E-5</v>
      </c>
      <c r="M18" s="279">
        <f ca="1">IFERROR(INDEX('Emission Factors'!L$7:L$24,MATCH(OFFSET(Usage!$D17,0,-2),'Emission Factors'!$B$7:$B$45,0))*INDEX(Usage!$M$5:$M$31,MATCH('Outside Emissions'!$C18,Usage!$D$5:$D$31,0)),"--")</f>
        <v>3.9999999999999998E-7</v>
      </c>
      <c r="N18" s="279" t="str">
        <f ca="1">IFERROR(INDEX('Emission Factors'!M$7:M$24,MATCH(OFFSET(Usage!$D17,0,-2),'Emission Factors'!$B$7:$B$45,0))*INDEX(Usage!$M$5:$M$31,MATCH('Outside Emissions'!$C18,Usage!$D$5:$D$31,0)),"--")</f>
        <v>--</v>
      </c>
      <c r="O18" s="279" t="str">
        <f ca="1">IFERROR(INDEX('Emission Factors'!N$7:N$24,MATCH(OFFSET(Usage!$D17,0,-2),'Emission Factors'!$B$7:$B$45,0))*INDEX(Usage!$M$5:$M$31,MATCH('Outside Emissions'!$C18,Usage!$D$5:$D$31,0)),"--")</f>
        <v>--</v>
      </c>
      <c r="P18" s="279">
        <f ca="1">IFERROR(INDEX('Emission Factors'!O$7:O$24,MATCH(OFFSET(Usage!$D17,0,-2),'Emission Factors'!$B$7:$B$45,0))*INDEX(Usage!$M$5:$M$31,MATCH('Outside Emissions'!$C18,Usage!$D$5:$D$31,0)),"--")</f>
        <v>1.0830347828936589E-5</v>
      </c>
      <c r="Q18" s="279" t="str">
        <f ca="1">IFERROR(INDEX('Emission Factors'!P$7:P$24,MATCH(OFFSET(Usage!$D17,0,-2),'Emission Factors'!$B$7:$B$45,0))*INDEX(Usage!$M$5:$M$31,MATCH('Outside Emissions'!$C18,Usage!$D$5:$D$31,0)),"--")</f>
        <v>--</v>
      </c>
      <c r="R18" s="280" t="str">
        <f ca="1">IFERROR(INDEX('Emission Factors'!Q$7:Q$24,MATCH(OFFSET(Usage!$D17,0,-2),'Emission Factors'!$B$7:$B$45,0))*INDEX(Usage!$M$5:$M$31,MATCH('Outside Emissions'!$C18,Usage!$D$5:$D$31,0)),"--")</f>
        <v>--</v>
      </c>
      <c r="S18" s="292" t="str">
        <f ca="1">IFERROR(INDEX('Emission Factors'!R$7:R$24,MATCH(OFFSET(Usage!$D17,0,-2),'Emission Factors'!$B$7:$B$45,0))*INDEX(Usage!$M$5:$M$31,MATCH('Outside Emissions'!$C18,Usage!$D$5:$D$31,0)),"--")</f>
        <v>--</v>
      </c>
      <c r="T18" s="292" t="str">
        <f ca="1">IFERROR(INDEX('Emission Factors'!S$7:S$24,MATCH(OFFSET(Usage!$D17,0,-2),'Emission Factors'!$B$7:$B$45,0))*INDEX(Usage!$M$5:$M$31,MATCH('Outside Emissions'!$C18,Usage!$D$5:$D$31,0)),"--")</f>
        <v>--</v>
      </c>
    </row>
    <row r="19" spans="2:20" x14ac:dyDescent="0.25">
      <c r="B19" s="190">
        <v>6010</v>
      </c>
      <c r="C19" s="299" t="s">
        <v>80</v>
      </c>
      <c r="D19" s="309" t="str">
        <f ca="1">IFERROR(INDEX('Emission Factors'!C$7:C$24,MATCH(OFFSET(Usage!$D18,0,-2),'Emission Factors'!$B$7:$B$45,0))*INDEX(Usage!$M$5:$M$31,MATCH('Outside Emissions'!$C19,Usage!$D$5:$D$31,0)),"--")</f>
        <v>--</v>
      </c>
      <c r="E19" s="279" t="str">
        <f ca="1">IFERROR(INDEX('Emission Factors'!D$7:D$24,MATCH(OFFSET(Usage!$D18,0,-2),'Emission Factors'!$B$7:$B$45,0))*INDEX(Usage!$M$5:$M$31,MATCH('Outside Emissions'!$C19,Usage!$D$5:$D$31,0)),"--")</f>
        <v>--</v>
      </c>
      <c r="F19" s="279" t="str">
        <f ca="1">IFERROR(INDEX('Emission Factors'!E$7:E$24,MATCH(OFFSET(Usage!$D18,0,-2),'Emission Factors'!$B$7:$B$45,0))*INDEX(Usage!$M$5:$M$31,MATCH('Outside Emissions'!$C19,Usage!$D$5:$D$31,0)),"--")</f>
        <v>--</v>
      </c>
      <c r="G19" s="279" t="str">
        <f ca="1">IFERROR(INDEX('Emission Factors'!F$7:F$24,MATCH(OFFSET(Usage!$D18,0,-2),'Emission Factors'!$B$7:$B$45,0))*INDEX(Usage!$M$5:$M$31,MATCH('Outside Emissions'!$C19,Usage!$D$5:$D$31,0)),"--")</f>
        <v>--</v>
      </c>
      <c r="H19" s="279" t="str">
        <f ca="1">IFERROR(INDEX('Emission Factors'!G$7:G$24,MATCH(OFFSET(Usage!$D18,0,-2),'Emission Factors'!$B$7:$B$45,0))*INDEX(Usage!$M$5:$M$31,MATCH('Outside Emissions'!$C19,Usage!$D$5:$D$31,0)),"--")</f>
        <v>--</v>
      </c>
      <c r="I19" s="279">
        <f ca="1">IFERROR(INDEX('Emission Factors'!H$7:H$24,MATCH(OFFSET(Usage!$D18,0,-2),'Emission Factors'!$B$7:$B$45,0))*INDEX(Usage!$M$5:$M$31,MATCH('Outside Emissions'!$C19,Usage!$D$5:$D$31,0)),"--")</f>
        <v>3.0000000000000004E-7</v>
      </c>
      <c r="J19" s="279">
        <f ca="1">IFERROR(INDEX('Emission Factors'!I$7:I$24,MATCH(OFFSET(Usage!$D18,0,-2),'Emission Factors'!$B$7:$B$45,0))*INDEX(Usage!$M$5:$M$31,MATCH('Outside Emissions'!$C19,Usage!$D$5:$D$31,0)),"--")</f>
        <v>9.9999999999999995E-8</v>
      </c>
      <c r="K19" s="279" t="str">
        <f ca="1">IFERROR(INDEX('Emission Factors'!J$7:J$24,MATCH(OFFSET(Usage!$D18,0,-2),'Emission Factors'!$B$7:$B$45,0))*INDEX(Usage!$M$5:$M$31,MATCH('Outside Emissions'!$C19,Usage!$D$5:$D$31,0)),"--")</f>
        <v>--</v>
      </c>
      <c r="L19" s="279">
        <f ca="1">IFERROR(INDEX('Emission Factors'!K$7:K$24,MATCH(OFFSET(Usage!$D18,0,-2),'Emission Factors'!$B$7:$B$45,0))*INDEX(Usage!$M$5:$M$31,MATCH('Outside Emissions'!$C19,Usage!$D$5:$D$31,0)),"--")</f>
        <v>9.9099999999999996E-5</v>
      </c>
      <c r="M19" s="279">
        <f ca="1">IFERROR(INDEX('Emission Factors'!L$7:L$24,MATCH(OFFSET(Usage!$D18,0,-2),'Emission Factors'!$B$7:$B$45,0))*INDEX(Usage!$M$5:$M$31,MATCH('Outside Emissions'!$C19,Usage!$D$5:$D$31,0)),"--")</f>
        <v>3.9999999999999998E-7</v>
      </c>
      <c r="N19" s="279" t="str">
        <f ca="1">IFERROR(INDEX('Emission Factors'!M$7:M$24,MATCH(OFFSET(Usage!$D18,0,-2),'Emission Factors'!$B$7:$B$45,0))*INDEX(Usage!$M$5:$M$31,MATCH('Outside Emissions'!$C19,Usage!$D$5:$D$31,0)),"--")</f>
        <v>--</v>
      </c>
      <c r="O19" s="279" t="str">
        <f ca="1">IFERROR(INDEX('Emission Factors'!N$7:N$24,MATCH(OFFSET(Usage!$D18,0,-2),'Emission Factors'!$B$7:$B$45,0))*INDEX(Usage!$M$5:$M$31,MATCH('Outside Emissions'!$C19,Usage!$D$5:$D$31,0)),"--")</f>
        <v>--</v>
      </c>
      <c r="P19" s="279">
        <f ca="1">IFERROR(INDEX('Emission Factors'!O$7:O$24,MATCH(OFFSET(Usage!$D18,0,-2),'Emission Factors'!$B$7:$B$45,0))*INDEX(Usage!$M$5:$M$31,MATCH('Outside Emissions'!$C19,Usage!$D$5:$D$31,0)),"--")</f>
        <v>1.0830347828936589E-5</v>
      </c>
      <c r="Q19" s="279" t="str">
        <f ca="1">IFERROR(INDEX('Emission Factors'!P$7:P$24,MATCH(OFFSET(Usage!$D18,0,-2),'Emission Factors'!$B$7:$B$45,0))*INDEX(Usage!$M$5:$M$31,MATCH('Outside Emissions'!$C19,Usage!$D$5:$D$31,0)),"--")</f>
        <v>--</v>
      </c>
      <c r="R19" s="280" t="str">
        <f ca="1">IFERROR(INDEX('Emission Factors'!Q$7:Q$24,MATCH(OFFSET(Usage!$D18,0,-2),'Emission Factors'!$B$7:$B$45,0))*INDEX(Usage!$M$5:$M$31,MATCH('Outside Emissions'!$C19,Usage!$D$5:$D$31,0)),"--")</f>
        <v>--</v>
      </c>
      <c r="S19" s="292" t="str">
        <f ca="1">IFERROR(INDEX('Emission Factors'!R$7:R$24,MATCH(OFFSET(Usage!$D18,0,-2),'Emission Factors'!$B$7:$B$45,0))*INDEX(Usage!$M$5:$M$31,MATCH('Outside Emissions'!$C19,Usage!$D$5:$D$31,0)),"--")</f>
        <v>--</v>
      </c>
      <c r="T19" s="292" t="str">
        <f ca="1">IFERROR(INDEX('Emission Factors'!S$7:S$24,MATCH(OFFSET(Usage!$D18,0,-2),'Emission Factors'!$B$7:$B$45,0))*INDEX(Usage!$M$5:$M$31,MATCH('Outside Emissions'!$C19,Usage!$D$5:$D$31,0)),"--")</f>
        <v>--</v>
      </c>
    </row>
    <row r="20" spans="2:20" x14ac:dyDescent="0.25">
      <c r="B20" s="190">
        <v>6011</v>
      </c>
      <c r="C20" s="299" t="s">
        <v>81</v>
      </c>
      <c r="D20" s="309" t="str">
        <f ca="1">IFERROR(INDEX('Emission Factors'!C$7:C$24,MATCH(OFFSET(Usage!$D19,0,-2),'Emission Factors'!$B$7:$B$45,0))*INDEX(Usage!$M$5:$M$31,MATCH('Outside Emissions'!$C20,Usage!$D$5:$D$31,0)),"--")</f>
        <v>--</v>
      </c>
      <c r="E20" s="279" t="str">
        <f ca="1">IFERROR(INDEX('Emission Factors'!D$7:D$24,MATCH(OFFSET(Usage!$D19,0,-2),'Emission Factors'!$B$7:$B$45,0))*INDEX(Usage!$M$5:$M$31,MATCH('Outside Emissions'!$C20,Usage!$D$5:$D$31,0)),"--")</f>
        <v>--</v>
      </c>
      <c r="F20" s="279" t="str">
        <f ca="1">IFERROR(INDEX('Emission Factors'!E$7:E$24,MATCH(OFFSET(Usage!$D19,0,-2),'Emission Factors'!$B$7:$B$45,0))*INDEX(Usage!$M$5:$M$31,MATCH('Outside Emissions'!$C20,Usage!$D$5:$D$31,0)),"--")</f>
        <v>--</v>
      </c>
      <c r="G20" s="279" t="str">
        <f ca="1">IFERROR(INDEX('Emission Factors'!F$7:F$24,MATCH(OFFSET(Usage!$D19,0,-2),'Emission Factors'!$B$7:$B$45,0))*INDEX(Usage!$M$5:$M$31,MATCH('Outside Emissions'!$C20,Usage!$D$5:$D$31,0)),"--")</f>
        <v>--</v>
      </c>
      <c r="H20" s="279">
        <f ca="1">IFERROR(INDEX('Emission Factors'!G$7:G$24,MATCH(OFFSET(Usage!$D19,0,-2),'Emission Factors'!$B$7:$B$45,0))*INDEX(Usage!$M$5:$M$31,MATCH('Outside Emissions'!$C20,Usage!$D$5:$D$31,0)),"--")</f>
        <v>4.9999999999999998E-8</v>
      </c>
      <c r="I20" s="279">
        <f ca="1">IFERROR(INDEX('Emission Factors'!H$7:H$24,MATCH(OFFSET(Usage!$D19,0,-2),'Emission Factors'!$B$7:$B$45,0))*INDEX(Usage!$M$5:$M$31,MATCH('Outside Emissions'!$C20,Usage!$D$5:$D$31,0)),"--")</f>
        <v>2.5000000000000004E-7</v>
      </c>
      <c r="J20" s="279">
        <f ca="1">IFERROR(INDEX('Emission Factors'!I$7:I$24,MATCH(OFFSET(Usage!$D19,0,-2),'Emission Factors'!$B$7:$B$45,0))*INDEX(Usage!$M$5:$M$31,MATCH('Outside Emissions'!$C20,Usage!$D$5:$D$31,0)),"--")</f>
        <v>1.3750000000000001E-7</v>
      </c>
      <c r="K20" s="279" t="str">
        <f ca="1">IFERROR(INDEX('Emission Factors'!J$7:J$24,MATCH(OFFSET(Usage!$D19,0,-2),'Emission Factors'!$B$7:$B$45,0))*INDEX(Usage!$M$5:$M$31,MATCH('Outside Emissions'!$C20,Usage!$D$5:$D$31,0)),"--")</f>
        <v>--</v>
      </c>
      <c r="L20" s="279">
        <f ca="1">IFERROR(INDEX('Emission Factors'!K$7:K$24,MATCH(OFFSET(Usage!$D19,0,-2),'Emission Factors'!$B$7:$B$45,0))*INDEX(Usage!$M$5:$M$31,MATCH('Outside Emissions'!$C20,Usage!$D$5:$D$31,0)),"--")</f>
        <v>4.99E-5</v>
      </c>
      <c r="M20" s="279">
        <f ca="1">IFERROR(INDEX('Emission Factors'!L$7:L$24,MATCH(OFFSET(Usage!$D19,0,-2),'Emission Factors'!$B$7:$B$45,0))*INDEX(Usage!$M$5:$M$31,MATCH('Outside Emissions'!$C20,Usage!$D$5:$D$31,0)),"--")</f>
        <v>2.5000000000000004E-7</v>
      </c>
      <c r="N20" s="279" t="str">
        <f ca="1">IFERROR(INDEX('Emission Factors'!M$7:M$24,MATCH(OFFSET(Usage!$D19,0,-2),'Emission Factors'!$B$7:$B$45,0))*INDEX(Usage!$M$5:$M$31,MATCH('Outside Emissions'!$C20,Usage!$D$5:$D$31,0)),"--")</f>
        <v>--</v>
      </c>
      <c r="O20" s="279" t="str">
        <f ca="1">IFERROR(INDEX('Emission Factors'!N$7:N$24,MATCH(OFFSET(Usage!$D19,0,-2),'Emission Factors'!$B$7:$B$45,0))*INDEX(Usage!$M$5:$M$31,MATCH('Outside Emissions'!$C20,Usage!$D$5:$D$31,0)),"--")</f>
        <v>--</v>
      </c>
      <c r="P20" s="279">
        <f ca="1">IFERROR(INDEX('Emission Factors'!O$7:O$24,MATCH(OFFSET(Usage!$D19,0,-2),'Emission Factors'!$B$7:$B$45,0))*INDEX(Usage!$M$5:$M$31,MATCH('Outside Emissions'!$C20,Usage!$D$5:$D$31,0)),"--")</f>
        <v>3.0254399999999993E-6</v>
      </c>
      <c r="Q20" s="279" t="str">
        <f ca="1">IFERROR(INDEX('Emission Factors'!P$7:P$24,MATCH(OFFSET(Usage!$D19,0,-2),'Emission Factors'!$B$7:$B$45,0))*INDEX(Usage!$M$5:$M$31,MATCH('Outside Emissions'!$C20,Usage!$D$5:$D$31,0)),"--")</f>
        <v>--</v>
      </c>
      <c r="R20" s="280" t="str">
        <f ca="1">IFERROR(INDEX('Emission Factors'!Q$7:Q$24,MATCH(OFFSET(Usage!$D19,0,-2),'Emission Factors'!$B$7:$B$45,0))*INDEX(Usage!$M$5:$M$31,MATCH('Outside Emissions'!$C20,Usage!$D$5:$D$31,0)),"--")</f>
        <v>--</v>
      </c>
      <c r="S20" s="292" t="str">
        <f ca="1">IFERROR(INDEX('Emission Factors'!R$7:R$24,MATCH(OFFSET(Usage!$D19,0,-2),'Emission Factors'!$B$7:$B$45,0))*INDEX(Usage!$M$5:$M$31,MATCH('Outside Emissions'!$C20,Usage!$D$5:$D$31,0)),"--")</f>
        <v>--</v>
      </c>
      <c r="T20" s="292" t="str">
        <f ca="1">IFERROR(INDEX('Emission Factors'!S$7:S$24,MATCH(OFFSET(Usage!$D19,0,-2),'Emission Factors'!$B$7:$B$45,0))*INDEX(Usage!$M$5:$M$31,MATCH('Outside Emissions'!$C20,Usage!$D$5:$D$31,0)),"--")</f>
        <v>--</v>
      </c>
    </row>
    <row r="21" spans="2:20" x14ac:dyDescent="0.25">
      <c r="B21" s="190" t="s">
        <v>45</v>
      </c>
      <c r="C21" s="299" t="s">
        <v>82</v>
      </c>
      <c r="D21" s="309" t="str">
        <f ca="1">IFERROR(INDEX('Emission Factors'!C$7:C$24,MATCH(OFFSET(Usage!$D20,0,-2),'Emission Factors'!$B$7:$B$45,0))*INDEX(Usage!$M$5:$M$31,MATCH('Outside Emissions'!$C21,Usage!$D$5:$D$31,0)),"--")</f>
        <v>--</v>
      </c>
      <c r="E21" s="279">
        <f ca="1">IFERROR(INDEX('Emission Factors'!D$7:D$24,MATCH(OFFSET(Usage!$D20,0,-2),'Emission Factors'!$B$7:$B$45,0))*INDEX(Usage!$M$5:$M$31,MATCH('Outside Emissions'!$C21,Usage!$D$5:$D$31,0)),"--")</f>
        <v>3.3357187132208708E-7</v>
      </c>
      <c r="F21" s="279" t="str">
        <f ca="1">IFERROR(INDEX('Emission Factors'!E$7:E$24,MATCH(OFFSET(Usage!$D20,0,-2),'Emission Factors'!$B$7:$B$45,0))*INDEX(Usage!$M$5:$M$31,MATCH('Outside Emissions'!$C21,Usage!$D$5:$D$31,0)),"--")</f>
        <v>--</v>
      </c>
      <c r="G21" s="279" t="str">
        <f ca="1">IFERROR(INDEX('Emission Factors'!F$7:F$24,MATCH(OFFSET(Usage!$D20,0,-2),'Emission Factors'!$B$7:$B$45,0))*INDEX(Usage!$M$5:$M$31,MATCH('Outside Emissions'!$C21,Usage!$D$5:$D$31,0)),"--")</f>
        <v>--</v>
      </c>
      <c r="H21" s="279" t="str">
        <f ca="1">IFERROR(INDEX('Emission Factors'!G$7:G$24,MATCH(OFFSET(Usage!$D20,0,-2),'Emission Factors'!$B$7:$B$45,0))*INDEX(Usage!$M$5:$M$31,MATCH('Outside Emissions'!$C21,Usage!$D$5:$D$31,0)),"--")</f>
        <v>--</v>
      </c>
      <c r="I21" s="279">
        <f ca="1">IFERROR(INDEX('Emission Factors'!H$7:H$24,MATCH(OFFSET(Usage!$D20,0,-2),'Emission Factors'!$B$7:$B$45,0))*INDEX(Usage!$M$5:$M$31,MATCH('Outside Emissions'!$C21,Usage!$D$5:$D$31,0)),"--")</f>
        <v>4.0110000000000001E-5</v>
      </c>
      <c r="J21" s="279">
        <f ca="1">IFERROR(INDEX('Emission Factors'!I$7:I$24,MATCH(OFFSET(Usage!$D20,0,-2),'Emission Factors'!$B$7:$B$45,0))*INDEX(Usage!$M$5:$M$31,MATCH('Outside Emissions'!$C21,Usage!$D$5:$D$31,0)),"--")</f>
        <v>2.2060500000000003E-5</v>
      </c>
      <c r="K21" s="279" t="str">
        <f ca="1">IFERROR(INDEX('Emission Factors'!J$7:J$24,MATCH(OFFSET(Usage!$D20,0,-2),'Emission Factors'!$B$7:$B$45,0))*INDEX(Usage!$M$5:$M$31,MATCH('Outside Emissions'!$C21,Usage!$D$5:$D$31,0)),"--")</f>
        <v>--</v>
      </c>
      <c r="L21" s="279">
        <f ca="1">IFERROR(INDEX('Emission Factors'!K$7:K$24,MATCH(OFFSET(Usage!$D20,0,-2),'Emission Factors'!$B$7:$B$45,0))*INDEX(Usage!$M$5:$M$31,MATCH('Outside Emissions'!$C21,Usage!$D$5:$D$31,0)),"--")</f>
        <v>3.4379999999999999E-6</v>
      </c>
      <c r="M21" s="279">
        <f ca="1">IFERROR(INDEX('Emission Factors'!L$7:L$24,MATCH(OFFSET(Usage!$D20,0,-2),'Emission Factors'!$B$7:$B$45,0))*INDEX(Usage!$M$5:$M$31,MATCH('Outside Emissions'!$C21,Usage!$D$5:$D$31,0)),"--")</f>
        <v>6.3030000000000003E-7</v>
      </c>
      <c r="N21" s="279" t="str">
        <f ca="1">IFERROR(INDEX('Emission Factors'!M$7:M$24,MATCH(OFFSET(Usage!$D20,0,-2),'Emission Factors'!$B$7:$B$45,0))*INDEX(Usage!$M$5:$M$31,MATCH('Outside Emissions'!$C21,Usage!$D$5:$D$31,0)),"--")</f>
        <v>--</v>
      </c>
      <c r="O21" s="279" t="str">
        <f ca="1">IFERROR(INDEX('Emission Factors'!N$7:N$24,MATCH(OFFSET(Usage!$D20,0,-2),'Emission Factors'!$B$7:$B$45,0))*INDEX(Usage!$M$5:$M$31,MATCH('Outside Emissions'!$C21,Usage!$D$5:$D$31,0)),"--")</f>
        <v>--</v>
      </c>
      <c r="P21" s="279">
        <f ca="1">IFERROR(INDEX('Emission Factors'!O$7:O$24,MATCH(OFFSET(Usage!$D20,0,-2),'Emission Factors'!$B$7:$B$45,0))*INDEX(Usage!$M$5:$M$31,MATCH('Outside Emissions'!$C21,Usage!$D$5:$D$31,0)),"--")</f>
        <v>1.3481105019579919E-6</v>
      </c>
      <c r="Q21" s="279">
        <f ca="1">IFERROR(INDEX('Emission Factors'!P$7:P$24,MATCH(OFFSET(Usage!$D20,0,-2),'Emission Factors'!$B$7:$B$45,0))*INDEX(Usage!$M$5:$M$31,MATCH('Outside Emissions'!$C21,Usage!$D$5:$D$31,0)),"--")</f>
        <v>6.3030000000000003E-7</v>
      </c>
      <c r="R21" s="280" t="str">
        <f ca="1">IFERROR(INDEX('Emission Factors'!Q$7:Q$24,MATCH(OFFSET(Usage!$D20,0,-2),'Emission Factors'!$B$7:$B$45,0))*INDEX(Usage!$M$5:$M$31,MATCH('Outside Emissions'!$C21,Usage!$D$5:$D$31,0)),"--")</f>
        <v>--</v>
      </c>
      <c r="S21" s="292">
        <f ca="1">IFERROR(INDEX('Emission Factors'!R$7:R$24,MATCH(OFFSET(Usage!$D20,0,-2),'Emission Factors'!$B$7:$B$45,0))*INDEX(Usage!$M$5:$M$31,MATCH('Outside Emissions'!$C21,Usage!$D$5:$D$31,0)),"--")</f>
        <v>0</v>
      </c>
      <c r="T21" s="292">
        <f ca="1">IFERROR(INDEX('Emission Factors'!S$7:S$24,MATCH(OFFSET(Usage!$D20,0,-2),'Emission Factors'!$B$7:$B$45,0))*INDEX(Usage!$M$5:$M$31,MATCH('Outside Emissions'!$C21,Usage!$D$5:$D$31,0)),"--")</f>
        <v>5.1575374674309532E-6</v>
      </c>
    </row>
    <row r="22" spans="2:20" x14ac:dyDescent="0.25">
      <c r="B22" s="190" t="s">
        <v>49</v>
      </c>
      <c r="C22" s="299" t="s">
        <v>83</v>
      </c>
      <c r="D22" s="309">
        <f ca="1">IFERROR(INDEX('Emission Factors'!C$7:C$24,MATCH(OFFSET(Usage!$D21,0,-2),'Emission Factors'!$B$7:$B$45,0))*INDEX(Usage!$M$5:$M$31,MATCH('Outside Emissions'!$C22,Usage!$D$5:$D$31,0)),"--")</f>
        <v>3.0287089401162412E-7</v>
      </c>
      <c r="E22" s="279" t="str">
        <f ca="1">IFERROR(INDEX('Emission Factors'!D$7:D$24,MATCH(OFFSET(Usage!$D21,0,-2),'Emission Factors'!$B$7:$B$45,0))*INDEX(Usage!$M$5:$M$31,MATCH('Outside Emissions'!$C22,Usage!$D$5:$D$31,0)),"--")</f>
        <v>--</v>
      </c>
      <c r="F22" s="279" t="str">
        <f ca="1">IFERROR(INDEX('Emission Factors'!E$7:E$24,MATCH(OFFSET(Usage!$D21,0,-2),'Emission Factors'!$B$7:$B$45,0))*INDEX(Usage!$M$5:$M$31,MATCH('Outside Emissions'!$C22,Usage!$D$5:$D$31,0)),"--")</f>
        <v>--</v>
      </c>
      <c r="G22" s="279" t="str">
        <f ca="1">IFERROR(INDEX('Emission Factors'!F$7:F$24,MATCH(OFFSET(Usage!$D21,0,-2),'Emission Factors'!$B$7:$B$45,0))*INDEX(Usage!$M$5:$M$31,MATCH('Outside Emissions'!$C22,Usage!$D$5:$D$31,0)),"--")</f>
        <v>--</v>
      </c>
      <c r="H22" s="279" t="str">
        <f ca="1">IFERROR(INDEX('Emission Factors'!G$7:G$24,MATCH(OFFSET(Usage!$D21,0,-2),'Emission Factors'!$B$7:$B$45,0))*INDEX(Usage!$M$5:$M$31,MATCH('Outside Emissions'!$C22,Usage!$D$5:$D$31,0)),"--")</f>
        <v>--</v>
      </c>
      <c r="I22" s="279">
        <f ca="1">IFERROR(INDEX('Emission Factors'!H$7:H$24,MATCH(OFFSET(Usage!$D21,0,-2),'Emission Factors'!$B$7:$B$45,0))*INDEX(Usage!$M$5:$M$31,MATCH('Outside Emissions'!$C22,Usage!$D$5:$D$31,0)),"--")</f>
        <v>3.1515000000000006E-5</v>
      </c>
      <c r="J22" s="279">
        <f ca="1">IFERROR(INDEX('Emission Factors'!I$7:I$24,MATCH(OFFSET(Usage!$D21,0,-2),'Emission Factors'!$B$7:$B$45,0))*INDEX(Usage!$M$5:$M$31,MATCH('Outside Emissions'!$C22,Usage!$D$5:$D$31,0)),"--")</f>
        <v>1.7333250000000002E-5</v>
      </c>
      <c r="K22" s="279" t="str">
        <f ca="1">IFERROR(INDEX('Emission Factors'!J$7:J$24,MATCH(OFFSET(Usage!$D21,0,-2),'Emission Factors'!$B$7:$B$45,0))*INDEX(Usage!$M$5:$M$31,MATCH('Outside Emissions'!$C22,Usage!$D$5:$D$31,0)),"--")</f>
        <v>--</v>
      </c>
      <c r="L22" s="279">
        <f ca="1">IFERROR(INDEX('Emission Factors'!K$7:K$24,MATCH(OFFSET(Usage!$D21,0,-2),'Emission Factors'!$B$7:$B$45,0))*INDEX(Usage!$M$5:$M$31,MATCH('Outside Emissions'!$C22,Usage!$D$5:$D$31,0)),"--")</f>
        <v>6.3030000000000003E-7</v>
      </c>
      <c r="M22" s="279">
        <f ca="1">IFERROR(INDEX('Emission Factors'!L$7:L$24,MATCH(OFFSET(Usage!$D21,0,-2),'Emission Factors'!$B$7:$B$45,0))*INDEX(Usage!$M$5:$M$31,MATCH('Outside Emissions'!$C22,Usage!$D$5:$D$31,0)),"--")</f>
        <v>1.1460000000000002E-5</v>
      </c>
      <c r="N22" s="279" t="str">
        <f ca="1">IFERROR(INDEX('Emission Factors'!M$7:M$24,MATCH(OFFSET(Usage!$D21,0,-2),'Emission Factors'!$B$7:$B$45,0))*INDEX(Usage!$M$5:$M$31,MATCH('Outside Emissions'!$C22,Usage!$D$5:$D$31,0)),"--")</f>
        <v>--</v>
      </c>
      <c r="O22" s="279" t="str">
        <f ca="1">IFERROR(INDEX('Emission Factors'!N$7:N$24,MATCH(OFFSET(Usage!$D21,0,-2),'Emission Factors'!$B$7:$B$45,0))*INDEX(Usage!$M$5:$M$31,MATCH('Outside Emissions'!$C22,Usage!$D$5:$D$31,0)),"--")</f>
        <v>--</v>
      </c>
      <c r="P22" s="279">
        <f ca="1">IFERROR(INDEX('Emission Factors'!O$7:O$24,MATCH(OFFSET(Usage!$D21,0,-2),'Emission Factors'!$B$7:$B$45,0))*INDEX(Usage!$M$5:$M$31,MATCH('Outside Emissions'!$C22,Usage!$D$5:$D$31,0)),"--")</f>
        <v>1.1459999999999999E-6</v>
      </c>
      <c r="Q22" s="279" t="str">
        <f ca="1">IFERROR(INDEX('Emission Factors'!P$7:P$24,MATCH(OFFSET(Usage!$D21,0,-2),'Emission Factors'!$B$7:$B$45,0))*INDEX(Usage!$M$5:$M$31,MATCH('Outside Emissions'!$C22,Usage!$D$5:$D$31,0)),"--")</f>
        <v>--</v>
      </c>
      <c r="R22" s="280" t="str">
        <f ca="1">IFERROR(INDEX('Emission Factors'!Q$7:Q$24,MATCH(OFFSET(Usage!$D21,0,-2),'Emission Factors'!$B$7:$B$45,0))*INDEX(Usage!$M$5:$M$31,MATCH('Outside Emissions'!$C22,Usage!$D$5:$D$31,0)),"--")</f>
        <v>--</v>
      </c>
      <c r="S22" s="292">
        <f ca="1">IFERROR(INDEX('Emission Factors'!R$7:R$24,MATCH(OFFSET(Usage!$D21,0,-2),'Emission Factors'!$B$7:$B$45,0))*INDEX(Usage!$M$5:$M$31,MATCH('Outside Emissions'!$C22,Usage!$D$5:$D$31,0)),"--")</f>
        <v>1.6727784891165175E-6</v>
      </c>
      <c r="T22" s="292">
        <f ca="1">IFERROR(INDEX('Emission Factors'!S$7:S$24,MATCH(OFFSET(Usage!$D21,0,-2),'Emission Factors'!$B$7:$B$45,0))*INDEX(Usage!$M$5:$M$31,MATCH('Outside Emissions'!$C22,Usage!$D$5:$D$31,0)),"--")</f>
        <v>9.455485356956748E-7</v>
      </c>
    </row>
    <row r="23" spans="2:20" x14ac:dyDescent="0.25">
      <c r="B23" s="190" t="s">
        <v>66</v>
      </c>
      <c r="C23" s="299" t="s">
        <v>84</v>
      </c>
      <c r="D23" s="309">
        <f ca="1">IFERROR(INDEX('Emission Factors'!C$7:C$24,MATCH(OFFSET(Usage!$D22,0,-2),'Emission Factors'!$B$7:$B$45,0))*INDEX(Usage!$M$5:$M$31,MATCH('Outside Emissions'!$C23,Usage!$D$5:$D$31,0)),"--")</f>
        <v>0</v>
      </c>
      <c r="E23" s="279" t="str">
        <f ca="1">IFERROR(INDEX('Emission Factors'!D$7:D$24,MATCH(OFFSET(Usage!$D22,0,-2),'Emission Factors'!$B$7:$B$45,0))*INDEX(Usage!$M$5:$M$31,MATCH('Outside Emissions'!$C23,Usage!$D$5:$D$31,0)),"--")</f>
        <v>--</v>
      </c>
      <c r="F23" s="279" t="str">
        <f ca="1">IFERROR(INDEX('Emission Factors'!E$7:E$24,MATCH(OFFSET(Usage!$D22,0,-2),'Emission Factors'!$B$7:$B$45,0))*INDEX(Usage!$M$5:$M$31,MATCH('Outside Emissions'!$C23,Usage!$D$5:$D$31,0)),"--")</f>
        <v>--</v>
      </c>
      <c r="G23" s="279" t="str">
        <f ca="1">IFERROR(INDEX('Emission Factors'!F$7:F$24,MATCH(OFFSET(Usage!$D22,0,-2),'Emission Factors'!$B$7:$B$45,0))*INDEX(Usage!$M$5:$M$31,MATCH('Outside Emissions'!$C23,Usage!$D$5:$D$31,0)),"--")</f>
        <v>--</v>
      </c>
      <c r="H23" s="279">
        <f ca="1">IFERROR(INDEX('Emission Factors'!G$7:G$24,MATCH(OFFSET(Usage!$D22,0,-2),'Emission Factors'!$B$7:$B$45,0))*INDEX(Usage!$M$5:$M$31,MATCH('Outside Emissions'!$C23,Usage!$D$5:$D$31,0)),"--")</f>
        <v>0</v>
      </c>
      <c r="I23" s="279">
        <f ca="1">IFERROR(INDEX('Emission Factors'!H$7:H$24,MATCH(OFFSET(Usage!$D22,0,-2),'Emission Factors'!$B$7:$B$45,0))*INDEX(Usage!$M$5:$M$31,MATCH('Outside Emissions'!$C23,Usage!$D$5:$D$31,0)),"--")</f>
        <v>0</v>
      </c>
      <c r="J23" s="279">
        <f ca="1">IFERROR(INDEX('Emission Factors'!I$7:I$24,MATCH(OFFSET(Usage!$D22,0,-2),'Emission Factors'!$B$7:$B$45,0))*INDEX(Usage!$M$5:$M$31,MATCH('Outside Emissions'!$C23,Usage!$D$5:$D$31,0)),"--")</f>
        <v>0</v>
      </c>
      <c r="K23" s="279">
        <f ca="1">IFERROR(INDEX('Emission Factors'!J$7:J$24,MATCH(OFFSET(Usage!$D22,0,-2),'Emission Factors'!$B$7:$B$45,0))*INDEX(Usage!$M$5:$M$31,MATCH('Outside Emissions'!$C23,Usage!$D$5:$D$31,0)),"--")</f>
        <v>0</v>
      </c>
      <c r="L23" s="279">
        <f ca="1">IFERROR(INDEX('Emission Factors'!K$7:K$24,MATCH(OFFSET(Usage!$D22,0,-2),'Emission Factors'!$B$7:$B$45,0))*INDEX(Usage!$M$5:$M$31,MATCH('Outside Emissions'!$C23,Usage!$D$5:$D$31,0)),"--")</f>
        <v>0</v>
      </c>
      <c r="M23" s="279">
        <f ca="1">IFERROR(INDEX('Emission Factors'!L$7:L$24,MATCH(OFFSET(Usage!$D22,0,-2),'Emission Factors'!$B$7:$B$45,0))*INDEX(Usage!$M$5:$M$31,MATCH('Outside Emissions'!$C23,Usage!$D$5:$D$31,0)),"--")</f>
        <v>0</v>
      </c>
      <c r="N23" s="279">
        <f ca="1">IFERROR(INDEX('Emission Factors'!M$7:M$24,MATCH(OFFSET(Usage!$D22,0,-2),'Emission Factors'!$B$7:$B$45,0))*INDEX(Usage!$M$5:$M$31,MATCH('Outside Emissions'!$C23,Usage!$D$5:$D$31,0)),"--")</f>
        <v>0</v>
      </c>
      <c r="O23" s="279" t="str">
        <f ca="1">IFERROR(INDEX('Emission Factors'!N$7:N$24,MATCH(OFFSET(Usage!$D22,0,-2),'Emission Factors'!$B$7:$B$45,0))*INDEX(Usage!$M$5:$M$31,MATCH('Outside Emissions'!$C23,Usage!$D$5:$D$31,0)),"--")</f>
        <v>--</v>
      </c>
      <c r="P23" s="279">
        <f ca="1">IFERROR(INDEX('Emission Factors'!O$7:O$24,MATCH(OFFSET(Usage!$D22,0,-2),'Emission Factors'!$B$7:$B$45,0))*INDEX(Usage!$M$5:$M$31,MATCH('Outside Emissions'!$C23,Usage!$D$5:$D$31,0)),"--")</f>
        <v>0</v>
      </c>
      <c r="Q23" s="279">
        <f ca="1">IFERROR(INDEX('Emission Factors'!P$7:P$24,MATCH(OFFSET(Usage!$D22,0,-2),'Emission Factors'!$B$7:$B$45,0))*INDEX(Usage!$M$5:$M$31,MATCH('Outside Emissions'!$C23,Usage!$D$5:$D$31,0)),"--")</f>
        <v>0</v>
      </c>
      <c r="R23" s="280" t="str">
        <f ca="1">IFERROR(INDEX('Emission Factors'!Q$7:Q$24,MATCH(OFFSET(Usage!$D22,0,-2),'Emission Factors'!$B$7:$B$45,0))*INDEX(Usage!$M$5:$M$31,MATCH('Outside Emissions'!$C23,Usage!$D$5:$D$31,0)),"--")</f>
        <v>--</v>
      </c>
      <c r="S23" s="292" t="str">
        <f ca="1">IFERROR(INDEX('Emission Factors'!R$7:R$24,MATCH(OFFSET(Usage!$D22,0,-2),'Emission Factors'!$B$7:$B$45,0))*INDEX(Usage!$M$5:$M$31,MATCH('Outside Emissions'!$C23,Usage!$D$5:$D$31,0)),"--")</f>
        <v>--</v>
      </c>
      <c r="T23" s="292">
        <f ca="1">IFERROR(INDEX('Emission Factors'!S$7:S$24,MATCH(OFFSET(Usage!$D22,0,-2),'Emission Factors'!$B$7:$B$45,0))*INDEX(Usage!$M$5:$M$31,MATCH('Outside Emissions'!$C23,Usage!$D$5:$D$31,0)),"--")</f>
        <v>0</v>
      </c>
    </row>
    <row r="24" spans="2:20" x14ac:dyDescent="0.25">
      <c r="B24" s="190" t="s">
        <v>43</v>
      </c>
      <c r="C24" s="299" t="s">
        <v>85</v>
      </c>
      <c r="D24" s="309">
        <f ca="1">IFERROR(INDEX('Emission Factors'!C$7:C$24,MATCH(OFFSET(Usage!$D23,0,-2),'Emission Factors'!$B$7:$B$45,0))*INDEX(Usage!$M$5:$M$31,MATCH('Outside Emissions'!$C24,Usage!$D$5:$D$31,0)),"--")</f>
        <v>3.4379999999999999E-6</v>
      </c>
      <c r="E24" s="279" t="str">
        <f ca="1">IFERROR(INDEX('Emission Factors'!D$7:D$24,MATCH(OFFSET(Usage!$D23,0,-2),'Emission Factors'!$B$7:$B$45,0))*INDEX(Usage!$M$5:$M$31,MATCH('Outside Emissions'!$C24,Usage!$D$5:$D$31,0)),"--")</f>
        <v>--</v>
      </c>
      <c r="F24" s="279" t="str">
        <f ca="1">IFERROR(INDEX('Emission Factors'!E$7:E$24,MATCH(OFFSET(Usage!$D23,0,-2),'Emission Factors'!$B$7:$B$45,0))*INDEX(Usage!$M$5:$M$31,MATCH('Outside Emissions'!$C24,Usage!$D$5:$D$31,0)),"--")</f>
        <v>--</v>
      </c>
      <c r="G24" s="279" t="str">
        <f ca="1">IFERROR(INDEX('Emission Factors'!F$7:F$24,MATCH(OFFSET(Usage!$D23,0,-2),'Emission Factors'!$B$7:$B$45,0))*INDEX(Usage!$M$5:$M$31,MATCH('Outside Emissions'!$C24,Usage!$D$5:$D$31,0)),"--")</f>
        <v>--</v>
      </c>
      <c r="H24" s="279" t="str">
        <f ca="1">IFERROR(INDEX('Emission Factors'!G$7:G$24,MATCH(OFFSET(Usage!$D23,0,-2),'Emission Factors'!$B$7:$B$45,0))*INDEX(Usage!$M$5:$M$31,MATCH('Outside Emissions'!$C24,Usage!$D$5:$D$31,0)),"--")</f>
        <v>--</v>
      </c>
      <c r="I24" s="279" t="str">
        <f ca="1">IFERROR(INDEX('Emission Factors'!H$7:H$24,MATCH(OFFSET(Usage!$D23,0,-2),'Emission Factors'!$B$7:$B$45,0))*INDEX(Usage!$M$5:$M$31,MATCH('Outside Emissions'!$C24,Usage!$D$5:$D$31,0)),"--")</f>
        <v>--</v>
      </c>
      <c r="J24" s="279" t="str">
        <f ca="1">IFERROR(INDEX('Emission Factors'!I$7:I$24,MATCH(OFFSET(Usage!$D23,0,-2),'Emission Factors'!$B$7:$B$45,0))*INDEX(Usage!$M$5:$M$31,MATCH('Outside Emissions'!$C24,Usage!$D$5:$D$31,0)),"--")</f>
        <v>--</v>
      </c>
      <c r="K24" s="279" t="str">
        <f ca="1">IFERROR(INDEX('Emission Factors'!J$7:J$24,MATCH(OFFSET(Usage!$D23,0,-2),'Emission Factors'!$B$7:$B$45,0))*INDEX(Usage!$M$5:$M$31,MATCH('Outside Emissions'!$C24,Usage!$D$5:$D$31,0)),"--")</f>
        <v>--</v>
      </c>
      <c r="L24" s="279" t="str">
        <f ca="1">IFERROR(INDEX('Emission Factors'!K$7:K$24,MATCH(OFFSET(Usage!$D23,0,-2),'Emission Factors'!$B$7:$B$45,0))*INDEX(Usage!$M$5:$M$31,MATCH('Outside Emissions'!$C24,Usage!$D$5:$D$31,0)),"--")</f>
        <v>--</v>
      </c>
      <c r="M24" s="279">
        <f ca="1">IFERROR(INDEX('Emission Factors'!L$7:L$24,MATCH(OFFSET(Usage!$D23,0,-2),'Emission Factors'!$B$7:$B$45,0))*INDEX(Usage!$M$5:$M$31,MATCH('Outside Emissions'!$C24,Usage!$D$5:$D$31,0)),"--")</f>
        <v>3.1515000000000006E-5</v>
      </c>
      <c r="N24" s="279" t="str">
        <f ca="1">IFERROR(INDEX('Emission Factors'!M$7:M$24,MATCH(OFFSET(Usage!$D23,0,-2),'Emission Factors'!$B$7:$B$45,0))*INDEX(Usage!$M$5:$M$31,MATCH('Outside Emissions'!$C24,Usage!$D$5:$D$31,0)),"--")</f>
        <v>--</v>
      </c>
      <c r="O24" s="279" t="str">
        <f ca="1">IFERROR(INDEX('Emission Factors'!N$7:N$24,MATCH(OFFSET(Usage!$D23,0,-2),'Emission Factors'!$B$7:$B$45,0))*INDEX(Usage!$M$5:$M$31,MATCH('Outside Emissions'!$C24,Usage!$D$5:$D$31,0)),"--")</f>
        <v>--</v>
      </c>
      <c r="P24" s="279" t="str">
        <f ca="1">IFERROR(INDEX('Emission Factors'!O$7:O$24,MATCH(OFFSET(Usage!$D23,0,-2),'Emission Factors'!$B$7:$B$45,0))*INDEX(Usage!$M$5:$M$31,MATCH('Outside Emissions'!$C24,Usage!$D$5:$D$31,0)),"--")</f>
        <v>--</v>
      </c>
      <c r="Q24" s="279" t="str">
        <f ca="1">IFERROR(INDEX('Emission Factors'!P$7:P$24,MATCH(OFFSET(Usage!$D23,0,-2),'Emission Factors'!$B$7:$B$45,0))*INDEX(Usage!$M$5:$M$31,MATCH('Outside Emissions'!$C24,Usage!$D$5:$D$31,0)),"--")</f>
        <v>--</v>
      </c>
      <c r="R24" s="280" t="str">
        <f ca="1">IFERROR(INDEX('Emission Factors'!Q$7:Q$24,MATCH(OFFSET(Usage!$D23,0,-2),'Emission Factors'!$B$7:$B$45,0))*INDEX(Usage!$M$5:$M$31,MATCH('Outside Emissions'!$C24,Usage!$D$5:$D$31,0)),"--")</f>
        <v>--</v>
      </c>
      <c r="S24" s="292">
        <f ca="1">IFERROR(INDEX('Emission Factors'!R$7:R$24,MATCH(OFFSET(Usage!$D23,0,-2),'Emission Factors'!$B$7:$B$45,0))*INDEX(Usage!$M$5:$M$31,MATCH('Outside Emissions'!$C24,Usage!$D$5:$D$31,0)),"--")</f>
        <v>1.6727784891165175E-6</v>
      </c>
      <c r="T24" s="292" t="str">
        <f ca="1">IFERROR(INDEX('Emission Factors'!S$7:S$24,MATCH(OFFSET(Usage!$D23,0,-2),'Emission Factors'!$B$7:$B$45,0))*INDEX(Usage!$M$5:$M$31,MATCH('Outside Emissions'!$C24,Usage!$D$5:$D$31,0)),"--")</f>
        <v>--</v>
      </c>
    </row>
    <row r="25" spans="2:20" x14ac:dyDescent="0.25">
      <c r="B25" s="190">
        <v>7018</v>
      </c>
      <c r="C25" s="299" t="s">
        <v>86</v>
      </c>
      <c r="D25" s="309" t="str">
        <f ca="1">IFERROR(INDEX('Emission Factors'!C$7:C$24,MATCH(OFFSET(Usage!$D24,0,-2),'Emission Factors'!$B$7:$B$45,0))*INDEX(Usage!$M$5:$M$31,MATCH('Outside Emissions'!$C25,Usage!$D$5:$D$31,0)),"--")</f>
        <v>--</v>
      </c>
      <c r="E25" s="279" t="str">
        <f ca="1">IFERROR(INDEX('Emission Factors'!D$7:D$24,MATCH(OFFSET(Usage!$D24,0,-2),'Emission Factors'!$B$7:$B$45,0))*INDEX(Usage!$M$5:$M$31,MATCH('Outside Emissions'!$C25,Usage!$D$5:$D$31,0)),"--")</f>
        <v>--</v>
      </c>
      <c r="F25" s="279" t="str">
        <f ca="1">IFERROR(INDEX('Emission Factors'!E$7:E$24,MATCH(OFFSET(Usage!$D24,0,-2),'Emission Factors'!$B$7:$B$45,0))*INDEX(Usage!$M$5:$M$31,MATCH('Outside Emissions'!$C25,Usage!$D$5:$D$31,0)),"--")</f>
        <v>--</v>
      </c>
      <c r="G25" s="279" t="str">
        <f ca="1">IFERROR(INDEX('Emission Factors'!F$7:F$24,MATCH(OFFSET(Usage!$D24,0,-2),'Emission Factors'!$B$7:$B$45,0))*INDEX(Usage!$M$5:$M$31,MATCH('Outside Emissions'!$C25,Usage!$D$5:$D$31,0)),"--")</f>
        <v>--</v>
      </c>
      <c r="H25" s="279">
        <f ca="1">IFERROR(INDEX('Emission Factors'!G$7:G$24,MATCH(OFFSET(Usage!$D24,0,-2),'Emission Factors'!$B$7:$B$45,0))*INDEX(Usage!$M$5:$M$31,MATCH('Outside Emissions'!$C25,Usage!$D$5:$D$31,0)),"--")</f>
        <v>9.9999999999999995E-8</v>
      </c>
      <c r="I25" s="279">
        <f ca="1">IFERROR(INDEX('Emission Factors'!H$7:H$24,MATCH(OFFSET(Usage!$D24,0,-2),'Emission Factors'!$B$7:$B$45,0))*INDEX(Usage!$M$5:$M$31,MATCH('Outside Emissions'!$C25,Usage!$D$5:$D$31,0)),"--")</f>
        <v>1.17E-6</v>
      </c>
      <c r="J25" s="279">
        <f ca="1">IFERROR(INDEX('Emission Factors'!I$7:I$24,MATCH(OFFSET(Usage!$D24,0,-2),'Emission Factors'!$B$7:$B$45,0))*INDEX(Usage!$M$5:$M$31,MATCH('Outside Emissions'!$C25,Usage!$D$5:$D$31,0)),"--")</f>
        <v>6.4300000000000003E-7</v>
      </c>
      <c r="K25" s="279" t="str">
        <f ca="1">IFERROR(INDEX('Emission Factors'!J$7:J$24,MATCH(OFFSET(Usage!$D24,0,-2),'Emission Factors'!$B$7:$B$45,0))*INDEX(Usage!$M$5:$M$31,MATCH('Outside Emissions'!$C25,Usage!$D$5:$D$31,0)),"--")</f>
        <v>--</v>
      </c>
      <c r="L25" s="279">
        <f ca="1">IFERROR(INDEX('Emission Factors'!K$7:K$24,MATCH(OFFSET(Usage!$D24,0,-2),'Emission Factors'!$B$7:$B$45,0))*INDEX(Usage!$M$5:$M$31,MATCH('Outside Emissions'!$C25,Usage!$D$5:$D$31,0)),"--")</f>
        <v>1.0300000000000001E-4</v>
      </c>
      <c r="M25" s="279">
        <f ca="1">IFERROR(INDEX('Emission Factors'!L$7:L$24,MATCH(OFFSET(Usage!$D24,0,-2),'Emission Factors'!$B$7:$B$45,0))*INDEX(Usage!$M$5:$M$31,MATCH('Outside Emissions'!$C25,Usage!$D$5:$D$31,0)),"--")</f>
        <v>1.9999999999999999E-7</v>
      </c>
      <c r="N25" s="279" t="str">
        <f ca="1">IFERROR(INDEX('Emission Factors'!M$7:M$24,MATCH(OFFSET(Usage!$D24,0,-2),'Emission Factors'!$B$7:$B$45,0))*INDEX(Usage!$M$5:$M$31,MATCH('Outside Emissions'!$C25,Usage!$D$5:$D$31,0)),"--")</f>
        <v>--</v>
      </c>
      <c r="O25" s="279" t="str">
        <f ca="1">IFERROR(INDEX('Emission Factors'!N$7:N$24,MATCH(OFFSET(Usage!$D24,0,-2),'Emission Factors'!$B$7:$B$45,0))*INDEX(Usage!$M$5:$M$31,MATCH('Outside Emissions'!$C25,Usage!$D$5:$D$31,0)),"--")</f>
        <v>--</v>
      </c>
      <c r="P25" s="279">
        <f ca="1">IFERROR(INDEX('Emission Factors'!O$7:O$24,MATCH(OFFSET(Usage!$D24,0,-2),'Emission Factors'!$B$7:$B$45,0))*INDEX(Usage!$M$5:$M$31,MATCH('Outside Emissions'!$C25,Usage!$D$5:$D$31,0)),"--")</f>
        <v>2.89938E-6</v>
      </c>
      <c r="Q25" s="279" t="str">
        <f ca="1">IFERROR(INDEX('Emission Factors'!P$7:P$24,MATCH(OFFSET(Usage!$D24,0,-2),'Emission Factors'!$B$7:$B$45,0))*INDEX(Usage!$M$5:$M$31,MATCH('Outside Emissions'!$C25,Usage!$D$5:$D$31,0)),"--")</f>
        <v>--</v>
      </c>
      <c r="R25" s="280" t="str">
        <f ca="1">IFERROR(INDEX('Emission Factors'!Q$7:Q$24,MATCH(OFFSET(Usage!$D24,0,-2),'Emission Factors'!$B$7:$B$45,0))*INDEX(Usage!$M$5:$M$31,MATCH('Outside Emissions'!$C25,Usage!$D$5:$D$31,0)),"--")</f>
        <v>--</v>
      </c>
      <c r="S25" s="292">
        <f ca="1">IFERROR(INDEX('Emission Factors'!R$7:R$24,MATCH(OFFSET(Usage!$D24,0,-2),'Emission Factors'!$B$7:$B$45,0))*INDEX(Usage!$M$5:$M$31,MATCH('Outside Emissions'!$C25,Usage!$D$5:$D$31,0)),"--")</f>
        <v>1.58148E-5</v>
      </c>
      <c r="T25" s="292">
        <f ca="1">IFERROR(INDEX('Emission Factors'!S$7:S$24,MATCH(OFFSET(Usage!$D24,0,-2),'Emission Factors'!$B$7:$B$45,0))*INDEX(Usage!$M$5:$M$31,MATCH('Outside Emissions'!$C25,Usage!$D$5:$D$31,0)),"--")</f>
        <v>4.3495232642001041E-6</v>
      </c>
    </row>
    <row r="26" spans="2:20" x14ac:dyDescent="0.25">
      <c r="B26" s="190">
        <v>7018</v>
      </c>
      <c r="C26" s="299" t="s">
        <v>87</v>
      </c>
      <c r="D26" s="309" t="str">
        <f ca="1">IFERROR(INDEX('Emission Factors'!C$7:C$24,MATCH(OFFSET(Usage!$D25,0,-2),'Emission Factors'!$B$7:$B$45,0))*INDEX(Usage!$M$5:$M$31,MATCH('Outside Emissions'!$C26,Usage!$D$5:$D$31,0)),"--")</f>
        <v>--</v>
      </c>
      <c r="E26" s="279" t="str">
        <f ca="1">IFERROR(INDEX('Emission Factors'!D$7:D$24,MATCH(OFFSET(Usage!$D25,0,-2),'Emission Factors'!$B$7:$B$45,0))*INDEX(Usage!$M$5:$M$31,MATCH('Outside Emissions'!$C26,Usage!$D$5:$D$31,0)),"--")</f>
        <v>--</v>
      </c>
      <c r="F26" s="279" t="str">
        <f ca="1">IFERROR(INDEX('Emission Factors'!E$7:E$24,MATCH(OFFSET(Usage!$D25,0,-2),'Emission Factors'!$B$7:$B$45,0))*INDEX(Usage!$M$5:$M$31,MATCH('Outside Emissions'!$C26,Usage!$D$5:$D$31,0)),"--")</f>
        <v>--</v>
      </c>
      <c r="G26" s="279" t="str">
        <f ca="1">IFERROR(INDEX('Emission Factors'!F$7:F$24,MATCH(OFFSET(Usage!$D25,0,-2),'Emission Factors'!$B$7:$B$45,0))*INDEX(Usage!$M$5:$M$31,MATCH('Outside Emissions'!$C26,Usage!$D$5:$D$31,0)),"--")</f>
        <v>--</v>
      </c>
      <c r="H26" s="279">
        <f ca="1">IFERROR(INDEX('Emission Factors'!G$7:G$24,MATCH(OFFSET(Usage!$D25,0,-2),'Emission Factors'!$B$7:$B$45,0))*INDEX(Usage!$M$5:$M$31,MATCH('Outside Emissions'!$C26,Usage!$D$5:$D$31,0)),"--")</f>
        <v>4.9999999999999998E-8</v>
      </c>
      <c r="I26" s="279">
        <f ca="1">IFERROR(INDEX('Emission Factors'!H$7:H$24,MATCH(OFFSET(Usage!$D25,0,-2),'Emission Factors'!$B$7:$B$45,0))*INDEX(Usage!$M$5:$M$31,MATCH('Outside Emissions'!$C26,Usage!$D$5:$D$31,0)),"--")</f>
        <v>5.8500000000000001E-7</v>
      </c>
      <c r="J26" s="279">
        <f ca="1">IFERROR(INDEX('Emission Factors'!I$7:I$24,MATCH(OFFSET(Usage!$D25,0,-2),'Emission Factors'!$B$7:$B$45,0))*INDEX(Usage!$M$5:$M$31,MATCH('Outside Emissions'!$C26,Usage!$D$5:$D$31,0)),"--")</f>
        <v>3.2150000000000001E-7</v>
      </c>
      <c r="K26" s="279" t="str">
        <f ca="1">IFERROR(INDEX('Emission Factors'!J$7:J$24,MATCH(OFFSET(Usage!$D25,0,-2),'Emission Factors'!$B$7:$B$45,0))*INDEX(Usage!$M$5:$M$31,MATCH('Outside Emissions'!$C26,Usage!$D$5:$D$31,0)),"--")</f>
        <v>--</v>
      </c>
      <c r="L26" s="279">
        <f ca="1">IFERROR(INDEX('Emission Factors'!K$7:K$24,MATCH(OFFSET(Usage!$D25,0,-2),'Emission Factors'!$B$7:$B$45,0))*INDEX(Usage!$M$5:$M$31,MATCH('Outside Emissions'!$C26,Usage!$D$5:$D$31,0)),"--")</f>
        <v>5.1500000000000005E-5</v>
      </c>
      <c r="M26" s="279">
        <f ca="1">IFERROR(INDEX('Emission Factors'!L$7:L$24,MATCH(OFFSET(Usage!$D25,0,-2),'Emission Factors'!$B$7:$B$45,0))*INDEX(Usage!$M$5:$M$31,MATCH('Outside Emissions'!$C26,Usage!$D$5:$D$31,0)),"--")</f>
        <v>9.9999999999999995E-8</v>
      </c>
      <c r="N26" s="279" t="str">
        <f ca="1">IFERROR(INDEX('Emission Factors'!M$7:M$24,MATCH(OFFSET(Usage!$D25,0,-2),'Emission Factors'!$B$7:$B$45,0))*INDEX(Usage!$M$5:$M$31,MATCH('Outside Emissions'!$C26,Usage!$D$5:$D$31,0)),"--")</f>
        <v>--</v>
      </c>
      <c r="O26" s="279" t="str">
        <f ca="1">IFERROR(INDEX('Emission Factors'!N$7:N$24,MATCH(OFFSET(Usage!$D25,0,-2),'Emission Factors'!$B$7:$B$45,0))*INDEX(Usage!$M$5:$M$31,MATCH('Outside Emissions'!$C26,Usage!$D$5:$D$31,0)),"--")</f>
        <v>--</v>
      </c>
      <c r="P26" s="279">
        <f ca="1">IFERROR(INDEX('Emission Factors'!O$7:O$24,MATCH(OFFSET(Usage!$D25,0,-2),'Emission Factors'!$B$7:$B$45,0))*INDEX(Usage!$M$5:$M$31,MATCH('Outside Emissions'!$C26,Usage!$D$5:$D$31,0)),"--")</f>
        <v>1.44969E-6</v>
      </c>
      <c r="Q26" s="279" t="str">
        <f ca="1">IFERROR(INDEX('Emission Factors'!P$7:P$24,MATCH(OFFSET(Usage!$D25,0,-2),'Emission Factors'!$B$7:$B$45,0))*INDEX(Usage!$M$5:$M$31,MATCH('Outside Emissions'!$C26,Usage!$D$5:$D$31,0)),"--")</f>
        <v>--</v>
      </c>
      <c r="R26" s="280" t="str">
        <f ca="1">IFERROR(INDEX('Emission Factors'!Q$7:Q$24,MATCH(OFFSET(Usage!$D25,0,-2),'Emission Factors'!$B$7:$B$45,0))*INDEX(Usage!$M$5:$M$31,MATCH('Outside Emissions'!$C26,Usage!$D$5:$D$31,0)),"--")</f>
        <v>--</v>
      </c>
      <c r="S26" s="292">
        <f ca="1">IFERROR(INDEX('Emission Factors'!R$7:R$24,MATCH(OFFSET(Usage!$D25,0,-2),'Emission Factors'!$B$7:$B$45,0))*INDEX(Usage!$M$5:$M$31,MATCH('Outside Emissions'!$C26,Usage!$D$5:$D$31,0)),"--")</f>
        <v>7.9073999999999999E-6</v>
      </c>
      <c r="T26" s="292">
        <f ca="1">IFERROR(INDEX('Emission Factors'!S$7:S$24,MATCH(OFFSET(Usage!$D25,0,-2),'Emission Factors'!$B$7:$B$45,0))*INDEX(Usage!$M$5:$M$31,MATCH('Outside Emissions'!$C26,Usage!$D$5:$D$31,0)),"--")</f>
        <v>2.174761632100052E-6</v>
      </c>
    </row>
    <row r="27" spans="2:20" x14ac:dyDescent="0.25">
      <c r="B27" s="190">
        <v>7018</v>
      </c>
      <c r="C27" s="299" t="s">
        <v>88</v>
      </c>
      <c r="D27" s="309" t="str">
        <f ca="1">IFERROR(INDEX('Emission Factors'!C$7:C$24,MATCH(OFFSET(Usage!$D26,0,-2),'Emission Factors'!$B$7:$B$45,0))*INDEX(Usage!$M$5:$M$31,MATCH('Outside Emissions'!$C27,Usage!$D$5:$D$31,0)),"--")</f>
        <v>--</v>
      </c>
      <c r="E27" s="279" t="str">
        <f ca="1">IFERROR(INDEX('Emission Factors'!D$7:D$24,MATCH(OFFSET(Usage!$D26,0,-2),'Emission Factors'!$B$7:$B$45,0))*INDEX(Usage!$M$5:$M$31,MATCH('Outside Emissions'!$C27,Usage!$D$5:$D$31,0)),"--")</f>
        <v>--</v>
      </c>
      <c r="F27" s="279" t="str">
        <f ca="1">IFERROR(INDEX('Emission Factors'!E$7:E$24,MATCH(OFFSET(Usage!$D26,0,-2),'Emission Factors'!$B$7:$B$45,0))*INDEX(Usage!$M$5:$M$31,MATCH('Outside Emissions'!$C27,Usage!$D$5:$D$31,0)),"--")</f>
        <v>--</v>
      </c>
      <c r="G27" s="279" t="str">
        <f ca="1">IFERROR(INDEX('Emission Factors'!F$7:F$24,MATCH(OFFSET(Usage!$D26,0,-2),'Emission Factors'!$B$7:$B$45,0))*INDEX(Usage!$M$5:$M$31,MATCH('Outside Emissions'!$C27,Usage!$D$5:$D$31,0)),"--")</f>
        <v>--</v>
      </c>
      <c r="H27" s="279">
        <f ca="1">IFERROR(INDEX('Emission Factors'!G$7:G$24,MATCH(OFFSET(Usage!$D26,0,-2),'Emission Factors'!$B$7:$B$45,0))*INDEX(Usage!$M$5:$M$31,MATCH('Outside Emissions'!$C27,Usage!$D$5:$D$31,0)),"--")</f>
        <v>9.9999999999999995E-8</v>
      </c>
      <c r="I27" s="279">
        <f ca="1">IFERROR(INDEX('Emission Factors'!H$7:H$24,MATCH(OFFSET(Usage!$D26,0,-2),'Emission Factors'!$B$7:$B$45,0))*INDEX(Usage!$M$5:$M$31,MATCH('Outside Emissions'!$C27,Usage!$D$5:$D$31,0)),"--")</f>
        <v>1.17E-6</v>
      </c>
      <c r="J27" s="279">
        <f ca="1">IFERROR(INDEX('Emission Factors'!I$7:I$24,MATCH(OFFSET(Usage!$D26,0,-2),'Emission Factors'!$B$7:$B$45,0))*INDEX(Usage!$M$5:$M$31,MATCH('Outside Emissions'!$C27,Usage!$D$5:$D$31,0)),"--")</f>
        <v>6.4300000000000003E-7</v>
      </c>
      <c r="K27" s="279" t="str">
        <f ca="1">IFERROR(INDEX('Emission Factors'!J$7:J$24,MATCH(OFFSET(Usage!$D26,0,-2),'Emission Factors'!$B$7:$B$45,0))*INDEX(Usage!$M$5:$M$31,MATCH('Outside Emissions'!$C27,Usage!$D$5:$D$31,0)),"--")</f>
        <v>--</v>
      </c>
      <c r="L27" s="279">
        <f ca="1">IFERROR(INDEX('Emission Factors'!K$7:K$24,MATCH(OFFSET(Usage!$D26,0,-2),'Emission Factors'!$B$7:$B$45,0))*INDEX(Usage!$M$5:$M$31,MATCH('Outside Emissions'!$C27,Usage!$D$5:$D$31,0)),"--")</f>
        <v>1.0300000000000001E-4</v>
      </c>
      <c r="M27" s="279">
        <f ca="1">IFERROR(INDEX('Emission Factors'!L$7:L$24,MATCH(OFFSET(Usage!$D26,0,-2),'Emission Factors'!$B$7:$B$45,0))*INDEX(Usage!$M$5:$M$31,MATCH('Outside Emissions'!$C27,Usage!$D$5:$D$31,0)),"--")</f>
        <v>1.9999999999999999E-7</v>
      </c>
      <c r="N27" s="279" t="str">
        <f ca="1">IFERROR(INDEX('Emission Factors'!M$7:M$24,MATCH(OFFSET(Usage!$D26,0,-2),'Emission Factors'!$B$7:$B$45,0))*INDEX(Usage!$M$5:$M$31,MATCH('Outside Emissions'!$C27,Usage!$D$5:$D$31,0)),"--")</f>
        <v>--</v>
      </c>
      <c r="O27" s="279" t="str">
        <f ca="1">IFERROR(INDEX('Emission Factors'!N$7:N$24,MATCH(OFFSET(Usage!$D26,0,-2),'Emission Factors'!$B$7:$B$45,0))*INDEX(Usage!$M$5:$M$31,MATCH('Outside Emissions'!$C27,Usage!$D$5:$D$31,0)),"--")</f>
        <v>--</v>
      </c>
      <c r="P27" s="279">
        <f ca="1">IFERROR(INDEX('Emission Factors'!O$7:O$24,MATCH(OFFSET(Usage!$D26,0,-2),'Emission Factors'!$B$7:$B$45,0))*INDEX(Usage!$M$5:$M$31,MATCH('Outside Emissions'!$C27,Usage!$D$5:$D$31,0)),"--")</f>
        <v>2.89938E-6</v>
      </c>
      <c r="Q27" s="279" t="str">
        <f ca="1">IFERROR(INDEX('Emission Factors'!P$7:P$24,MATCH(OFFSET(Usage!$D26,0,-2),'Emission Factors'!$B$7:$B$45,0))*INDEX(Usage!$M$5:$M$31,MATCH('Outside Emissions'!$C27,Usage!$D$5:$D$31,0)),"--")</f>
        <v>--</v>
      </c>
      <c r="R27" s="280" t="str">
        <f ca="1">IFERROR(INDEX('Emission Factors'!Q$7:Q$24,MATCH(OFFSET(Usage!$D26,0,-2),'Emission Factors'!$B$7:$B$45,0))*INDEX(Usage!$M$5:$M$31,MATCH('Outside Emissions'!$C27,Usage!$D$5:$D$31,0)),"--")</f>
        <v>--</v>
      </c>
      <c r="S27" s="292">
        <f ca="1">IFERROR(INDEX('Emission Factors'!R$7:R$24,MATCH(OFFSET(Usage!$D26,0,-2),'Emission Factors'!$B$7:$B$45,0))*INDEX(Usage!$M$5:$M$31,MATCH('Outside Emissions'!$C27,Usage!$D$5:$D$31,0)),"--")</f>
        <v>1.58148E-5</v>
      </c>
      <c r="T27" s="292">
        <f ca="1">IFERROR(INDEX('Emission Factors'!S$7:S$24,MATCH(OFFSET(Usage!$D26,0,-2),'Emission Factors'!$B$7:$B$45,0))*INDEX(Usage!$M$5:$M$31,MATCH('Outside Emissions'!$C27,Usage!$D$5:$D$31,0)),"--")</f>
        <v>4.3495232642001041E-6</v>
      </c>
    </row>
    <row r="28" spans="2:20" x14ac:dyDescent="0.25">
      <c r="B28" s="190" t="s">
        <v>48</v>
      </c>
      <c r="C28" s="299" t="s">
        <v>89</v>
      </c>
      <c r="D28" s="309" t="str">
        <f ca="1">IFERROR(INDEX('Emission Factors'!C$7:C$24,MATCH(OFFSET(Usage!$D27,0,-2),'Emission Factors'!$B$7:$B$45,0))*INDEX(Usage!$M$5:$M$31,MATCH('Outside Emissions'!$C28,Usage!$D$5:$D$31,0)),"--")</f>
        <v>--</v>
      </c>
      <c r="E28" s="279">
        <f ca="1">IFERROR(INDEX('Emission Factors'!D$7:D$24,MATCH(OFFSET(Usage!$D27,0,-2),'Emission Factors'!$B$7:$B$45,0))*INDEX(Usage!$M$5:$M$31,MATCH('Outside Emissions'!$C28,Usage!$D$5:$D$31,0)),"--")</f>
        <v>3.7905894468418995E-7</v>
      </c>
      <c r="F28" s="279" t="str">
        <f ca="1">IFERROR(INDEX('Emission Factors'!E$7:E$24,MATCH(OFFSET(Usage!$D27,0,-2),'Emission Factors'!$B$7:$B$45,0))*INDEX(Usage!$M$5:$M$31,MATCH('Outside Emissions'!$C28,Usage!$D$5:$D$31,0)),"--")</f>
        <v>--</v>
      </c>
      <c r="G28" s="279" t="str">
        <f ca="1">IFERROR(INDEX('Emission Factors'!F$7:F$24,MATCH(OFFSET(Usage!$D27,0,-2),'Emission Factors'!$B$7:$B$45,0))*INDEX(Usage!$M$5:$M$31,MATCH('Outside Emissions'!$C28,Usage!$D$5:$D$31,0)),"--")</f>
        <v>--</v>
      </c>
      <c r="H28" s="279" t="str">
        <f ca="1">IFERROR(INDEX('Emission Factors'!G$7:G$24,MATCH(OFFSET(Usage!$D27,0,-2),'Emission Factors'!$B$7:$B$45,0))*INDEX(Usage!$M$5:$M$31,MATCH('Outside Emissions'!$C28,Usage!$D$5:$D$31,0)),"--")</f>
        <v>--</v>
      </c>
      <c r="I28" s="279">
        <f ca="1">IFERROR(INDEX('Emission Factors'!H$7:H$24,MATCH(OFFSET(Usage!$D27,0,-2),'Emission Factors'!$B$7:$B$45,0))*INDEX(Usage!$M$5:$M$31,MATCH('Outside Emissions'!$C28,Usage!$D$5:$D$31,0)),"--")</f>
        <v>8.8300000000000002E-6</v>
      </c>
      <c r="J28" s="279">
        <f ca="1">IFERROR(INDEX('Emission Factors'!I$7:I$24,MATCH(OFFSET(Usage!$D27,0,-2),'Emission Factors'!$B$7:$B$45,0))*INDEX(Usage!$M$5:$M$31,MATCH('Outside Emissions'!$C28,Usage!$D$5:$D$31,0)),"--")</f>
        <v>2.0000000000000003E-6</v>
      </c>
      <c r="K28" s="279" t="str">
        <f ca="1">IFERROR(INDEX('Emission Factors'!J$7:J$24,MATCH(OFFSET(Usage!$D27,0,-2),'Emission Factors'!$B$7:$B$45,0))*INDEX(Usage!$M$5:$M$31,MATCH('Outside Emissions'!$C28,Usage!$D$5:$D$31,0)),"--")</f>
        <v>--</v>
      </c>
      <c r="L28" s="279">
        <f ca="1">IFERROR(INDEX('Emission Factors'!K$7:K$24,MATCH(OFFSET(Usage!$D27,0,-2),'Emission Factors'!$B$7:$B$45,0))*INDEX(Usage!$M$5:$M$31,MATCH('Outside Emissions'!$C28,Usage!$D$5:$D$31,0)),"--")</f>
        <v>5.4400000000000004E-6</v>
      </c>
      <c r="M28" s="279">
        <f ca="1">IFERROR(INDEX('Emission Factors'!L$7:L$24,MATCH(OFFSET(Usage!$D27,0,-2),'Emission Factors'!$B$7:$B$45,0))*INDEX(Usage!$M$5:$M$31,MATCH('Outside Emissions'!$C28,Usage!$D$5:$D$31,0)),"--")</f>
        <v>5.5000000000000003E-7</v>
      </c>
      <c r="N28" s="279" t="str">
        <f ca="1">IFERROR(INDEX('Emission Factors'!M$7:M$24,MATCH(OFFSET(Usage!$D27,0,-2),'Emission Factors'!$B$7:$B$45,0))*INDEX(Usage!$M$5:$M$31,MATCH('Outside Emissions'!$C28,Usage!$D$5:$D$31,0)),"--")</f>
        <v>--</v>
      </c>
      <c r="O28" s="279" t="str">
        <f ca="1">IFERROR(INDEX('Emission Factors'!N$7:N$24,MATCH(OFFSET(Usage!$D27,0,-2),'Emission Factors'!$B$7:$B$45,0))*INDEX(Usage!$M$5:$M$31,MATCH('Outside Emissions'!$C28,Usage!$D$5:$D$31,0)),"--")</f>
        <v>--</v>
      </c>
      <c r="P28" s="279">
        <f ca="1">IFERROR(INDEX('Emission Factors'!O$7:O$24,MATCH(OFFSET(Usage!$D27,0,-2),'Emission Factors'!$B$7:$B$45,0))*INDEX(Usage!$M$5:$M$31,MATCH('Outside Emissions'!$C28,Usage!$D$5:$D$31,0)),"--")</f>
        <v>3.0638875044499818E-7</v>
      </c>
      <c r="Q28" s="279" t="str">
        <f ca="1">IFERROR(INDEX('Emission Factors'!P$7:P$24,MATCH(OFFSET(Usage!$D27,0,-2),'Emission Factors'!$B$7:$B$45,0))*INDEX(Usage!$M$5:$M$31,MATCH('Outside Emissions'!$C28,Usage!$D$5:$D$31,0)),"--")</f>
        <v>--</v>
      </c>
      <c r="R28" s="280" t="str">
        <f ca="1">IFERROR(INDEX('Emission Factors'!Q$7:Q$24,MATCH(OFFSET(Usage!$D27,0,-2),'Emission Factors'!$B$7:$B$45,0))*INDEX(Usage!$M$5:$M$31,MATCH('Outside Emissions'!$C28,Usage!$D$5:$D$31,0)),"--")</f>
        <v>--</v>
      </c>
      <c r="S28" s="292">
        <f ca="1">IFERROR(INDEX('Emission Factors'!R$7:R$24,MATCH(OFFSET(Usage!$D27,0,-2),'Emission Factors'!$B$7:$B$45,0))*INDEX(Usage!$M$5:$M$31,MATCH('Outside Emissions'!$C28,Usage!$D$5:$D$31,0)),"--")</f>
        <v>1.4325000000000003E-6</v>
      </c>
      <c r="T28" s="292">
        <f ca="1">IFERROR(INDEX('Emission Factors'!S$7:S$24,MATCH(OFFSET(Usage!$D27,0,-2),'Emission Factors'!$B$7:$B$45,0))*INDEX(Usage!$M$5:$M$31,MATCH('Outside Emissions'!$C28,Usage!$D$5:$D$31,0)),"--")</f>
        <v>2.1489739447628976E-6</v>
      </c>
    </row>
    <row r="29" spans="2:20" x14ac:dyDescent="0.25">
      <c r="B29" s="190" t="s">
        <v>47</v>
      </c>
      <c r="C29" s="299" t="s">
        <v>90</v>
      </c>
      <c r="D29" s="309" t="str">
        <f ca="1">IFERROR(INDEX('Emission Factors'!C$7:C$24,MATCH(OFFSET(Usage!$D28,0,-2),'Emission Factors'!$B$7:$B$45,0))*INDEX(Usage!$M$5:$M$31,MATCH('Outside Emissions'!$C29,Usage!$D$5:$D$31,0)),"--")</f>
        <v>--</v>
      </c>
      <c r="E29" s="279">
        <f ca="1">IFERROR(INDEX('Emission Factors'!D$7:D$24,MATCH(OFFSET(Usage!$D28,0,-2),'Emission Factors'!$B$7:$B$45,0))*INDEX(Usage!$M$5:$M$31,MATCH('Outside Emissions'!$C29,Usage!$D$5:$D$31,0)),"--")</f>
        <v>3.3357187132208708E-7</v>
      </c>
      <c r="F29" s="279" t="str">
        <f ca="1">IFERROR(INDEX('Emission Factors'!E$7:E$24,MATCH(OFFSET(Usage!$D28,0,-2),'Emission Factors'!$B$7:$B$45,0))*INDEX(Usage!$M$5:$M$31,MATCH('Outside Emissions'!$C29,Usage!$D$5:$D$31,0)),"--")</f>
        <v>--</v>
      </c>
      <c r="G29" s="279" t="str">
        <f ca="1">IFERROR(INDEX('Emission Factors'!F$7:F$24,MATCH(OFFSET(Usage!$D28,0,-2),'Emission Factors'!$B$7:$B$45,0))*INDEX(Usage!$M$5:$M$31,MATCH('Outside Emissions'!$C29,Usage!$D$5:$D$31,0)),"--")</f>
        <v>--</v>
      </c>
      <c r="H29" s="279" t="str">
        <f ca="1">IFERROR(INDEX('Emission Factors'!G$7:G$24,MATCH(OFFSET(Usage!$D28,0,-2),'Emission Factors'!$B$7:$B$45,0))*INDEX(Usage!$M$5:$M$31,MATCH('Outside Emissions'!$C29,Usage!$D$5:$D$31,0)),"--")</f>
        <v>--</v>
      </c>
      <c r="I29" s="279">
        <f ca="1">IFERROR(INDEX('Emission Factors'!H$7:H$24,MATCH(OFFSET(Usage!$D28,0,-2),'Emission Factors'!$B$7:$B$45,0))*INDEX(Usage!$M$5:$M$31,MATCH('Outside Emissions'!$C29,Usage!$D$5:$D$31,0)),"--")</f>
        <v>1.6059999999999999E-5</v>
      </c>
      <c r="J29" s="279">
        <f ca="1">IFERROR(INDEX('Emission Factors'!I$7:I$24,MATCH(OFFSET(Usage!$D28,0,-2),'Emission Factors'!$B$7:$B$45,0))*INDEX(Usage!$M$5:$M$31,MATCH('Outside Emissions'!$C29,Usage!$D$5:$D$31,0)),"--")</f>
        <v>2.8200000000000001E-6</v>
      </c>
      <c r="K29" s="279">
        <f ca="1">IFERROR(INDEX('Emission Factors'!J$7:J$24,MATCH(OFFSET(Usage!$D28,0,-2),'Emission Factors'!$B$7:$B$45,0))*INDEX(Usage!$M$5:$M$31,MATCH('Outside Emissions'!$C29,Usage!$D$5:$D$31,0)),"--")</f>
        <v>6.3030000000000003E-7</v>
      </c>
      <c r="L29" s="279">
        <f ca="1">IFERROR(INDEX('Emission Factors'!K$7:K$24,MATCH(OFFSET(Usage!$D28,0,-2),'Emission Factors'!$B$7:$B$45,0))*INDEX(Usage!$M$5:$M$31,MATCH('Outside Emissions'!$C29,Usage!$D$5:$D$31,0)),"--")</f>
        <v>3.4379999999999999E-6</v>
      </c>
      <c r="M29" s="279">
        <f ca="1">IFERROR(INDEX('Emission Factors'!L$7:L$24,MATCH(OFFSET(Usage!$D28,0,-2),'Emission Factors'!$B$7:$B$45,0))*INDEX(Usage!$M$5:$M$31,MATCH('Outside Emissions'!$C29,Usage!$D$5:$D$31,0)),"--")</f>
        <v>8.5950000000000016E-6</v>
      </c>
      <c r="N29" s="279">
        <f ca="1">IFERROR(INDEX('Emission Factors'!M$7:M$24,MATCH(OFFSET(Usage!$D28,0,-2),'Emission Factors'!$B$7:$B$45,0))*INDEX(Usage!$M$5:$M$31,MATCH('Outside Emissions'!$C29,Usage!$D$5:$D$31,0)),"--")</f>
        <v>0</v>
      </c>
      <c r="O29" s="279" t="str">
        <f ca="1">IFERROR(INDEX('Emission Factors'!N$7:N$24,MATCH(OFFSET(Usage!$D28,0,-2),'Emission Factors'!$B$7:$B$45,0))*INDEX(Usage!$M$5:$M$31,MATCH('Outside Emissions'!$C29,Usage!$D$5:$D$31,0)),"--")</f>
        <v>--</v>
      </c>
      <c r="P29" s="279">
        <f ca="1">IFERROR(INDEX('Emission Factors'!O$7:O$24,MATCH(OFFSET(Usage!$D28,0,-2),'Emission Factors'!$B$7:$B$45,0))*INDEX(Usage!$M$5:$M$31,MATCH('Outside Emissions'!$C29,Usage!$D$5:$D$31,0)),"--")</f>
        <v>3.4379999999999999E-6</v>
      </c>
      <c r="Q29" s="279" t="str">
        <f ca="1">IFERROR(INDEX('Emission Factors'!P$7:P$24,MATCH(OFFSET(Usage!$D28,0,-2),'Emission Factors'!$B$7:$B$45,0))*INDEX(Usage!$M$5:$M$31,MATCH('Outside Emissions'!$C29,Usage!$D$5:$D$31,0)),"--")</f>
        <v>--</v>
      </c>
      <c r="R29" s="280" t="str">
        <f ca="1">IFERROR(INDEX('Emission Factors'!Q$7:Q$24,MATCH(OFFSET(Usage!$D28,0,-2),'Emission Factors'!$B$7:$B$45,0))*INDEX(Usage!$M$5:$M$31,MATCH('Outside Emissions'!$C29,Usage!$D$5:$D$31,0)),"--")</f>
        <v>--</v>
      </c>
      <c r="S29" s="292">
        <f ca="1">IFERROR(INDEX('Emission Factors'!R$7:R$24,MATCH(OFFSET(Usage!$D28,0,-2),'Emission Factors'!$B$7:$B$45,0))*INDEX(Usage!$M$5:$M$31,MATCH('Outside Emissions'!$C29,Usage!$D$5:$D$31,0)),"--")</f>
        <v>6.3030000000000003E-7</v>
      </c>
      <c r="T29" s="292">
        <f ca="1">IFERROR(INDEX('Emission Factors'!S$7:S$24,MATCH(OFFSET(Usage!$D28,0,-2),'Emission Factors'!$B$7:$B$45,0))*INDEX(Usage!$M$5:$M$31,MATCH('Outside Emissions'!$C29,Usage!$D$5:$D$31,0)),"--")</f>
        <v>9.455485356956748E-7</v>
      </c>
    </row>
    <row r="30" spans="2:20" x14ac:dyDescent="0.25">
      <c r="B30" s="190" t="s">
        <v>66</v>
      </c>
      <c r="C30" s="299" t="s">
        <v>91</v>
      </c>
      <c r="D30" s="309">
        <f ca="1">IFERROR(INDEX('Emission Factors'!C$7:C$24,MATCH(OFFSET(Usage!$D29,0,-2),'Emission Factors'!$B$7:$B$45,0))*INDEX(Usage!$M$5:$M$31,MATCH('Outside Emissions'!$C30,Usage!$D$5:$D$31,0)),"--")</f>
        <v>0</v>
      </c>
      <c r="E30" s="279" t="str">
        <f ca="1">IFERROR(INDEX('Emission Factors'!D$7:D$24,MATCH(OFFSET(Usage!$D29,0,-2),'Emission Factors'!$B$7:$B$45,0))*INDEX(Usage!$M$5:$M$31,MATCH('Outside Emissions'!$C30,Usage!$D$5:$D$31,0)),"--")</f>
        <v>--</v>
      </c>
      <c r="F30" s="279" t="str">
        <f ca="1">IFERROR(INDEX('Emission Factors'!E$7:E$24,MATCH(OFFSET(Usage!$D29,0,-2),'Emission Factors'!$B$7:$B$45,0))*INDEX(Usage!$M$5:$M$31,MATCH('Outside Emissions'!$C30,Usage!$D$5:$D$31,0)),"--")</f>
        <v>--</v>
      </c>
      <c r="G30" s="279" t="str">
        <f ca="1">IFERROR(INDEX('Emission Factors'!F$7:F$24,MATCH(OFFSET(Usage!$D29,0,-2),'Emission Factors'!$B$7:$B$45,0))*INDEX(Usage!$M$5:$M$31,MATCH('Outside Emissions'!$C30,Usage!$D$5:$D$31,0)),"--")</f>
        <v>--</v>
      </c>
      <c r="H30" s="279">
        <f ca="1">IFERROR(INDEX('Emission Factors'!G$7:G$24,MATCH(OFFSET(Usage!$D29,0,-2),'Emission Factors'!$B$7:$B$45,0))*INDEX(Usage!$M$5:$M$31,MATCH('Outside Emissions'!$C30,Usage!$D$5:$D$31,0)),"--")</f>
        <v>0</v>
      </c>
      <c r="I30" s="279">
        <f ca="1">IFERROR(INDEX('Emission Factors'!H$7:H$24,MATCH(OFFSET(Usage!$D29,0,-2),'Emission Factors'!$B$7:$B$45,0))*INDEX(Usage!$M$5:$M$31,MATCH('Outside Emissions'!$C30,Usage!$D$5:$D$31,0)),"--")</f>
        <v>0</v>
      </c>
      <c r="J30" s="279">
        <f ca="1">IFERROR(INDEX('Emission Factors'!I$7:I$24,MATCH(OFFSET(Usage!$D29,0,-2),'Emission Factors'!$B$7:$B$45,0))*INDEX(Usage!$M$5:$M$31,MATCH('Outside Emissions'!$C30,Usage!$D$5:$D$31,0)),"--")</f>
        <v>0</v>
      </c>
      <c r="K30" s="279">
        <f ca="1">IFERROR(INDEX('Emission Factors'!J$7:J$24,MATCH(OFFSET(Usage!$D29,0,-2),'Emission Factors'!$B$7:$B$45,0))*INDEX(Usage!$M$5:$M$31,MATCH('Outside Emissions'!$C30,Usage!$D$5:$D$31,0)),"--")</f>
        <v>0</v>
      </c>
      <c r="L30" s="279">
        <f ca="1">IFERROR(INDEX('Emission Factors'!K$7:K$24,MATCH(OFFSET(Usage!$D29,0,-2),'Emission Factors'!$B$7:$B$45,0))*INDEX(Usage!$M$5:$M$31,MATCH('Outside Emissions'!$C30,Usage!$D$5:$D$31,0)),"--")</f>
        <v>0</v>
      </c>
      <c r="M30" s="279">
        <f ca="1">IFERROR(INDEX('Emission Factors'!L$7:L$24,MATCH(OFFSET(Usage!$D29,0,-2),'Emission Factors'!$B$7:$B$45,0))*INDEX(Usage!$M$5:$M$31,MATCH('Outside Emissions'!$C30,Usage!$D$5:$D$31,0)),"--")</f>
        <v>0</v>
      </c>
      <c r="N30" s="279">
        <f ca="1">IFERROR(INDEX('Emission Factors'!M$7:M$24,MATCH(OFFSET(Usage!$D29,0,-2),'Emission Factors'!$B$7:$B$45,0))*INDEX(Usage!$M$5:$M$31,MATCH('Outside Emissions'!$C30,Usage!$D$5:$D$31,0)),"--")</f>
        <v>0</v>
      </c>
      <c r="O30" s="279" t="str">
        <f ca="1">IFERROR(INDEX('Emission Factors'!N$7:N$24,MATCH(OFFSET(Usage!$D29,0,-2),'Emission Factors'!$B$7:$B$45,0))*INDEX(Usage!$M$5:$M$31,MATCH('Outside Emissions'!$C30,Usage!$D$5:$D$31,0)),"--")</f>
        <v>--</v>
      </c>
      <c r="P30" s="279">
        <f ca="1">IFERROR(INDEX('Emission Factors'!O$7:O$24,MATCH(OFFSET(Usage!$D29,0,-2),'Emission Factors'!$B$7:$B$45,0))*INDEX(Usage!$M$5:$M$31,MATCH('Outside Emissions'!$C30,Usage!$D$5:$D$31,0)),"--")</f>
        <v>0</v>
      </c>
      <c r="Q30" s="279">
        <f ca="1">IFERROR(INDEX('Emission Factors'!P$7:P$24,MATCH(OFFSET(Usage!$D29,0,-2),'Emission Factors'!$B$7:$B$45,0))*INDEX(Usage!$M$5:$M$31,MATCH('Outside Emissions'!$C30,Usage!$D$5:$D$31,0)),"--")</f>
        <v>0</v>
      </c>
      <c r="R30" s="280" t="str">
        <f ca="1">IFERROR(INDEX('Emission Factors'!Q$7:Q$24,MATCH(OFFSET(Usage!$D29,0,-2),'Emission Factors'!$B$7:$B$45,0))*INDEX(Usage!$M$5:$M$31,MATCH('Outside Emissions'!$C30,Usage!$D$5:$D$31,0)),"--")</f>
        <v>--</v>
      </c>
      <c r="S30" s="292" t="str">
        <f ca="1">IFERROR(INDEX('Emission Factors'!R$7:R$24,MATCH(OFFSET(Usage!$D29,0,-2),'Emission Factors'!$B$7:$B$45,0))*INDEX(Usage!$M$5:$M$31,MATCH('Outside Emissions'!$C30,Usage!$D$5:$D$31,0)),"--")</f>
        <v>--</v>
      </c>
      <c r="T30" s="292">
        <f ca="1">IFERROR(INDEX('Emission Factors'!S$7:S$24,MATCH(OFFSET(Usage!$D29,0,-2),'Emission Factors'!$B$7:$B$45,0))*INDEX(Usage!$M$5:$M$31,MATCH('Outside Emissions'!$C30,Usage!$D$5:$D$31,0)),"--")</f>
        <v>0</v>
      </c>
    </row>
    <row r="31" spans="2:20" x14ac:dyDescent="0.25">
      <c r="B31" s="190" t="s">
        <v>46</v>
      </c>
      <c r="C31" s="299" t="s">
        <v>168</v>
      </c>
      <c r="D31" s="309">
        <f ca="1">IFERROR(INDEX('Emission Factors'!C$7:C$24,MATCH(OFFSET(Usage!$D30,0,-2),'Emission Factors'!$B$7:$B$45,0))*INDEX(Usage!$M$5:$M$31,MATCH('Outside Emissions'!$C31,Usage!$D$5:$D$31,0)),"--")</f>
        <v>7.8787500000000006E-7</v>
      </c>
      <c r="E31" s="279" t="str">
        <f ca="1">IFERROR(INDEX('Emission Factors'!D$7:D$24,MATCH(OFFSET(Usage!$D30,0,-2),'Emission Factors'!$B$7:$B$45,0))*INDEX(Usage!$M$5:$M$31,MATCH('Outside Emissions'!$C31,Usage!$D$5:$D$31,0)),"--")</f>
        <v>--</v>
      </c>
      <c r="F31" s="279" t="str">
        <f ca="1">IFERROR(INDEX('Emission Factors'!E$7:E$24,MATCH(OFFSET(Usage!$D30,0,-2),'Emission Factors'!$B$7:$B$45,0))*INDEX(Usage!$M$5:$M$31,MATCH('Outside Emissions'!$C31,Usage!$D$5:$D$31,0)),"--")</f>
        <v>--</v>
      </c>
      <c r="G31" s="279" t="str">
        <f ca="1">IFERROR(INDEX('Emission Factors'!F$7:F$24,MATCH(OFFSET(Usage!$D30,0,-2),'Emission Factors'!$B$7:$B$45,0))*INDEX(Usage!$M$5:$M$31,MATCH('Outside Emissions'!$C31,Usage!$D$5:$D$31,0)),"--")</f>
        <v>--</v>
      </c>
      <c r="H31" s="279">
        <f ca="1">IFERROR(INDEX('Emission Factors'!G$7:G$24,MATCH(OFFSET(Usage!$D30,0,-2),'Emission Factors'!$B$7:$B$45,0))*INDEX(Usage!$M$5:$M$31,MATCH('Outside Emissions'!$C31,Usage!$D$5:$D$31,0)),"--")</f>
        <v>7.8787500000000006E-7</v>
      </c>
      <c r="I31" s="279">
        <f ca="1">IFERROR(INDEX('Emission Factors'!H$7:H$24,MATCH(OFFSET(Usage!$D30,0,-2),'Emission Factors'!$B$7:$B$45,0))*INDEX(Usage!$M$5:$M$31,MATCH('Outside Emissions'!$C31,Usage!$D$5:$D$31,0)),"--")</f>
        <v>2.1487500000000004E-5</v>
      </c>
      <c r="J31" s="279">
        <f ca="1">IFERROR(INDEX('Emission Factors'!I$7:I$24,MATCH(OFFSET(Usage!$D30,0,-2),'Emission Factors'!$B$7:$B$45,0))*INDEX(Usage!$M$5:$M$31,MATCH('Outside Emissions'!$C31,Usage!$D$5:$D$31,0)),"--")</f>
        <v>1.1818125000000003E-5</v>
      </c>
      <c r="K31" s="279">
        <f ca="1">IFERROR(INDEX('Emission Factors'!J$7:J$24,MATCH(OFFSET(Usage!$D30,0,-2),'Emission Factors'!$B$7:$B$45,0))*INDEX(Usage!$M$5:$M$31,MATCH('Outside Emissions'!$C31,Usage!$D$5:$D$31,0)),"--")</f>
        <v>7.8787500000000006E-7</v>
      </c>
      <c r="L31" s="279">
        <f ca="1">IFERROR(INDEX('Emission Factors'!K$7:K$24,MATCH(OFFSET(Usage!$D30,0,-2),'Emission Factors'!$B$7:$B$45,0))*INDEX(Usage!$M$5:$M$31,MATCH('Outside Emissions'!$C31,Usage!$D$5:$D$31,0)),"--")</f>
        <v>7.8787500000000006E-7</v>
      </c>
      <c r="M31" s="279">
        <f ca="1">IFERROR(INDEX('Emission Factors'!L$7:L$24,MATCH(OFFSET(Usage!$D30,0,-2),'Emission Factors'!$B$7:$B$45,0))*INDEX(Usage!$M$5:$M$31,MATCH('Outside Emissions'!$C31,Usage!$D$5:$D$31,0)),"--")</f>
        <v>5.0137499999999999E-5</v>
      </c>
      <c r="N31" s="279" t="str">
        <f ca="1">IFERROR(INDEX('Emission Factors'!M$7:M$24,MATCH(OFFSET(Usage!$D30,0,-2),'Emission Factors'!$B$7:$B$45,0))*INDEX(Usage!$M$5:$M$31,MATCH('Outside Emissions'!$C31,Usage!$D$5:$D$31,0)),"--")</f>
        <v>--</v>
      </c>
      <c r="O31" s="279" t="str">
        <f ca="1">IFERROR(INDEX('Emission Factors'!N$7:N$24,MATCH(OFFSET(Usage!$D30,0,-2),'Emission Factors'!$B$7:$B$45,0))*INDEX(Usage!$M$5:$M$31,MATCH('Outside Emissions'!$C31,Usage!$D$5:$D$31,0)),"--")</f>
        <v>--</v>
      </c>
      <c r="P31" s="279">
        <f ca="1">IFERROR(INDEX('Emission Factors'!O$7:O$24,MATCH(OFFSET(Usage!$D30,0,-2),'Emission Factors'!$B$7:$B$45,0))*INDEX(Usage!$M$5:$M$31,MATCH('Outside Emissions'!$C31,Usage!$D$5:$D$31,0)),"--")</f>
        <v>7.8787500000000006E-7</v>
      </c>
      <c r="Q31" s="279">
        <f ca="1">IFERROR(INDEX('Emission Factors'!P$7:P$24,MATCH(OFFSET(Usage!$D30,0,-2),'Emission Factors'!$B$7:$B$45,0))*INDEX(Usage!$M$5:$M$31,MATCH('Outside Emissions'!$C31,Usage!$D$5:$D$31,0)),"--")</f>
        <v>7.8787500000000006E-7</v>
      </c>
      <c r="R31" s="280">
        <f ca="1">IFERROR(INDEX('Emission Factors'!Q$7:Q$24,MATCH(OFFSET(Usage!$D30,0,-2),'Emission Factors'!$B$7:$B$45,0))*INDEX(Usage!$M$5:$M$31,MATCH('Outside Emissions'!$C31,Usage!$D$5:$D$31,0)),"--")</f>
        <v>7.8787500000000006E-7</v>
      </c>
      <c r="S31" s="292">
        <f ca="1">IFERROR(INDEX('Emission Factors'!R$7:R$24,MATCH(OFFSET(Usage!$D30,0,-2),'Emission Factors'!$B$7:$B$45,0))*INDEX(Usage!$M$5:$M$31,MATCH('Outside Emissions'!$C31,Usage!$D$5:$D$31,0)),"--")</f>
        <v>4.425013130452341E-6</v>
      </c>
      <c r="T31" s="292">
        <f ca="1">IFERROR(INDEX('Emission Factors'!S$7:S$24,MATCH(OFFSET(Usage!$D30,0,-2),'Emission Factors'!$B$7:$B$45,0))*INDEX(Usage!$M$5:$M$31,MATCH('Outside Emissions'!$C31,Usage!$D$5:$D$31,0)),"--")</f>
        <v>1.6117304585721735E-5</v>
      </c>
    </row>
    <row r="32" spans="2:20" ht="13" thickBot="1" x14ac:dyDescent="0.3">
      <c r="B32" s="190" t="s">
        <v>51</v>
      </c>
      <c r="C32" s="302" t="s">
        <v>165</v>
      </c>
      <c r="D32" s="310" t="str">
        <f ca="1">IFERROR(INDEX('Emission Factors'!C$7:C$24,MATCH(OFFSET(Usage!$D31,0,-2),'Emission Factors'!$B$7:$B$45,0))*INDEX(Usage!$M$5:$M$31,MATCH('Outside Emissions'!$C32,Usage!$D$5:$D$31,0)),"--")</f>
        <v>--</v>
      </c>
      <c r="E32" s="283" t="str">
        <f ca="1">IFERROR(INDEX('Emission Factors'!D$7:D$24,MATCH(OFFSET(Usage!$D31,0,-2),'Emission Factors'!$B$7:$B$45,0))*INDEX(Usage!$M$5:$M$31,MATCH('Outside Emissions'!$C32,Usage!$D$5:$D$31,0)),"--")</f>
        <v>--</v>
      </c>
      <c r="F32" s="283" t="str">
        <f ca="1">IFERROR(INDEX('Emission Factors'!E$7:E$24,MATCH(OFFSET(Usage!$D31,0,-2),'Emission Factors'!$B$7:$B$45,0))*INDEX(Usage!$M$5:$M$31,MATCH('Outside Emissions'!$C32,Usage!$D$5:$D$31,0)),"--")</f>
        <v>--</v>
      </c>
      <c r="G32" s="283" t="str">
        <f ca="1">IFERROR(INDEX('Emission Factors'!F$7:F$24,MATCH(OFFSET(Usage!$D31,0,-2),'Emission Factors'!$B$7:$B$45,0))*INDEX(Usage!$M$5:$M$31,MATCH('Outside Emissions'!$C32,Usage!$D$5:$D$31,0)),"--")</f>
        <v>--</v>
      </c>
      <c r="H32" s="283" t="str">
        <f ca="1">IFERROR(INDEX('Emission Factors'!G$7:G$24,MATCH(OFFSET(Usage!$D31,0,-2),'Emission Factors'!$B$7:$B$45,0))*INDEX(Usage!$M$5:$M$31,MATCH('Outside Emissions'!$C32,Usage!$D$5:$D$31,0)),"--")</f>
        <v>--</v>
      </c>
      <c r="I32" s="283" t="str">
        <f ca="1">IFERROR(INDEX('Emission Factors'!H$7:H$24,MATCH(OFFSET(Usage!$D31,0,-2),'Emission Factors'!$B$7:$B$45,0))*INDEX(Usage!$M$5:$M$31,MATCH('Outside Emissions'!$C32,Usage!$D$5:$D$31,0)),"--")</f>
        <v>--</v>
      </c>
      <c r="J32" s="283" t="str">
        <f ca="1">IFERROR(INDEX('Emission Factors'!I$7:I$24,MATCH(OFFSET(Usage!$D31,0,-2),'Emission Factors'!$B$7:$B$45,0))*INDEX(Usage!$M$5:$M$31,MATCH('Outside Emissions'!$C32,Usage!$D$5:$D$31,0)),"--")</f>
        <v>--</v>
      </c>
      <c r="K32" s="283">
        <f ca="1">IFERROR(INDEX('Emission Factors'!J$7:J$24,MATCH(OFFSET(Usage!$D31,0,-2),'Emission Factors'!$B$7:$B$45,0))*INDEX(Usage!$M$5:$M$31,MATCH('Outside Emissions'!$C32,Usage!$D$5:$D$31,0)),"--")</f>
        <v>1.0000000000000002E-2</v>
      </c>
      <c r="L32" s="283" t="str">
        <f ca="1">IFERROR(INDEX('Emission Factors'!K$7:K$24,MATCH(OFFSET(Usage!$D31,0,-2),'Emission Factors'!$B$7:$B$45,0))*INDEX(Usage!$M$5:$M$31,MATCH('Outside Emissions'!$C32,Usage!$D$5:$D$31,0)),"--")</f>
        <v>--</v>
      </c>
      <c r="M32" s="283" t="str">
        <f ca="1">IFERROR(INDEX('Emission Factors'!L$7:L$24,MATCH(OFFSET(Usage!$D31,0,-2),'Emission Factors'!$B$7:$B$45,0))*INDEX(Usage!$M$5:$M$31,MATCH('Outside Emissions'!$C32,Usage!$D$5:$D$31,0)),"--")</f>
        <v>--</v>
      </c>
      <c r="N32" s="283" t="str">
        <f ca="1">IFERROR(INDEX('Emission Factors'!M$7:M$24,MATCH(OFFSET(Usage!$D31,0,-2),'Emission Factors'!$B$7:$B$45,0))*INDEX(Usage!$M$5:$M$31,MATCH('Outside Emissions'!$C32,Usage!$D$5:$D$31,0)),"--")</f>
        <v>--</v>
      </c>
      <c r="O32" s="283" t="str">
        <f ca="1">IFERROR(INDEX('Emission Factors'!N$7:N$24,MATCH(OFFSET(Usage!$D31,0,-2),'Emission Factors'!$B$7:$B$45,0))*INDEX(Usage!$M$5:$M$31,MATCH('Outside Emissions'!$C32,Usage!$D$5:$D$31,0)),"--")</f>
        <v>--</v>
      </c>
      <c r="P32" s="283">
        <f ca="1">IFERROR(INDEX('Emission Factors'!O$7:O$24,MATCH(OFFSET(Usage!$D31,0,-2),'Emission Factors'!$B$7:$B$45,0))*INDEX(Usage!$M$5:$M$31,MATCH('Outside Emissions'!$C32,Usage!$D$5:$D$31,0)),"--")</f>
        <v>2.7500000000000002E-4</v>
      </c>
      <c r="Q32" s="283" t="str">
        <f ca="1">IFERROR(INDEX('Emission Factors'!P$7:P$24,MATCH(OFFSET(Usage!$D31,0,-2),'Emission Factors'!$B$7:$B$45,0))*INDEX(Usage!$M$5:$M$31,MATCH('Outside Emissions'!$C32,Usage!$D$5:$D$31,0)),"--")</f>
        <v>--</v>
      </c>
      <c r="R32" s="284" t="str">
        <f ca="1">IFERROR(INDEX('Emission Factors'!Q$7:Q$24,MATCH(OFFSET(Usage!$D31,0,-2),'Emission Factors'!$B$7:$B$45,0))*INDEX(Usage!$M$5:$M$31,MATCH('Outside Emissions'!$C32,Usage!$D$5:$D$31,0)),"--")</f>
        <v>--</v>
      </c>
      <c r="S32" s="293" t="str">
        <f ca="1">IFERROR(INDEX('Emission Factors'!R$7:R$24,MATCH(OFFSET(Usage!$D31,0,-2),'Emission Factors'!$B$7:$B$45,0))*INDEX(Usage!$M$5:$M$31,MATCH('Outside Emissions'!$C32,Usage!$D$5:$D$31,0)),"--")</f>
        <v>--</v>
      </c>
      <c r="T32" s="293" t="str">
        <f ca="1">IFERROR(INDEX('Emission Factors'!S$7:S$24,MATCH(OFFSET(Usage!$D31,0,-2),'Emission Factors'!$B$7:$B$45,0))*INDEX(Usage!$M$5:$M$31,MATCH('Outside Emissions'!$C32,Usage!$D$5:$D$31,0)),"--")</f>
        <v>--</v>
      </c>
    </row>
    <row r="33" spans="3:20" ht="13" thickBot="1" x14ac:dyDescent="0.3">
      <c r="C33" s="311" t="s">
        <v>158</v>
      </c>
      <c r="D33" s="524">
        <f ca="1">SUM(D6:D32,E6:E32)</f>
        <v>5.5749485813399886E-6</v>
      </c>
      <c r="E33" s="524"/>
      <c r="F33" s="287">
        <f t="shared" ref="F33:S33" ca="1" si="0">SUM(F6:F32)</f>
        <v>0</v>
      </c>
      <c r="G33" s="287">
        <f t="shared" ca="1" si="0"/>
        <v>0</v>
      </c>
      <c r="H33" s="287">
        <f t="shared" ca="1" si="0"/>
        <v>1.0878750000000002E-6</v>
      </c>
      <c r="I33" s="287">
        <f t="shared" ca="1" si="0"/>
        <v>6.1197797999999986E-4</v>
      </c>
      <c r="J33" s="287">
        <f t="shared" ca="1" si="0"/>
        <v>6.3520439000000009E-5</v>
      </c>
      <c r="K33" s="549">
        <f t="shared" ca="1" si="0"/>
        <v>1.0006770709400002E-2</v>
      </c>
      <c r="L33" s="287">
        <f t="shared" ca="1" si="0"/>
        <v>8.3303705500000012E-4</v>
      </c>
      <c r="M33" s="287">
        <f t="shared" ca="1" si="0"/>
        <v>1.3981396000000004E-4</v>
      </c>
      <c r="N33" s="287">
        <f t="shared" ca="1" si="0"/>
        <v>1.0682120000000001E-6</v>
      </c>
      <c r="O33" s="287">
        <f t="shared" ca="1" si="0"/>
        <v>0</v>
      </c>
      <c r="P33" s="287">
        <f t="shared" ca="1" si="0"/>
        <v>3.5791785423745515E-4</v>
      </c>
      <c r="Q33" s="287">
        <f t="shared" ca="1" si="0"/>
        <v>1.559670744E-6</v>
      </c>
      <c r="R33" s="288">
        <f t="shared" ca="1" si="0"/>
        <v>7.8787500000000006E-7</v>
      </c>
      <c r="S33" s="289">
        <f t="shared" ca="1" si="0"/>
        <v>4.9370370108685381E-5</v>
      </c>
      <c r="T33" s="522">
        <f t="shared" ref="T33" ca="1" si="1">SUM(T6:T32)</f>
        <v>4.3602611912004174E-5</v>
      </c>
    </row>
  </sheetData>
  <mergeCells count="1">
    <mergeCell ref="D4:S4"/>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DDF83-06EB-450E-9B5D-1925537B3193}">
  <sheetPr>
    <tabColor rgb="FFFFFF00"/>
  </sheetPr>
  <dimension ref="A1:N71"/>
  <sheetViews>
    <sheetView topLeftCell="A33" zoomScale="60" zoomScaleNormal="60" workbookViewId="0">
      <selection activeCell="M61" sqref="M61"/>
    </sheetView>
  </sheetViews>
  <sheetFormatPr defaultRowHeight="12.5" x14ac:dyDescent="0.25"/>
  <cols>
    <col min="1" max="1" width="9.1796875" style="290"/>
    <col min="2" max="2" width="18.1796875" style="290" customWidth="1"/>
    <col min="3" max="3" width="2.54296875" style="290" customWidth="1"/>
    <col min="4" max="4" width="23.1796875" style="290" bestFit="1" customWidth="1"/>
    <col min="5" max="6" width="14.453125" style="290" customWidth="1"/>
    <col min="7" max="7" width="21.81640625" style="290" customWidth="1"/>
    <col min="8" max="8" width="16.1796875" style="290" customWidth="1"/>
    <col min="9" max="9" width="23.453125" style="290" customWidth="1"/>
    <col min="10" max="10" width="14" style="290" customWidth="1"/>
    <col min="11" max="11" width="17.1796875" style="290" customWidth="1"/>
    <col min="12" max="13" width="15.81640625" style="290" customWidth="1"/>
    <col min="14" max="14" width="18.1796875" style="290" customWidth="1"/>
    <col min="15" max="16376" width="9.1796875" style="290"/>
    <col min="16377" max="16378" width="8.81640625" style="290" bestFit="1" customWidth="1"/>
    <col min="16379" max="16384" width="8.81640625" style="290" customWidth="1"/>
  </cols>
  <sheetData>
    <row r="1" spans="2:14" x14ac:dyDescent="0.25">
      <c r="B1" s="101"/>
      <c r="C1" s="101"/>
      <c r="D1" s="101"/>
      <c r="E1" s="101"/>
      <c r="F1" s="101"/>
      <c r="G1" s="101"/>
      <c r="H1" s="101"/>
      <c r="I1" s="101"/>
      <c r="J1" s="101"/>
      <c r="K1" s="101"/>
      <c r="L1" s="101"/>
      <c r="M1" s="101"/>
      <c r="N1" s="101"/>
    </row>
    <row r="2" spans="2:14" x14ac:dyDescent="0.25">
      <c r="B2" s="101"/>
      <c r="C2" s="101"/>
      <c r="D2" s="100" t="s">
        <v>172</v>
      </c>
      <c r="E2" s="101"/>
      <c r="F2" s="101"/>
      <c r="G2" s="101"/>
      <c r="H2" s="101"/>
      <c r="I2" s="101"/>
      <c r="J2" s="101"/>
      <c r="K2" s="101"/>
      <c r="L2" s="101"/>
      <c r="M2" s="101"/>
      <c r="N2" s="101"/>
    </row>
    <row r="3" spans="2:14" ht="7" customHeight="1" thickBot="1" x14ac:dyDescent="0.3">
      <c r="B3" s="101"/>
      <c r="C3" s="101"/>
      <c r="D3" s="312"/>
      <c r="E3" s="312"/>
      <c r="F3" s="312"/>
      <c r="G3" s="312"/>
      <c r="H3" s="312"/>
      <c r="I3" s="312"/>
      <c r="J3" s="312"/>
      <c r="K3" s="312"/>
      <c r="L3" s="312"/>
      <c r="M3" s="312"/>
      <c r="N3" s="101"/>
    </row>
    <row r="4" spans="2:14" ht="25.5" thickBot="1" x14ac:dyDescent="0.3">
      <c r="B4" s="101"/>
      <c r="C4" s="101"/>
      <c r="D4" s="492" t="s">
        <v>173</v>
      </c>
      <c r="E4" s="194" t="s">
        <v>174</v>
      </c>
      <c r="F4" s="313" t="s">
        <v>175</v>
      </c>
      <c r="G4" s="314" t="s">
        <v>176</v>
      </c>
      <c r="H4" s="273" t="s">
        <v>177</v>
      </c>
      <c r="I4" s="314" t="s">
        <v>178</v>
      </c>
      <c r="J4" s="315" t="s">
        <v>179</v>
      </c>
      <c r="K4" s="244" t="s">
        <v>180</v>
      </c>
      <c r="L4" s="316" t="s">
        <v>181</v>
      </c>
      <c r="M4" s="317" t="s">
        <v>182</v>
      </c>
      <c r="N4" s="190"/>
    </row>
    <row r="5" spans="2:14" x14ac:dyDescent="0.25">
      <c r="B5" s="224" t="s">
        <v>36</v>
      </c>
      <c r="C5" s="217"/>
      <c r="D5" s="318" t="s">
        <v>64</v>
      </c>
      <c r="E5" s="319">
        <v>100</v>
      </c>
      <c r="F5" s="320">
        <v>90</v>
      </c>
      <c r="G5" s="321">
        <f t="shared" ref="G5:G31" si="0">$E5*F5/100</f>
        <v>90</v>
      </c>
      <c r="H5" s="321">
        <v>0</v>
      </c>
      <c r="I5" s="321">
        <f t="shared" ref="I5:I31" si="1">$E5*H5/100</f>
        <v>0</v>
      </c>
      <c r="J5" s="321">
        <v>9.9</v>
      </c>
      <c r="K5" s="321">
        <f>$E5*J5/100</f>
        <v>9.9</v>
      </c>
      <c r="L5" s="320">
        <v>0.1</v>
      </c>
      <c r="M5" s="214">
        <f t="shared" ref="M5:M31" si="2">$E5*L5/100</f>
        <v>0.1</v>
      </c>
      <c r="N5" s="101"/>
    </row>
    <row r="6" spans="2:14" x14ac:dyDescent="0.25">
      <c r="B6" s="190" t="s">
        <v>66</v>
      </c>
      <c r="C6" s="217"/>
      <c r="D6" s="322" t="s">
        <v>67</v>
      </c>
      <c r="E6" s="323">
        <v>400</v>
      </c>
      <c r="F6" s="324">
        <v>100</v>
      </c>
      <c r="G6" s="95">
        <f>$E6*F6/100</f>
        <v>400</v>
      </c>
      <c r="H6" s="95">
        <v>0</v>
      </c>
      <c r="I6" s="95">
        <f t="shared" si="1"/>
        <v>0</v>
      </c>
      <c r="J6" s="95">
        <v>0</v>
      </c>
      <c r="K6" s="95">
        <f t="shared" ref="K6:K31" si="3">$E6*J6/100</f>
        <v>0</v>
      </c>
      <c r="L6" s="324">
        <v>0</v>
      </c>
      <c r="M6" s="208">
        <f t="shared" si="2"/>
        <v>0</v>
      </c>
      <c r="N6" s="101"/>
    </row>
    <row r="7" spans="2:14" x14ac:dyDescent="0.25">
      <c r="B7" s="190" t="s">
        <v>36</v>
      </c>
      <c r="C7" s="217"/>
      <c r="D7" s="322" t="s">
        <v>68</v>
      </c>
      <c r="E7" s="323">
        <v>132</v>
      </c>
      <c r="F7" s="324">
        <v>90</v>
      </c>
      <c r="G7" s="95">
        <f t="shared" si="0"/>
        <v>118.8</v>
      </c>
      <c r="H7" s="95">
        <v>0</v>
      </c>
      <c r="I7" s="95">
        <f t="shared" si="1"/>
        <v>0</v>
      </c>
      <c r="J7" s="95">
        <v>9.9</v>
      </c>
      <c r="K7" s="95">
        <f t="shared" si="3"/>
        <v>13.068</v>
      </c>
      <c r="L7" s="324">
        <v>0.1</v>
      </c>
      <c r="M7" s="208">
        <f t="shared" si="2"/>
        <v>0.13200000000000001</v>
      </c>
      <c r="N7" s="101"/>
    </row>
    <row r="8" spans="2:14" x14ac:dyDescent="0.25">
      <c r="B8" s="190" t="s">
        <v>41</v>
      </c>
      <c r="C8" s="217"/>
      <c r="D8" s="322" t="s">
        <v>69</v>
      </c>
      <c r="E8" s="323">
        <v>10</v>
      </c>
      <c r="F8" s="324">
        <v>10</v>
      </c>
      <c r="G8" s="95">
        <f t="shared" si="0"/>
        <v>1</v>
      </c>
      <c r="H8" s="95">
        <v>80</v>
      </c>
      <c r="I8" s="95">
        <f t="shared" si="1"/>
        <v>8</v>
      </c>
      <c r="J8" s="95">
        <v>9.9</v>
      </c>
      <c r="K8" s="95">
        <f t="shared" si="3"/>
        <v>0.99</v>
      </c>
      <c r="L8" s="324">
        <v>0.1</v>
      </c>
      <c r="M8" s="208">
        <f t="shared" si="2"/>
        <v>0.01</v>
      </c>
      <c r="N8" s="101"/>
    </row>
    <row r="9" spans="2:14" x14ac:dyDescent="0.25">
      <c r="B9" s="190" t="s">
        <v>41</v>
      </c>
      <c r="C9" s="217"/>
      <c r="D9" s="322" t="s">
        <v>70</v>
      </c>
      <c r="E9" s="323">
        <v>10</v>
      </c>
      <c r="F9" s="324">
        <v>10</v>
      </c>
      <c r="G9" s="95">
        <f t="shared" si="0"/>
        <v>1</v>
      </c>
      <c r="H9" s="95">
        <v>80</v>
      </c>
      <c r="I9" s="95">
        <f t="shared" si="1"/>
        <v>8</v>
      </c>
      <c r="J9" s="95">
        <v>9.9</v>
      </c>
      <c r="K9" s="95">
        <f t="shared" si="3"/>
        <v>0.99</v>
      </c>
      <c r="L9" s="324">
        <v>0.1</v>
      </c>
      <c r="M9" s="208">
        <f t="shared" si="2"/>
        <v>0.01</v>
      </c>
      <c r="N9" s="101"/>
    </row>
    <row r="10" spans="2:14" x14ac:dyDescent="0.25">
      <c r="B10" s="190" t="s">
        <v>40</v>
      </c>
      <c r="C10" s="217"/>
      <c r="D10" s="322" t="s">
        <v>71</v>
      </c>
      <c r="E10" s="323">
        <v>20</v>
      </c>
      <c r="F10" s="324">
        <v>10</v>
      </c>
      <c r="G10" s="95">
        <f t="shared" si="0"/>
        <v>2</v>
      </c>
      <c r="H10" s="95">
        <v>80</v>
      </c>
      <c r="I10" s="95">
        <f t="shared" si="1"/>
        <v>16</v>
      </c>
      <c r="J10" s="95">
        <v>9.9</v>
      </c>
      <c r="K10" s="95">
        <f t="shared" si="3"/>
        <v>1.98</v>
      </c>
      <c r="L10" s="324">
        <v>0.1</v>
      </c>
      <c r="M10" s="208">
        <f t="shared" si="2"/>
        <v>0.02</v>
      </c>
      <c r="N10" s="101"/>
    </row>
    <row r="11" spans="2:14" x14ac:dyDescent="0.25">
      <c r="B11" s="190" t="s">
        <v>40</v>
      </c>
      <c r="C11" s="217"/>
      <c r="D11" s="322" t="s">
        <v>72</v>
      </c>
      <c r="E11" s="323">
        <v>20</v>
      </c>
      <c r="F11" s="324">
        <v>10</v>
      </c>
      <c r="G11" s="95">
        <f t="shared" si="0"/>
        <v>2</v>
      </c>
      <c r="H11" s="95">
        <v>80</v>
      </c>
      <c r="I11" s="95">
        <f t="shared" si="1"/>
        <v>16</v>
      </c>
      <c r="J11" s="95">
        <v>9.9</v>
      </c>
      <c r="K11" s="95">
        <f t="shared" si="3"/>
        <v>1.98</v>
      </c>
      <c r="L11" s="324">
        <v>0.1</v>
      </c>
      <c r="M11" s="208">
        <f t="shared" si="2"/>
        <v>0.02</v>
      </c>
      <c r="N11" s="101"/>
    </row>
    <row r="12" spans="2:14" x14ac:dyDescent="0.25">
      <c r="B12" s="190">
        <v>6010</v>
      </c>
      <c r="C12" s="217"/>
      <c r="D12" s="322" t="s">
        <v>73</v>
      </c>
      <c r="E12" s="323">
        <v>100</v>
      </c>
      <c r="F12" s="324">
        <v>10</v>
      </c>
      <c r="G12" s="95">
        <f t="shared" si="0"/>
        <v>10</v>
      </c>
      <c r="H12" s="95">
        <v>80</v>
      </c>
      <c r="I12" s="95">
        <f t="shared" si="1"/>
        <v>80</v>
      </c>
      <c r="J12" s="95">
        <v>9.9</v>
      </c>
      <c r="K12" s="95">
        <f t="shared" si="3"/>
        <v>9.9</v>
      </c>
      <c r="L12" s="324">
        <v>0.1</v>
      </c>
      <c r="M12" s="208">
        <f t="shared" si="2"/>
        <v>0.1</v>
      </c>
      <c r="N12" s="101"/>
    </row>
    <row r="13" spans="2:14" x14ac:dyDescent="0.25">
      <c r="B13" s="190" t="s">
        <v>38</v>
      </c>
      <c r="C13" s="217"/>
      <c r="D13" s="322" t="s">
        <v>75</v>
      </c>
      <c r="E13" s="323">
        <v>20</v>
      </c>
      <c r="F13" s="324">
        <v>10</v>
      </c>
      <c r="G13" s="95">
        <f t="shared" si="0"/>
        <v>2</v>
      </c>
      <c r="H13" s="95">
        <v>80</v>
      </c>
      <c r="I13" s="95">
        <f t="shared" si="1"/>
        <v>16</v>
      </c>
      <c r="J13" s="95">
        <v>9.9</v>
      </c>
      <c r="K13" s="95">
        <f t="shared" si="3"/>
        <v>1.98</v>
      </c>
      <c r="L13" s="324">
        <v>0.1</v>
      </c>
      <c r="M13" s="208">
        <f t="shared" si="2"/>
        <v>0.02</v>
      </c>
      <c r="N13" s="101"/>
    </row>
    <row r="14" spans="2:14" x14ac:dyDescent="0.25">
      <c r="B14" s="190" t="s">
        <v>36</v>
      </c>
      <c r="C14" s="217"/>
      <c r="D14" s="322" t="s">
        <v>76</v>
      </c>
      <c r="E14" s="323">
        <v>100</v>
      </c>
      <c r="F14" s="324">
        <v>10</v>
      </c>
      <c r="G14" s="95">
        <f t="shared" si="0"/>
        <v>10</v>
      </c>
      <c r="H14" s="95">
        <v>80</v>
      </c>
      <c r="I14" s="95">
        <f t="shared" si="1"/>
        <v>80</v>
      </c>
      <c r="J14" s="95">
        <v>9.9</v>
      </c>
      <c r="K14" s="95">
        <f t="shared" si="3"/>
        <v>9.9</v>
      </c>
      <c r="L14" s="324">
        <v>0.1</v>
      </c>
      <c r="M14" s="208">
        <f t="shared" si="2"/>
        <v>0.1</v>
      </c>
      <c r="N14" s="101"/>
    </row>
    <row r="15" spans="2:14" x14ac:dyDescent="0.25">
      <c r="B15" s="190" t="s">
        <v>39</v>
      </c>
      <c r="C15" s="217"/>
      <c r="D15" s="322" t="s">
        <v>77</v>
      </c>
      <c r="E15" s="323">
        <v>20</v>
      </c>
      <c r="F15" s="324">
        <v>10</v>
      </c>
      <c r="G15" s="95">
        <f t="shared" si="0"/>
        <v>2</v>
      </c>
      <c r="H15" s="95">
        <v>80</v>
      </c>
      <c r="I15" s="95">
        <f t="shared" si="1"/>
        <v>16</v>
      </c>
      <c r="J15" s="95">
        <v>9.9</v>
      </c>
      <c r="K15" s="95">
        <f t="shared" si="3"/>
        <v>1.98</v>
      </c>
      <c r="L15" s="324">
        <v>0.1</v>
      </c>
      <c r="M15" s="208">
        <f t="shared" si="2"/>
        <v>0.02</v>
      </c>
      <c r="N15" s="101"/>
    </row>
    <row r="16" spans="2:14" x14ac:dyDescent="0.25">
      <c r="B16" s="190">
        <v>6010</v>
      </c>
      <c r="C16" s="217"/>
      <c r="D16" s="322" t="s">
        <v>78</v>
      </c>
      <c r="E16" s="323">
        <v>100</v>
      </c>
      <c r="F16" s="324">
        <v>10</v>
      </c>
      <c r="G16" s="95">
        <f t="shared" si="0"/>
        <v>10</v>
      </c>
      <c r="H16" s="95">
        <v>80</v>
      </c>
      <c r="I16" s="95">
        <f t="shared" si="1"/>
        <v>80</v>
      </c>
      <c r="J16" s="95">
        <v>9.9</v>
      </c>
      <c r="K16" s="95">
        <f t="shared" si="3"/>
        <v>9.9</v>
      </c>
      <c r="L16" s="324">
        <v>0.1</v>
      </c>
      <c r="M16" s="208">
        <f t="shared" si="2"/>
        <v>0.1</v>
      </c>
      <c r="N16" s="101"/>
    </row>
    <row r="17" spans="2:14" x14ac:dyDescent="0.25">
      <c r="B17" s="190">
        <v>6010</v>
      </c>
      <c r="C17" s="217"/>
      <c r="D17" s="322" t="s">
        <v>79</v>
      </c>
      <c r="E17" s="323">
        <v>100</v>
      </c>
      <c r="F17" s="324">
        <v>10</v>
      </c>
      <c r="G17" s="95">
        <f t="shared" si="0"/>
        <v>10</v>
      </c>
      <c r="H17" s="95">
        <v>80</v>
      </c>
      <c r="I17" s="95">
        <f t="shared" si="1"/>
        <v>80</v>
      </c>
      <c r="J17" s="95">
        <v>9.9</v>
      </c>
      <c r="K17" s="95">
        <f t="shared" si="3"/>
        <v>9.9</v>
      </c>
      <c r="L17" s="324">
        <v>0.1</v>
      </c>
      <c r="M17" s="208">
        <f t="shared" si="2"/>
        <v>0.1</v>
      </c>
      <c r="N17" s="101"/>
    </row>
    <row r="18" spans="2:14" x14ac:dyDescent="0.25">
      <c r="B18" s="190">
        <v>6010</v>
      </c>
      <c r="C18" s="217"/>
      <c r="D18" s="322" t="s">
        <v>80</v>
      </c>
      <c r="E18" s="323">
        <v>100</v>
      </c>
      <c r="F18" s="324">
        <v>10</v>
      </c>
      <c r="G18" s="95">
        <f t="shared" si="0"/>
        <v>10</v>
      </c>
      <c r="H18" s="95">
        <v>80</v>
      </c>
      <c r="I18" s="95">
        <f t="shared" si="1"/>
        <v>80</v>
      </c>
      <c r="J18" s="95">
        <v>9.9</v>
      </c>
      <c r="K18" s="95">
        <f t="shared" si="3"/>
        <v>9.9</v>
      </c>
      <c r="L18" s="324">
        <v>0.1</v>
      </c>
      <c r="M18" s="208">
        <f t="shared" si="2"/>
        <v>0.1</v>
      </c>
      <c r="N18" s="101"/>
    </row>
    <row r="19" spans="2:14" x14ac:dyDescent="0.25">
      <c r="B19" s="190">
        <v>6011</v>
      </c>
      <c r="C19" s="217"/>
      <c r="D19" s="322" t="s">
        <v>81</v>
      </c>
      <c r="E19" s="323">
        <v>50</v>
      </c>
      <c r="F19" s="324">
        <v>10</v>
      </c>
      <c r="G19" s="95">
        <f t="shared" si="0"/>
        <v>5</v>
      </c>
      <c r="H19" s="95">
        <v>80</v>
      </c>
      <c r="I19" s="95">
        <f t="shared" si="1"/>
        <v>40</v>
      </c>
      <c r="J19" s="95">
        <v>9.9</v>
      </c>
      <c r="K19" s="95">
        <f t="shared" si="3"/>
        <v>4.95</v>
      </c>
      <c r="L19" s="324">
        <v>0.1</v>
      </c>
      <c r="M19" s="208">
        <f t="shared" si="2"/>
        <v>0.05</v>
      </c>
      <c r="N19" s="101"/>
    </row>
    <row r="20" spans="2:14" x14ac:dyDescent="0.25">
      <c r="B20" s="190" t="s">
        <v>45</v>
      </c>
      <c r="C20" s="101"/>
      <c r="D20" s="322" t="s">
        <v>82</v>
      </c>
      <c r="E20" s="323">
        <v>20</v>
      </c>
      <c r="F20" s="324">
        <v>10</v>
      </c>
      <c r="G20" s="95">
        <f t="shared" si="0"/>
        <v>2</v>
      </c>
      <c r="H20" s="95">
        <v>80</v>
      </c>
      <c r="I20" s="95">
        <f t="shared" si="1"/>
        <v>16</v>
      </c>
      <c r="J20" s="95">
        <v>9.9</v>
      </c>
      <c r="K20" s="95">
        <f t="shared" si="3"/>
        <v>1.98</v>
      </c>
      <c r="L20" s="324">
        <v>0.1</v>
      </c>
      <c r="M20" s="208">
        <f t="shared" si="2"/>
        <v>0.02</v>
      </c>
      <c r="N20" s="101"/>
    </row>
    <row r="21" spans="2:14" x14ac:dyDescent="0.25">
      <c r="B21" s="190" t="s">
        <v>49</v>
      </c>
      <c r="C21" s="101"/>
      <c r="D21" s="322" t="s">
        <v>83</v>
      </c>
      <c r="E21" s="323">
        <v>20</v>
      </c>
      <c r="F21" s="324">
        <v>10</v>
      </c>
      <c r="G21" s="95">
        <f t="shared" si="0"/>
        <v>2</v>
      </c>
      <c r="H21" s="95">
        <v>80</v>
      </c>
      <c r="I21" s="95">
        <f t="shared" si="1"/>
        <v>16</v>
      </c>
      <c r="J21" s="95">
        <v>9.9</v>
      </c>
      <c r="K21" s="95">
        <f t="shared" si="3"/>
        <v>1.98</v>
      </c>
      <c r="L21" s="324">
        <v>0.1</v>
      </c>
      <c r="M21" s="208">
        <f t="shared" si="2"/>
        <v>0.02</v>
      </c>
      <c r="N21" s="101"/>
    </row>
    <row r="22" spans="2:14" x14ac:dyDescent="0.25">
      <c r="B22" s="190" t="s">
        <v>66</v>
      </c>
      <c r="C22" s="217"/>
      <c r="D22" s="322" t="s">
        <v>84</v>
      </c>
      <c r="E22" s="323">
        <v>24</v>
      </c>
      <c r="F22" s="324">
        <v>100</v>
      </c>
      <c r="G22" s="95">
        <f t="shared" si="0"/>
        <v>24</v>
      </c>
      <c r="H22" s="95">
        <v>0</v>
      </c>
      <c r="I22" s="95">
        <f t="shared" si="1"/>
        <v>0</v>
      </c>
      <c r="J22" s="95">
        <v>0</v>
      </c>
      <c r="K22" s="95">
        <f t="shared" si="3"/>
        <v>0</v>
      </c>
      <c r="L22" s="324">
        <v>0</v>
      </c>
      <c r="M22" s="208">
        <f t="shared" si="2"/>
        <v>0</v>
      </c>
      <c r="N22" s="101"/>
    </row>
    <row r="23" spans="2:14" x14ac:dyDescent="0.25">
      <c r="B23" s="190" t="s">
        <v>43</v>
      </c>
      <c r="C23" s="101"/>
      <c r="D23" s="322" t="s">
        <v>85</v>
      </c>
      <c r="E23" s="323">
        <v>20</v>
      </c>
      <c r="F23" s="324">
        <v>10</v>
      </c>
      <c r="G23" s="95">
        <f t="shared" si="0"/>
        <v>2</v>
      </c>
      <c r="H23" s="95">
        <v>80</v>
      </c>
      <c r="I23" s="95">
        <f t="shared" si="1"/>
        <v>16</v>
      </c>
      <c r="J23" s="95">
        <v>9.9</v>
      </c>
      <c r="K23" s="95">
        <f t="shared" si="3"/>
        <v>1.98</v>
      </c>
      <c r="L23" s="324">
        <v>0.1</v>
      </c>
      <c r="M23" s="208">
        <f t="shared" si="2"/>
        <v>0.02</v>
      </c>
      <c r="N23" s="101"/>
    </row>
    <row r="24" spans="2:14" x14ac:dyDescent="0.25">
      <c r="B24" s="190">
        <v>7018</v>
      </c>
      <c r="C24" s="217"/>
      <c r="D24" s="322" t="s">
        <v>86</v>
      </c>
      <c r="E24" s="323">
        <v>100</v>
      </c>
      <c r="F24" s="324">
        <v>10</v>
      </c>
      <c r="G24" s="95">
        <f t="shared" si="0"/>
        <v>10</v>
      </c>
      <c r="H24" s="95">
        <v>80</v>
      </c>
      <c r="I24" s="95">
        <f t="shared" si="1"/>
        <v>80</v>
      </c>
      <c r="J24" s="95">
        <v>9.9</v>
      </c>
      <c r="K24" s="95">
        <f t="shared" si="3"/>
        <v>9.9</v>
      </c>
      <c r="L24" s="324">
        <v>0.1</v>
      </c>
      <c r="M24" s="208">
        <f t="shared" si="2"/>
        <v>0.1</v>
      </c>
      <c r="N24" s="101"/>
    </row>
    <row r="25" spans="2:14" x14ac:dyDescent="0.25">
      <c r="B25" s="190">
        <v>7018</v>
      </c>
      <c r="C25" s="217"/>
      <c r="D25" s="322" t="s">
        <v>87</v>
      </c>
      <c r="E25" s="323">
        <v>50</v>
      </c>
      <c r="F25" s="324">
        <v>10</v>
      </c>
      <c r="G25" s="95">
        <f t="shared" si="0"/>
        <v>5</v>
      </c>
      <c r="H25" s="95">
        <v>80</v>
      </c>
      <c r="I25" s="95">
        <f t="shared" si="1"/>
        <v>40</v>
      </c>
      <c r="J25" s="95">
        <v>9.9</v>
      </c>
      <c r="K25" s="95">
        <f t="shared" si="3"/>
        <v>4.95</v>
      </c>
      <c r="L25" s="324">
        <v>0.1</v>
      </c>
      <c r="M25" s="208">
        <f t="shared" si="2"/>
        <v>0.05</v>
      </c>
      <c r="N25" s="101"/>
    </row>
    <row r="26" spans="2:14" x14ac:dyDescent="0.25">
      <c r="B26" s="190">
        <v>7018</v>
      </c>
      <c r="C26" s="217"/>
      <c r="D26" s="322" t="s">
        <v>88</v>
      </c>
      <c r="E26" s="323">
        <v>100</v>
      </c>
      <c r="F26" s="324">
        <v>10</v>
      </c>
      <c r="G26" s="95">
        <f t="shared" si="0"/>
        <v>10</v>
      </c>
      <c r="H26" s="95">
        <v>80</v>
      </c>
      <c r="I26" s="95">
        <f t="shared" si="1"/>
        <v>80</v>
      </c>
      <c r="J26" s="95">
        <v>9.9</v>
      </c>
      <c r="K26" s="95">
        <f t="shared" si="3"/>
        <v>9.9</v>
      </c>
      <c r="L26" s="324">
        <v>0.1</v>
      </c>
      <c r="M26" s="208">
        <f t="shared" si="2"/>
        <v>0.1</v>
      </c>
      <c r="N26" s="101"/>
    </row>
    <row r="27" spans="2:14" x14ac:dyDescent="0.25">
      <c r="B27" s="190" t="s">
        <v>48</v>
      </c>
      <c r="C27" s="217"/>
      <c r="D27" s="322" t="s">
        <v>89</v>
      </c>
      <c r="E27" s="323">
        <v>10</v>
      </c>
      <c r="F27" s="324">
        <v>10</v>
      </c>
      <c r="G27" s="95">
        <f t="shared" si="0"/>
        <v>1</v>
      </c>
      <c r="H27" s="95">
        <v>80</v>
      </c>
      <c r="I27" s="95">
        <f t="shared" si="1"/>
        <v>8</v>
      </c>
      <c r="J27" s="95">
        <v>9.9</v>
      </c>
      <c r="K27" s="95">
        <f t="shared" si="3"/>
        <v>0.99</v>
      </c>
      <c r="L27" s="324">
        <v>0.1</v>
      </c>
      <c r="M27" s="208">
        <f t="shared" si="2"/>
        <v>0.01</v>
      </c>
      <c r="N27" s="101"/>
    </row>
    <row r="28" spans="2:14" x14ac:dyDescent="0.25">
      <c r="B28" s="190" t="s">
        <v>47</v>
      </c>
      <c r="C28" s="217"/>
      <c r="D28" s="322" t="s">
        <v>90</v>
      </c>
      <c r="E28" s="323">
        <v>20</v>
      </c>
      <c r="F28" s="324">
        <v>10</v>
      </c>
      <c r="G28" s="95">
        <f t="shared" si="0"/>
        <v>2</v>
      </c>
      <c r="H28" s="95">
        <v>80</v>
      </c>
      <c r="I28" s="95">
        <f t="shared" si="1"/>
        <v>16</v>
      </c>
      <c r="J28" s="95">
        <v>9.9</v>
      </c>
      <c r="K28" s="95">
        <f t="shared" si="3"/>
        <v>1.98</v>
      </c>
      <c r="L28" s="324">
        <v>0.1</v>
      </c>
      <c r="M28" s="208">
        <f t="shared" si="2"/>
        <v>0.02</v>
      </c>
      <c r="N28" s="101"/>
    </row>
    <row r="29" spans="2:14" x14ac:dyDescent="0.25">
      <c r="B29" s="190" t="s">
        <v>66</v>
      </c>
      <c r="C29" s="217"/>
      <c r="D29" s="322" t="s">
        <v>91</v>
      </c>
      <c r="E29" s="323">
        <v>10</v>
      </c>
      <c r="F29" s="324">
        <v>100</v>
      </c>
      <c r="G29" s="95">
        <f t="shared" si="0"/>
        <v>10</v>
      </c>
      <c r="H29" s="95">
        <v>0</v>
      </c>
      <c r="I29" s="95">
        <f t="shared" si="1"/>
        <v>0</v>
      </c>
      <c r="J29" s="95">
        <v>0</v>
      </c>
      <c r="K29" s="95">
        <f t="shared" si="3"/>
        <v>0</v>
      </c>
      <c r="L29" s="95">
        <v>0</v>
      </c>
      <c r="M29" s="208">
        <f t="shared" si="2"/>
        <v>0</v>
      </c>
      <c r="N29" s="101"/>
    </row>
    <row r="30" spans="2:14" x14ac:dyDescent="0.25">
      <c r="B30" s="190" t="s">
        <v>46</v>
      </c>
      <c r="C30" s="101"/>
      <c r="D30" s="322" t="s">
        <v>168</v>
      </c>
      <c r="E30" s="323">
        <v>25</v>
      </c>
      <c r="F30" s="324">
        <v>10</v>
      </c>
      <c r="G30" s="95">
        <f t="shared" si="0"/>
        <v>2.5</v>
      </c>
      <c r="H30" s="95">
        <v>80</v>
      </c>
      <c r="I30" s="95">
        <f t="shared" si="1"/>
        <v>20</v>
      </c>
      <c r="J30" s="95">
        <v>9.9</v>
      </c>
      <c r="K30" s="95">
        <f t="shared" si="3"/>
        <v>2.4750000000000001</v>
      </c>
      <c r="L30" s="95">
        <v>0.1</v>
      </c>
      <c r="M30" s="208">
        <f t="shared" si="2"/>
        <v>2.5000000000000001E-2</v>
      </c>
      <c r="N30" s="101"/>
    </row>
    <row r="31" spans="2:14" ht="13" thickBot="1" x14ac:dyDescent="0.3">
      <c r="B31" s="190" t="s">
        <v>51</v>
      </c>
      <c r="C31" s="101"/>
      <c r="D31" s="325" t="s">
        <v>165</v>
      </c>
      <c r="E31" s="326">
        <f>20*50</f>
        <v>1000</v>
      </c>
      <c r="F31" s="327">
        <v>10</v>
      </c>
      <c r="G31" s="103">
        <f t="shared" si="0"/>
        <v>100</v>
      </c>
      <c r="H31" s="103">
        <v>80</v>
      </c>
      <c r="I31" s="103">
        <f t="shared" si="1"/>
        <v>800</v>
      </c>
      <c r="J31" s="103">
        <v>9.9</v>
      </c>
      <c r="K31" s="103">
        <f t="shared" si="3"/>
        <v>99</v>
      </c>
      <c r="L31" s="103">
        <v>0.1</v>
      </c>
      <c r="M31" s="229">
        <f t="shared" si="2"/>
        <v>1</v>
      </c>
      <c r="N31" s="101"/>
    </row>
    <row r="32" spans="2:14" x14ac:dyDescent="0.25">
      <c r="B32" s="101"/>
      <c r="C32" s="101"/>
      <c r="D32" s="101"/>
      <c r="E32" s="101"/>
      <c r="F32" s="101"/>
      <c r="G32" s="101"/>
      <c r="H32" s="101"/>
      <c r="I32" s="101"/>
      <c r="J32" s="101"/>
      <c r="K32" s="101"/>
      <c r="L32" s="101"/>
      <c r="M32" s="101"/>
      <c r="N32" s="101"/>
    </row>
    <row r="33" spans="2:14" x14ac:dyDescent="0.25">
      <c r="B33" s="101"/>
      <c r="C33" s="101"/>
      <c r="D33" s="100" t="s">
        <v>183</v>
      </c>
      <c r="E33" s="101"/>
      <c r="F33" s="101"/>
      <c r="G33" s="101"/>
      <c r="H33" s="101"/>
      <c r="I33" s="101"/>
      <c r="J33" s="101"/>
      <c r="K33" s="101"/>
      <c r="L33" s="101"/>
      <c r="M33" s="101"/>
      <c r="N33" s="101"/>
    </row>
    <row r="34" spans="2:14" ht="4.5" customHeight="1" thickBot="1" x14ac:dyDescent="0.3">
      <c r="B34" s="101"/>
      <c r="C34" s="101"/>
      <c r="D34" s="101"/>
      <c r="E34" s="101"/>
      <c r="F34" s="101"/>
      <c r="G34" s="101"/>
      <c r="H34" s="101"/>
      <c r="I34" s="101"/>
      <c r="J34" s="101"/>
      <c r="K34" s="101"/>
      <c r="L34" s="101"/>
      <c r="M34" s="101"/>
      <c r="N34" s="101"/>
    </row>
    <row r="35" spans="2:14" ht="25.5" thickBot="1" x14ac:dyDescent="0.3">
      <c r="B35" s="294"/>
      <c r="C35" s="294"/>
      <c r="D35" s="492" t="s">
        <v>173</v>
      </c>
      <c r="E35" s="194" t="s">
        <v>174</v>
      </c>
      <c r="F35" s="313" t="s">
        <v>175</v>
      </c>
      <c r="G35" s="314" t="s">
        <v>176</v>
      </c>
      <c r="H35" s="273" t="s">
        <v>177</v>
      </c>
      <c r="I35" s="314" t="s">
        <v>178</v>
      </c>
      <c r="J35" s="315" t="s">
        <v>179</v>
      </c>
      <c r="K35" s="244" t="s">
        <v>180</v>
      </c>
      <c r="L35" s="316" t="s">
        <v>181</v>
      </c>
      <c r="M35" s="317" t="s">
        <v>182</v>
      </c>
      <c r="N35" s="101"/>
    </row>
    <row r="36" spans="2:14" x14ac:dyDescent="0.25">
      <c r="B36" s="485" t="s">
        <v>36</v>
      </c>
      <c r="C36" s="486"/>
      <c r="D36" s="318" t="s">
        <v>64</v>
      </c>
      <c r="E36" s="214" t="s">
        <v>184</v>
      </c>
      <c r="F36" s="320">
        <v>90</v>
      </c>
      <c r="G36" s="488">
        <f t="shared" ref="G36:G62" si="4">G5/$L$66</f>
        <v>3</v>
      </c>
      <c r="H36" s="321">
        <v>0</v>
      </c>
      <c r="I36" s="488">
        <f t="shared" ref="I36:I62" si="5">I5/$L$67</f>
        <v>0</v>
      </c>
      <c r="J36" s="321">
        <v>9.9</v>
      </c>
      <c r="K36" s="488">
        <f t="shared" ref="K36:K62" si="6">K5/$L$67</f>
        <v>4.9500000000000002E-2</v>
      </c>
      <c r="L36" s="320">
        <v>0.1</v>
      </c>
      <c r="M36" s="489">
        <f t="shared" ref="M36:M62" si="7">M5/$L$67</f>
        <v>5.0000000000000001E-4</v>
      </c>
      <c r="N36" s="101"/>
    </row>
    <row r="37" spans="2:14" x14ac:dyDescent="0.25">
      <c r="B37" s="487" t="s">
        <v>66</v>
      </c>
      <c r="C37" s="486"/>
      <c r="D37" s="322" t="s">
        <v>67</v>
      </c>
      <c r="E37" s="208" t="s">
        <v>184</v>
      </c>
      <c r="F37" s="324">
        <v>100</v>
      </c>
      <c r="G37" s="488">
        <f t="shared" si="4"/>
        <v>13.333333333333334</v>
      </c>
      <c r="H37" s="95">
        <v>0</v>
      </c>
      <c r="I37" s="199">
        <f t="shared" si="5"/>
        <v>0</v>
      </c>
      <c r="J37" s="97">
        <v>0</v>
      </c>
      <c r="K37" s="199">
        <f t="shared" si="6"/>
        <v>0</v>
      </c>
      <c r="L37" s="546">
        <v>0</v>
      </c>
      <c r="M37" s="199">
        <f t="shared" si="7"/>
        <v>0</v>
      </c>
      <c r="N37" s="101"/>
    </row>
    <row r="38" spans="2:14" x14ac:dyDescent="0.25">
      <c r="B38" s="487" t="s">
        <v>36</v>
      </c>
      <c r="C38" s="486"/>
      <c r="D38" s="322" t="s">
        <v>68</v>
      </c>
      <c r="E38" s="208" t="s">
        <v>184</v>
      </c>
      <c r="F38" s="324">
        <v>90</v>
      </c>
      <c r="G38" s="488">
        <f t="shared" si="4"/>
        <v>3.96</v>
      </c>
      <c r="H38" s="95">
        <v>0</v>
      </c>
      <c r="I38" s="488">
        <f t="shared" si="5"/>
        <v>0</v>
      </c>
      <c r="J38" s="95">
        <v>9.9</v>
      </c>
      <c r="K38" s="488">
        <f t="shared" si="6"/>
        <v>6.5339999999999995E-2</v>
      </c>
      <c r="L38" s="324">
        <v>0.1</v>
      </c>
      <c r="M38" s="489">
        <f t="shared" si="7"/>
        <v>6.6E-4</v>
      </c>
      <c r="N38" s="101"/>
    </row>
    <row r="39" spans="2:14" x14ac:dyDescent="0.25">
      <c r="B39" s="487" t="s">
        <v>41</v>
      </c>
      <c r="C39" s="486"/>
      <c r="D39" s="322" t="s">
        <v>69</v>
      </c>
      <c r="E39" s="208" t="s">
        <v>184</v>
      </c>
      <c r="F39" s="324">
        <v>10</v>
      </c>
      <c r="G39" s="488">
        <f t="shared" si="4"/>
        <v>3.3333333333333333E-2</v>
      </c>
      <c r="H39" s="95">
        <v>80</v>
      </c>
      <c r="I39" s="488">
        <f t="shared" si="5"/>
        <v>0.04</v>
      </c>
      <c r="J39" s="95">
        <v>9.9</v>
      </c>
      <c r="K39" s="488">
        <f t="shared" si="6"/>
        <v>4.9499999999999995E-3</v>
      </c>
      <c r="L39" s="324">
        <v>0.1</v>
      </c>
      <c r="M39" s="489">
        <f t="shared" si="7"/>
        <v>5.0000000000000002E-5</v>
      </c>
      <c r="N39" s="101"/>
    </row>
    <row r="40" spans="2:14" x14ac:dyDescent="0.25">
      <c r="B40" s="487" t="s">
        <v>41</v>
      </c>
      <c r="C40" s="486"/>
      <c r="D40" s="322" t="s">
        <v>70</v>
      </c>
      <c r="E40" s="208" t="s">
        <v>184</v>
      </c>
      <c r="F40" s="324">
        <v>10</v>
      </c>
      <c r="G40" s="488">
        <f t="shared" si="4"/>
        <v>3.3333333333333333E-2</v>
      </c>
      <c r="H40" s="95">
        <v>80</v>
      </c>
      <c r="I40" s="488">
        <f t="shared" si="5"/>
        <v>0.04</v>
      </c>
      <c r="J40" s="95">
        <v>9.9</v>
      </c>
      <c r="K40" s="488">
        <f t="shared" si="6"/>
        <v>4.9499999999999995E-3</v>
      </c>
      <c r="L40" s="324">
        <v>0.1</v>
      </c>
      <c r="M40" s="489">
        <f t="shared" si="7"/>
        <v>5.0000000000000002E-5</v>
      </c>
      <c r="N40" s="101"/>
    </row>
    <row r="41" spans="2:14" x14ac:dyDescent="0.25">
      <c r="B41" s="487" t="s">
        <v>40</v>
      </c>
      <c r="C41" s="486"/>
      <c r="D41" s="322" t="s">
        <v>71</v>
      </c>
      <c r="E41" s="208" t="s">
        <v>184</v>
      </c>
      <c r="F41" s="324">
        <v>10</v>
      </c>
      <c r="G41" s="488">
        <f t="shared" si="4"/>
        <v>6.6666666666666666E-2</v>
      </c>
      <c r="H41" s="95">
        <v>80</v>
      </c>
      <c r="I41" s="488">
        <f t="shared" si="5"/>
        <v>0.08</v>
      </c>
      <c r="J41" s="95">
        <v>9.9</v>
      </c>
      <c r="K41" s="488">
        <f t="shared" si="6"/>
        <v>9.8999999999999991E-3</v>
      </c>
      <c r="L41" s="324">
        <v>0.1</v>
      </c>
      <c r="M41" s="489">
        <f t="shared" si="7"/>
        <v>1E-4</v>
      </c>
      <c r="N41" s="101"/>
    </row>
    <row r="42" spans="2:14" x14ac:dyDescent="0.25">
      <c r="B42" s="487" t="s">
        <v>40</v>
      </c>
      <c r="C42" s="486"/>
      <c r="D42" s="322" t="s">
        <v>72</v>
      </c>
      <c r="E42" s="208" t="s">
        <v>184</v>
      </c>
      <c r="F42" s="324">
        <v>10</v>
      </c>
      <c r="G42" s="488">
        <f t="shared" si="4"/>
        <v>6.6666666666666666E-2</v>
      </c>
      <c r="H42" s="95">
        <v>80</v>
      </c>
      <c r="I42" s="488">
        <f t="shared" si="5"/>
        <v>0.08</v>
      </c>
      <c r="J42" s="95">
        <v>9.9</v>
      </c>
      <c r="K42" s="488">
        <f t="shared" si="6"/>
        <v>9.8999999999999991E-3</v>
      </c>
      <c r="L42" s="324">
        <v>0.1</v>
      </c>
      <c r="M42" s="489">
        <f t="shared" si="7"/>
        <v>1E-4</v>
      </c>
      <c r="N42" s="101"/>
    </row>
    <row r="43" spans="2:14" x14ac:dyDescent="0.25">
      <c r="B43" s="487">
        <v>6010</v>
      </c>
      <c r="C43" s="486"/>
      <c r="D43" s="322" t="s">
        <v>73</v>
      </c>
      <c r="E43" s="208" t="s">
        <v>184</v>
      </c>
      <c r="F43" s="324">
        <v>10</v>
      </c>
      <c r="G43" s="488">
        <f t="shared" si="4"/>
        <v>0.33333333333333331</v>
      </c>
      <c r="H43" s="95">
        <v>80</v>
      </c>
      <c r="I43" s="488">
        <f t="shared" si="5"/>
        <v>0.4</v>
      </c>
      <c r="J43" s="95">
        <v>9.9</v>
      </c>
      <c r="K43" s="488">
        <f t="shared" si="6"/>
        <v>4.9500000000000002E-2</v>
      </c>
      <c r="L43" s="324">
        <v>0.1</v>
      </c>
      <c r="M43" s="489">
        <f t="shared" si="7"/>
        <v>5.0000000000000001E-4</v>
      </c>
      <c r="N43" s="101"/>
    </row>
    <row r="44" spans="2:14" x14ac:dyDescent="0.25">
      <c r="B44" s="487" t="s">
        <v>38</v>
      </c>
      <c r="C44" s="486"/>
      <c r="D44" s="322" t="s">
        <v>75</v>
      </c>
      <c r="E44" s="208" t="s">
        <v>184</v>
      </c>
      <c r="F44" s="324">
        <v>10</v>
      </c>
      <c r="G44" s="488">
        <f t="shared" si="4"/>
        <v>6.6666666666666666E-2</v>
      </c>
      <c r="H44" s="95">
        <v>80</v>
      </c>
      <c r="I44" s="488">
        <f t="shared" si="5"/>
        <v>0.08</v>
      </c>
      <c r="J44" s="95">
        <v>9.9</v>
      </c>
      <c r="K44" s="488">
        <f t="shared" si="6"/>
        <v>9.8999999999999991E-3</v>
      </c>
      <c r="L44" s="324">
        <v>0.1</v>
      </c>
      <c r="M44" s="489">
        <f t="shared" si="7"/>
        <v>1E-4</v>
      </c>
      <c r="N44" s="101"/>
    </row>
    <row r="45" spans="2:14" x14ac:dyDescent="0.25">
      <c r="B45" s="487" t="s">
        <v>36</v>
      </c>
      <c r="C45" s="486"/>
      <c r="D45" s="322" t="s">
        <v>76</v>
      </c>
      <c r="E45" s="208" t="s">
        <v>184</v>
      </c>
      <c r="F45" s="324">
        <v>10</v>
      </c>
      <c r="G45" s="488">
        <f t="shared" si="4"/>
        <v>0.33333333333333331</v>
      </c>
      <c r="H45" s="95">
        <v>80</v>
      </c>
      <c r="I45" s="488">
        <f t="shared" si="5"/>
        <v>0.4</v>
      </c>
      <c r="J45" s="95">
        <v>9.9</v>
      </c>
      <c r="K45" s="488">
        <f t="shared" si="6"/>
        <v>4.9500000000000002E-2</v>
      </c>
      <c r="L45" s="324">
        <v>0.1</v>
      </c>
      <c r="M45" s="489">
        <f t="shared" si="7"/>
        <v>5.0000000000000001E-4</v>
      </c>
    </row>
    <row r="46" spans="2:14" x14ac:dyDescent="0.25">
      <c r="B46" s="487" t="s">
        <v>39</v>
      </c>
      <c r="C46" s="486"/>
      <c r="D46" s="322" t="s">
        <v>77</v>
      </c>
      <c r="E46" s="208" t="s">
        <v>184</v>
      </c>
      <c r="F46" s="324">
        <v>10</v>
      </c>
      <c r="G46" s="488">
        <f t="shared" si="4"/>
        <v>6.6666666666666666E-2</v>
      </c>
      <c r="H46" s="95">
        <v>80</v>
      </c>
      <c r="I46" s="488">
        <f t="shared" si="5"/>
        <v>0.08</v>
      </c>
      <c r="J46" s="95">
        <v>9.9</v>
      </c>
      <c r="K46" s="488">
        <f t="shared" si="6"/>
        <v>9.8999999999999991E-3</v>
      </c>
      <c r="L46" s="324">
        <v>0.1</v>
      </c>
      <c r="M46" s="489">
        <f t="shared" si="7"/>
        <v>1E-4</v>
      </c>
    </row>
    <row r="47" spans="2:14" x14ac:dyDescent="0.25">
      <c r="B47" s="487">
        <v>6010</v>
      </c>
      <c r="C47" s="486"/>
      <c r="D47" s="322" t="s">
        <v>78</v>
      </c>
      <c r="E47" s="208" t="s">
        <v>184</v>
      </c>
      <c r="F47" s="324">
        <v>10</v>
      </c>
      <c r="G47" s="488">
        <f t="shared" si="4"/>
        <v>0.33333333333333331</v>
      </c>
      <c r="H47" s="95">
        <v>80</v>
      </c>
      <c r="I47" s="488">
        <f t="shared" si="5"/>
        <v>0.4</v>
      </c>
      <c r="J47" s="95">
        <v>9.9</v>
      </c>
      <c r="K47" s="488">
        <f t="shared" si="6"/>
        <v>4.9500000000000002E-2</v>
      </c>
      <c r="L47" s="324">
        <v>0.1</v>
      </c>
      <c r="M47" s="489">
        <f t="shared" si="7"/>
        <v>5.0000000000000001E-4</v>
      </c>
    </row>
    <row r="48" spans="2:14" x14ac:dyDescent="0.25">
      <c r="B48" s="487">
        <v>6010</v>
      </c>
      <c r="C48" s="486"/>
      <c r="D48" s="322" t="s">
        <v>79</v>
      </c>
      <c r="E48" s="208" t="s">
        <v>184</v>
      </c>
      <c r="F48" s="324">
        <v>10</v>
      </c>
      <c r="G48" s="488">
        <f t="shared" si="4"/>
        <v>0.33333333333333331</v>
      </c>
      <c r="H48" s="95">
        <v>80</v>
      </c>
      <c r="I48" s="488">
        <f t="shared" si="5"/>
        <v>0.4</v>
      </c>
      <c r="J48" s="95">
        <v>9.9</v>
      </c>
      <c r="K48" s="488">
        <f t="shared" si="6"/>
        <v>4.9500000000000002E-2</v>
      </c>
      <c r="L48" s="324">
        <v>0.1</v>
      </c>
      <c r="M48" s="489">
        <f t="shared" si="7"/>
        <v>5.0000000000000001E-4</v>
      </c>
    </row>
    <row r="49" spans="1:14" x14ac:dyDescent="0.25">
      <c r="B49" s="487">
        <v>6010</v>
      </c>
      <c r="C49" s="486"/>
      <c r="D49" s="322" t="s">
        <v>80</v>
      </c>
      <c r="E49" s="208" t="s">
        <v>184</v>
      </c>
      <c r="F49" s="324">
        <v>10</v>
      </c>
      <c r="G49" s="488">
        <f t="shared" si="4"/>
        <v>0.33333333333333331</v>
      </c>
      <c r="H49" s="95">
        <v>80</v>
      </c>
      <c r="I49" s="488">
        <f t="shared" si="5"/>
        <v>0.4</v>
      </c>
      <c r="J49" s="95">
        <v>9.9</v>
      </c>
      <c r="K49" s="488">
        <f t="shared" si="6"/>
        <v>4.9500000000000002E-2</v>
      </c>
      <c r="L49" s="324">
        <v>0.1</v>
      </c>
      <c r="M49" s="489">
        <f t="shared" si="7"/>
        <v>5.0000000000000001E-4</v>
      </c>
    </row>
    <row r="50" spans="1:14" x14ac:dyDescent="0.25">
      <c r="B50" s="487">
        <v>6011</v>
      </c>
      <c r="C50" s="486"/>
      <c r="D50" s="322" t="s">
        <v>81</v>
      </c>
      <c r="E50" s="208" t="s">
        <v>184</v>
      </c>
      <c r="F50" s="324">
        <v>10</v>
      </c>
      <c r="G50" s="488">
        <f t="shared" si="4"/>
        <v>0.16666666666666666</v>
      </c>
      <c r="H50" s="95">
        <v>80</v>
      </c>
      <c r="I50" s="488">
        <f t="shared" si="5"/>
        <v>0.2</v>
      </c>
      <c r="J50" s="95">
        <v>9.9</v>
      </c>
      <c r="K50" s="488">
        <f t="shared" si="6"/>
        <v>2.4750000000000001E-2</v>
      </c>
      <c r="L50" s="324">
        <v>0.1</v>
      </c>
      <c r="M50" s="489">
        <f t="shared" si="7"/>
        <v>2.5000000000000001E-4</v>
      </c>
    </row>
    <row r="51" spans="1:14" x14ac:dyDescent="0.25">
      <c r="B51" s="487" t="s">
        <v>45</v>
      </c>
      <c r="C51" s="294"/>
      <c r="D51" s="322" t="s">
        <v>82</v>
      </c>
      <c r="E51" s="208" t="s">
        <v>184</v>
      </c>
      <c r="F51" s="324">
        <v>10</v>
      </c>
      <c r="G51" s="488">
        <f t="shared" si="4"/>
        <v>6.6666666666666666E-2</v>
      </c>
      <c r="H51" s="95">
        <v>80</v>
      </c>
      <c r="I51" s="488">
        <f t="shared" si="5"/>
        <v>0.08</v>
      </c>
      <c r="J51" s="95">
        <v>9.9</v>
      </c>
      <c r="K51" s="488">
        <f t="shared" si="6"/>
        <v>9.8999999999999991E-3</v>
      </c>
      <c r="L51" s="324">
        <v>0.1</v>
      </c>
      <c r="M51" s="489">
        <f t="shared" si="7"/>
        <v>1E-4</v>
      </c>
    </row>
    <row r="52" spans="1:14" x14ac:dyDescent="0.25">
      <c r="B52" s="487" t="s">
        <v>49</v>
      </c>
      <c r="C52" s="294"/>
      <c r="D52" s="322" t="s">
        <v>83</v>
      </c>
      <c r="E52" s="208" t="s">
        <v>184</v>
      </c>
      <c r="F52" s="324">
        <v>10</v>
      </c>
      <c r="G52" s="488">
        <f t="shared" si="4"/>
        <v>6.6666666666666666E-2</v>
      </c>
      <c r="H52" s="95">
        <v>80</v>
      </c>
      <c r="I52" s="488">
        <f t="shared" si="5"/>
        <v>0.08</v>
      </c>
      <c r="J52" s="95">
        <v>9.9</v>
      </c>
      <c r="K52" s="488">
        <f t="shared" si="6"/>
        <v>9.8999999999999991E-3</v>
      </c>
      <c r="L52" s="324">
        <v>0.1</v>
      </c>
      <c r="M52" s="489">
        <f t="shared" si="7"/>
        <v>1E-4</v>
      </c>
    </row>
    <row r="53" spans="1:14" x14ac:dyDescent="0.25">
      <c r="B53" s="487" t="s">
        <v>66</v>
      </c>
      <c r="C53" s="486"/>
      <c r="D53" s="322" t="s">
        <v>84</v>
      </c>
      <c r="E53" s="208" t="s">
        <v>184</v>
      </c>
      <c r="F53" s="324">
        <v>100</v>
      </c>
      <c r="G53" s="488">
        <f t="shared" si="4"/>
        <v>0.8</v>
      </c>
      <c r="H53" s="95">
        <v>0</v>
      </c>
      <c r="I53" s="488">
        <f t="shared" si="5"/>
        <v>0</v>
      </c>
      <c r="J53" s="95">
        <v>0</v>
      </c>
      <c r="K53" s="488">
        <f t="shared" si="6"/>
        <v>0</v>
      </c>
      <c r="L53" s="324">
        <v>0</v>
      </c>
      <c r="M53" s="489">
        <f t="shared" si="7"/>
        <v>0</v>
      </c>
    </row>
    <row r="54" spans="1:14" x14ac:dyDescent="0.25">
      <c r="B54" s="487" t="s">
        <v>43</v>
      </c>
      <c r="C54" s="294"/>
      <c r="D54" s="322" t="s">
        <v>85</v>
      </c>
      <c r="E54" s="208" t="s">
        <v>184</v>
      </c>
      <c r="F54" s="324">
        <v>10</v>
      </c>
      <c r="G54" s="488">
        <f t="shared" si="4"/>
        <v>6.6666666666666666E-2</v>
      </c>
      <c r="H54" s="95">
        <v>80</v>
      </c>
      <c r="I54" s="488">
        <f t="shared" si="5"/>
        <v>0.08</v>
      </c>
      <c r="J54" s="95">
        <v>9.9</v>
      </c>
      <c r="K54" s="488">
        <f t="shared" si="6"/>
        <v>9.8999999999999991E-3</v>
      </c>
      <c r="L54" s="324">
        <v>0.1</v>
      </c>
      <c r="M54" s="489">
        <f t="shared" si="7"/>
        <v>1E-4</v>
      </c>
    </row>
    <row r="55" spans="1:14" x14ac:dyDescent="0.25">
      <c r="B55" s="487">
        <v>7018</v>
      </c>
      <c r="C55" s="486"/>
      <c r="D55" s="322" t="s">
        <v>86</v>
      </c>
      <c r="E55" s="208" t="s">
        <v>184</v>
      </c>
      <c r="F55" s="324">
        <v>10</v>
      </c>
      <c r="G55" s="488">
        <f t="shared" si="4"/>
        <v>0.33333333333333331</v>
      </c>
      <c r="H55" s="95">
        <v>80</v>
      </c>
      <c r="I55" s="488">
        <f t="shared" si="5"/>
        <v>0.4</v>
      </c>
      <c r="J55" s="95">
        <v>9.9</v>
      </c>
      <c r="K55" s="488">
        <f t="shared" si="6"/>
        <v>4.9500000000000002E-2</v>
      </c>
      <c r="L55" s="324">
        <v>0.1</v>
      </c>
      <c r="M55" s="489">
        <f t="shared" si="7"/>
        <v>5.0000000000000001E-4</v>
      </c>
    </row>
    <row r="56" spans="1:14" x14ac:dyDescent="0.25">
      <c r="B56" s="487">
        <v>7018</v>
      </c>
      <c r="C56" s="486"/>
      <c r="D56" s="322" t="s">
        <v>87</v>
      </c>
      <c r="E56" s="208" t="s">
        <v>184</v>
      </c>
      <c r="F56" s="324">
        <v>10</v>
      </c>
      <c r="G56" s="488">
        <f t="shared" si="4"/>
        <v>0.16666666666666666</v>
      </c>
      <c r="H56" s="95">
        <v>80</v>
      </c>
      <c r="I56" s="488">
        <f t="shared" si="5"/>
        <v>0.2</v>
      </c>
      <c r="J56" s="95">
        <v>9.9</v>
      </c>
      <c r="K56" s="488">
        <f t="shared" si="6"/>
        <v>2.4750000000000001E-2</v>
      </c>
      <c r="L56" s="324">
        <v>0.1</v>
      </c>
      <c r="M56" s="489">
        <f t="shared" si="7"/>
        <v>2.5000000000000001E-4</v>
      </c>
    </row>
    <row r="57" spans="1:14" x14ac:dyDescent="0.25">
      <c r="B57" s="487">
        <v>7018</v>
      </c>
      <c r="C57" s="486"/>
      <c r="D57" s="322" t="s">
        <v>88</v>
      </c>
      <c r="E57" s="208" t="s">
        <v>184</v>
      </c>
      <c r="F57" s="324">
        <v>10</v>
      </c>
      <c r="G57" s="488">
        <f t="shared" si="4"/>
        <v>0.33333333333333331</v>
      </c>
      <c r="H57" s="95">
        <v>80</v>
      </c>
      <c r="I57" s="488">
        <f t="shared" si="5"/>
        <v>0.4</v>
      </c>
      <c r="J57" s="95">
        <v>9.9</v>
      </c>
      <c r="K57" s="488">
        <f t="shared" si="6"/>
        <v>4.9500000000000002E-2</v>
      </c>
      <c r="L57" s="324">
        <v>0.1</v>
      </c>
      <c r="M57" s="489">
        <f t="shared" si="7"/>
        <v>5.0000000000000001E-4</v>
      </c>
    </row>
    <row r="58" spans="1:14" x14ac:dyDescent="0.25">
      <c r="B58" s="487" t="s">
        <v>48</v>
      </c>
      <c r="C58" s="486"/>
      <c r="D58" s="322" t="s">
        <v>89</v>
      </c>
      <c r="E58" s="208" t="s">
        <v>184</v>
      </c>
      <c r="F58" s="324">
        <v>10</v>
      </c>
      <c r="G58" s="488">
        <f t="shared" si="4"/>
        <v>3.3333333333333333E-2</v>
      </c>
      <c r="H58" s="95">
        <v>80</v>
      </c>
      <c r="I58" s="488">
        <f t="shared" si="5"/>
        <v>0.04</v>
      </c>
      <c r="J58" s="95">
        <v>9.9</v>
      </c>
      <c r="K58" s="488">
        <f t="shared" si="6"/>
        <v>4.9499999999999995E-3</v>
      </c>
      <c r="L58" s="324">
        <v>0.1</v>
      </c>
      <c r="M58" s="489">
        <f t="shared" si="7"/>
        <v>5.0000000000000002E-5</v>
      </c>
    </row>
    <row r="59" spans="1:14" x14ac:dyDescent="0.25">
      <c r="A59" s="101"/>
      <c r="B59" s="190" t="s">
        <v>47</v>
      </c>
      <c r="C59" s="217"/>
      <c r="D59" s="322" t="s">
        <v>90</v>
      </c>
      <c r="E59" s="208" t="s">
        <v>184</v>
      </c>
      <c r="F59" s="324">
        <v>10</v>
      </c>
      <c r="G59" s="488">
        <f t="shared" si="4"/>
        <v>6.6666666666666666E-2</v>
      </c>
      <c r="H59" s="95">
        <v>80</v>
      </c>
      <c r="I59" s="488">
        <f t="shared" si="5"/>
        <v>0.08</v>
      </c>
      <c r="J59" s="95">
        <v>9.9</v>
      </c>
      <c r="K59" s="488">
        <f t="shared" si="6"/>
        <v>9.8999999999999991E-3</v>
      </c>
      <c r="L59" s="324">
        <v>0.1</v>
      </c>
      <c r="M59" s="489">
        <f t="shared" si="7"/>
        <v>1E-4</v>
      </c>
      <c r="N59" s="101"/>
    </row>
    <row r="60" spans="1:14" x14ac:dyDescent="0.25">
      <c r="A60" s="101"/>
      <c r="B60" s="190" t="s">
        <v>66</v>
      </c>
      <c r="C60" s="217"/>
      <c r="D60" s="322" t="s">
        <v>91</v>
      </c>
      <c r="E60" s="208" t="s">
        <v>184</v>
      </c>
      <c r="F60" s="324">
        <v>100</v>
      </c>
      <c r="G60" s="488">
        <f t="shared" si="4"/>
        <v>0.33333333333333331</v>
      </c>
      <c r="H60" s="95">
        <v>0</v>
      </c>
      <c r="I60" s="199">
        <f t="shared" si="5"/>
        <v>0</v>
      </c>
      <c r="J60" s="97">
        <v>0</v>
      </c>
      <c r="K60" s="199">
        <f t="shared" si="6"/>
        <v>0</v>
      </c>
      <c r="L60" s="546">
        <v>0</v>
      </c>
      <c r="M60" s="199">
        <f t="shared" si="7"/>
        <v>0</v>
      </c>
      <c r="N60" s="101"/>
    </row>
    <row r="61" spans="1:14" x14ac:dyDescent="0.25">
      <c r="A61" s="101"/>
      <c r="B61" s="190" t="s">
        <v>46</v>
      </c>
      <c r="C61" s="101"/>
      <c r="D61" s="322" t="s">
        <v>168</v>
      </c>
      <c r="E61" s="208" t="s">
        <v>184</v>
      </c>
      <c r="F61" s="324">
        <v>10</v>
      </c>
      <c r="G61" s="488">
        <f t="shared" si="4"/>
        <v>8.3333333333333329E-2</v>
      </c>
      <c r="H61" s="95">
        <v>80</v>
      </c>
      <c r="I61" s="488">
        <f t="shared" si="5"/>
        <v>0.1</v>
      </c>
      <c r="J61" s="95">
        <v>9.9</v>
      </c>
      <c r="K61" s="488">
        <f t="shared" si="6"/>
        <v>1.2375000000000001E-2</v>
      </c>
      <c r="L61" s="95">
        <v>0.1</v>
      </c>
      <c r="M61" s="489">
        <f t="shared" si="7"/>
        <v>1.25E-4</v>
      </c>
      <c r="N61" s="101"/>
    </row>
    <row r="62" spans="1:14" ht="13" thickBot="1" x14ac:dyDescent="0.3">
      <c r="A62" s="101"/>
      <c r="B62" s="190" t="s">
        <v>51</v>
      </c>
      <c r="C62" s="101"/>
      <c r="D62" s="325" t="s">
        <v>165</v>
      </c>
      <c r="E62" s="229" t="s">
        <v>184</v>
      </c>
      <c r="F62" s="327">
        <v>10</v>
      </c>
      <c r="G62" s="490">
        <f t="shared" si="4"/>
        <v>3.3333333333333335</v>
      </c>
      <c r="H62" s="103">
        <v>80</v>
      </c>
      <c r="I62" s="490">
        <f t="shared" si="5"/>
        <v>4</v>
      </c>
      <c r="J62" s="103">
        <v>9.9</v>
      </c>
      <c r="K62" s="490">
        <f t="shared" si="6"/>
        <v>0.495</v>
      </c>
      <c r="L62" s="103">
        <v>0.1</v>
      </c>
      <c r="M62" s="491">
        <f t="shared" si="7"/>
        <v>5.0000000000000001E-3</v>
      </c>
      <c r="N62" s="101"/>
    </row>
    <row r="63" spans="1:14" x14ac:dyDescent="0.25">
      <c r="A63" s="101"/>
      <c r="B63" s="556" t="s">
        <v>158</v>
      </c>
      <c r="C63" s="557"/>
      <c r="D63" s="557"/>
      <c r="E63" s="556"/>
      <c r="F63" s="521"/>
      <c r="G63" s="558">
        <f>SUM(G36:G62)</f>
        <v>28.143333333333331</v>
      </c>
      <c r="H63" s="556"/>
      <c r="I63" s="558">
        <f>SUM(I36:I62)</f>
        <v>8.06</v>
      </c>
      <c r="J63" s="556"/>
      <c r="K63" s="558">
        <f>SUM(K36:K62)</f>
        <v>1.1122650000000003</v>
      </c>
      <c r="L63" s="556"/>
      <c r="M63" s="558">
        <f>SUM(M36:M62)</f>
        <v>1.1235000000000002E-2</v>
      </c>
      <c r="N63" s="101"/>
    </row>
    <row r="64" spans="1:14" x14ac:dyDescent="0.25">
      <c r="A64" s="101"/>
      <c r="B64" s="190"/>
      <c r="C64" s="101"/>
      <c r="D64" s="101"/>
      <c r="E64" s="190"/>
      <c r="F64" s="190"/>
      <c r="G64" s="544"/>
      <c r="H64" s="190"/>
      <c r="I64" s="544"/>
      <c r="J64" s="190"/>
      <c r="K64" s="544"/>
      <c r="L64" s="190"/>
      <c r="M64" s="545"/>
      <c r="N64" s="101"/>
    </row>
    <row r="65" spans="1:14" ht="14" x14ac:dyDescent="0.25">
      <c r="A65" s="101"/>
      <c r="B65" s="101"/>
      <c r="C65" s="482">
        <v>1</v>
      </c>
      <c r="D65" s="101" t="s">
        <v>185</v>
      </c>
      <c r="E65" s="101"/>
      <c r="F65" s="101"/>
      <c r="G65" s="101"/>
      <c r="H65" s="101"/>
      <c r="I65" s="101"/>
      <c r="J65" s="101"/>
      <c r="K65" s="101"/>
      <c r="L65" s="101"/>
      <c r="M65" s="101"/>
      <c r="N65" s="101"/>
    </row>
    <row r="66" spans="1:14" x14ac:dyDescent="0.25">
      <c r="A66" s="101"/>
      <c r="B66" s="101"/>
      <c r="C66" s="101"/>
      <c r="D66" s="101"/>
      <c r="E66" s="101" t="s">
        <v>186</v>
      </c>
      <c r="F66" s="101"/>
      <c r="G66" s="101"/>
      <c r="H66" s="101"/>
      <c r="I66" s="101"/>
      <c r="J66" s="101"/>
      <c r="K66" s="101"/>
      <c r="L66" s="101">
        <v>30</v>
      </c>
      <c r="M66" s="101" t="s">
        <v>187</v>
      </c>
      <c r="N66" s="101"/>
    </row>
    <row r="67" spans="1:14" x14ac:dyDescent="0.25">
      <c r="A67" s="101"/>
      <c r="B67" s="101"/>
      <c r="C67" s="101"/>
      <c r="D67" s="101"/>
      <c r="E67" s="101" t="s">
        <v>188</v>
      </c>
      <c r="F67" s="101"/>
      <c r="G67" s="101"/>
      <c r="H67" s="101"/>
      <c r="I67" s="101"/>
      <c r="J67" s="101"/>
      <c r="K67" s="101"/>
      <c r="L67" s="101">
        <v>200</v>
      </c>
      <c r="M67" s="101" t="s">
        <v>187</v>
      </c>
      <c r="N67" s="101"/>
    </row>
    <row r="68" spans="1:14" x14ac:dyDescent="0.25">
      <c r="A68" s="101"/>
      <c r="B68" s="101"/>
      <c r="C68" s="101"/>
      <c r="D68" s="101"/>
      <c r="E68" s="101"/>
      <c r="F68" s="101"/>
      <c r="G68" s="101"/>
      <c r="H68" s="101"/>
      <c r="I68" s="101"/>
      <c r="J68" s="101"/>
      <c r="K68" s="101"/>
      <c r="L68" s="101"/>
      <c r="M68" s="101"/>
      <c r="N68" s="101"/>
    </row>
    <row r="69" spans="1:14" x14ac:dyDescent="0.25">
      <c r="A69" s="101"/>
      <c r="B69" s="101"/>
      <c r="C69" s="101"/>
      <c r="D69" s="101"/>
      <c r="E69" s="101"/>
      <c r="F69" s="101"/>
      <c r="G69" s="101"/>
      <c r="H69" s="101"/>
      <c r="I69" s="101"/>
      <c r="J69" s="101"/>
      <c r="K69" s="101"/>
      <c r="L69" s="101"/>
      <c r="M69" s="101"/>
      <c r="N69" s="101"/>
    </row>
    <row r="70" spans="1:14" x14ac:dyDescent="0.25">
      <c r="A70" s="101"/>
      <c r="B70" s="101"/>
      <c r="C70" s="101"/>
      <c r="D70" s="101"/>
      <c r="E70" s="101"/>
      <c r="F70" s="101"/>
      <c r="G70" s="101"/>
      <c r="H70" s="101"/>
      <c r="I70" s="101"/>
      <c r="J70" s="101"/>
      <c r="K70" s="101"/>
      <c r="L70" s="101"/>
      <c r="M70" s="101"/>
      <c r="N70" s="101"/>
    </row>
    <row r="71" spans="1:14" x14ac:dyDescent="0.25">
      <c r="A71" s="101"/>
      <c r="B71" s="101"/>
      <c r="C71" s="101"/>
      <c r="D71" s="101"/>
      <c r="E71" s="101"/>
      <c r="F71" s="101"/>
      <c r="G71" s="101"/>
      <c r="H71" s="101"/>
      <c r="I71" s="101"/>
      <c r="J71" s="101"/>
      <c r="K71" s="101"/>
      <c r="L71" s="101"/>
      <c r="M71" s="101"/>
      <c r="N71" s="101"/>
    </row>
  </sheetData>
  <phoneticPr fontId="39" type="noConversion"/>
  <pageMargins left="0.7" right="0.7" top="0.75" bottom="0.75" header="0.3" footer="0.3"/>
  <pageSetup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BF964-9C0F-4C9A-B939-1E9FCFF7DE19}">
  <sheetPr>
    <tabColor theme="1"/>
  </sheetPr>
  <dimension ref="A1"/>
  <sheetViews>
    <sheetView workbookViewId="0"/>
  </sheetViews>
  <sheetFormatPr defaultRowHeight="14.5" x14ac:dyDescent="0.3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994B4-34FD-4641-ADE1-E77F6740B9FF}">
  <sheetPr>
    <tabColor rgb="FFFFFF00"/>
  </sheetPr>
  <dimension ref="A2:K18"/>
  <sheetViews>
    <sheetView tabSelected="1" zoomScale="90" zoomScaleNormal="90" workbookViewId="0">
      <selection activeCell="H21" sqref="H21"/>
    </sheetView>
  </sheetViews>
  <sheetFormatPr defaultColWidth="9.1796875" defaultRowHeight="12.5" x14ac:dyDescent="0.25"/>
  <cols>
    <col min="1" max="1" width="4.1796875" style="290" customWidth="1"/>
    <col min="2" max="2" width="27.08984375" style="290" customWidth="1"/>
    <col min="3" max="3" width="12.1796875" style="290" customWidth="1"/>
    <col min="4" max="9" width="15.453125" style="290" customWidth="1"/>
    <col min="10" max="10" width="24.6328125" style="290" customWidth="1"/>
    <col min="11" max="16384" width="9.1796875" style="290"/>
  </cols>
  <sheetData>
    <row r="2" spans="1:11" ht="13" thickBot="1" x14ac:dyDescent="0.3">
      <c r="B2" s="100" t="s">
        <v>189</v>
      </c>
      <c r="C2" s="101"/>
      <c r="D2" s="101"/>
      <c r="E2" s="101"/>
      <c r="F2" s="101"/>
      <c r="G2" s="101"/>
      <c r="H2" s="101"/>
      <c r="I2" s="101"/>
    </row>
    <row r="3" spans="1:11" ht="31.5" customHeight="1" thickBot="1" x14ac:dyDescent="0.3">
      <c r="B3" s="106" t="s">
        <v>190</v>
      </c>
      <c r="C3" s="108" t="s">
        <v>191</v>
      </c>
      <c r="D3" s="104" t="s">
        <v>192</v>
      </c>
      <c r="E3" s="104" t="s">
        <v>193</v>
      </c>
      <c r="F3" s="107" t="s">
        <v>194</v>
      </c>
      <c r="G3" s="104" t="s">
        <v>195</v>
      </c>
      <c r="H3" s="107" t="s">
        <v>196</v>
      </c>
      <c r="I3" s="109" t="s">
        <v>197</v>
      </c>
      <c r="J3" s="555" t="s">
        <v>888</v>
      </c>
    </row>
    <row r="4" spans="1:11" x14ac:dyDescent="0.25">
      <c r="B4" s="328" t="s">
        <v>198</v>
      </c>
      <c r="C4" s="534">
        <f ca="1">'Residential REER'!U6*'Disp Factors'!M4</f>
        <v>5.4942413452767455E-4</v>
      </c>
      <c r="D4" s="535">
        <f ca="1">'Residential REER'!U16*'Disp Factors'!M4</f>
        <v>4.9851593469795782E-5</v>
      </c>
      <c r="E4" s="536">
        <f ca="1">'Child REER'!U6*'Disp Factors'!O4</f>
        <v>2.9261109963600034E-5</v>
      </c>
      <c r="F4" s="537">
        <f ca="1">'Child REER'!U16*'Disp Factors'!O4</f>
        <v>1.1242888746663052E-5</v>
      </c>
      <c r="G4" s="535">
        <f ca="1">'Worker REER'!U6*'Disp Factors'!N4</f>
        <v>6.6357678773739189E-5</v>
      </c>
      <c r="H4" s="537">
        <f ca="1">'Worker REER'!U15*'Disp Factors'!N4</f>
        <v>2.9404478260503369E-5</v>
      </c>
      <c r="I4" s="538">
        <f ca="1">'Acute REER'!U6*'Disp Factors'!P4</f>
        <v>6.9196982985115791E-4</v>
      </c>
      <c r="J4" s="586">
        <f>'Worst-Case Product Acute Risk'!W28</f>
        <v>1.2898046438506677E-3</v>
      </c>
      <c r="K4" s="541"/>
    </row>
    <row r="5" spans="1:11" x14ac:dyDescent="0.25">
      <c r="B5" s="329" t="s">
        <v>199</v>
      </c>
      <c r="C5" s="330">
        <f ca="1">'Residential REER'!U7*'Disp Factors'!M5</f>
        <v>6.9051180008964409E-3</v>
      </c>
      <c r="D5" s="331">
        <f ca="1">'Residential REER'!U17*'Disp Factors'!M5</f>
        <v>6.4927291184419171E-5</v>
      </c>
      <c r="E5" s="332">
        <f ca="1">'Child REER'!U7*'Disp Factors'!O5</f>
        <v>4.0898349816369278E-4</v>
      </c>
      <c r="F5" s="333">
        <f ca="1">'Child REER'!U17*'Disp Factors'!O5</f>
        <v>1.4299154144843008E-5</v>
      </c>
      <c r="G5" s="334">
        <f ca="1">'Worker REER'!U7*'Disp Factors'!N5</f>
        <v>4.6709784157565262E-4</v>
      </c>
      <c r="H5" s="333">
        <f ca="1">'Worker REER'!U16*'Disp Factors'!N5</f>
        <v>3.0300588545024468E-5</v>
      </c>
      <c r="I5" s="539">
        <f ca="1">'Acute REER'!U7*'Disp Factors'!P5</f>
        <v>2.8315416349030314E-4</v>
      </c>
      <c r="J5" s="587">
        <f>'Worst-Case Product Acute Risk'!W19</f>
        <v>1.8938979200327733E-3</v>
      </c>
      <c r="K5" s="541"/>
    </row>
    <row r="6" spans="1:11" x14ac:dyDescent="0.25">
      <c r="B6" s="329" t="s">
        <v>200</v>
      </c>
      <c r="C6" s="335">
        <f ca="1">'Residential REER'!U8*'Disp Factors'!M6</f>
        <v>8.2599246842241097E-2</v>
      </c>
      <c r="D6" s="336">
        <f ca="1">'Residential REER'!U18*'Disp Factors'!M6</f>
        <v>7.989833402971988E-4</v>
      </c>
      <c r="E6" s="337">
        <f ca="1">'Child REER'!U8*'Disp Factors'!O6</f>
        <v>4.8926920673907715E-3</v>
      </c>
      <c r="F6" s="333">
        <f ca="1">'Child REER'!U18*'Disp Factors'!O6</f>
        <v>1.7606595769583674E-4</v>
      </c>
      <c r="G6" s="338">
        <f ca="1">'Worker REER'!U8*'Disp Factors'!N6</f>
        <v>5.4033304830808692E-3</v>
      </c>
      <c r="H6" s="339">
        <f ca="1">'Worker REER'!U17*'Disp Factors'!N6</f>
        <v>3.6093521327646528E-4</v>
      </c>
      <c r="I6" s="539">
        <f ca="1">'Acute REER'!U8*'Disp Factors'!P6</f>
        <v>3.5643236271681853E-3</v>
      </c>
      <c r="J6" s="587">
        <f>'Worst-Case Product Acute Risk'!W9</f>
        <v>2.482866689235718E-2</v>
      </c>
      <c r="K6" s="541"/>
    </row>
    <row r="7" spans="1:11" ht="13" thickBot="1" x14ac:dyDescent="0.3">
      <c r="B7" s="340" t="s">
        <v>201</v>
      </c>
      <c r="C7" s="341">
        <f ca="1">'Residential REER'!U9*'Disp Factors'!M7</f>
        <v>1.6269548620441426E-3</v>
      </c>
      <c r="D7" s="342">
        <f ca="1">'Residential REER'!U19*'Disp Factors'!M7</f>
        <v>1.5737550642217551E-5</v>
      </c>
      <c r="E7" s="343">
        <f ca="1">'Child REER'!U9*'Disp Factors'!O7</f>
        <v>9.6371207388000032E-5</v>
      </c>
      <c r="F7" s="344">
        <f ca="1">'Child REER'!U19*'Disp Factors'!O7</f>
        <v>3.4679658334028465E-6</v>
      </c>
      <c r="G7" s="342">
        <f ca="1">'Worker REER'!U9*'Disp Factors'!N7</f>
        <v>2.9951942810869573E-4</v>
      </c>
      <c r="H7" s="345">
        <f ca="1">'Worker REER'!U18*'Disp Factors'!N7</f>
        <v>2.0007495192708728E-5</v>
      </c>
      <c r="I7" s="540">
        <f ca="1">'Acute REER'!U9*'Disp Factors'!P7</f>
        <v>9.0955626849586885E-5</v>
      </c>
      <c r="J7" s="588">
        <f>'Worst-Case Product Acute Risk'!W36</f>
        <v>5.639398273050435E-3</v>
      </c>
      <c r="K7" s="541"/>
    </row>
    <row r="8" spans="1:11" x14ac:dyDescent="0.25">
      <c r="B8" s="346" t="s">
        <v>202</v>
      </c>
      <c r="C8" s="606">
        <f ca="1">SUM(C4:C7)</f>
        <v>9.1680743839709353E-2</v>
      </c>
      <c r="D8" s="347">
        <f t="shared" ref="D8:H8" ca="1" si="0">SUM(D4:D7)</f>
        <v>9.2949977559363128E-4</v>
      </c>
      <c r="E8" s="347">
        <f t="shared" ca="1" si="0"/>
        <v>5.4273078829060635E-3</v>
      </c>
      <c r="F8" s="348">
        <f t="shared" ca="1" si="0"/>
        <v>2.0507596642074563E-4</v>
      </c>
      <c r="G8" s="347">
        <f t="shared" ca="1" si="0"/>
        <v>6.2363054315389566E-3</v>
      </c>
      <c r="H8" s="349">
        <f t="shared" ca="1" si="0"/>
        <v>4.4064777527470182E-4</v>
      </c>
      <c r="I8" s="350">
        <f ca="1">SUM(I4:I7)</f>
        <v>4.6304032473592337E-3</v>
      </c>
      <c r="J8" s="589">
        <f>SUM(J4:J7)</f>
        <v>3.3651767729291057E-2</v>
      </c>
      <c r="K8" s="542"/>
    </row>
    <row r="9" spans="1:11" ht="14.5" thickBot="1" x14ac:dyDescent="0.3">
      <c r="B9" s="351" t="s">
        <v>203</v>
      </c>
      <c r="C9" s="352" t="s">
        <v>204</v>
      </c>
      <c r="D9" s="353" t="s">
        <v>204</v>
      </c>
      <c r="E9" s="353" t="s">
        <v>204</v>
      </c>
      <c r="F9" s="354" t="s">
        <v>204</v>
      </c>
      <c r="G9" s="353" t="s">
        <v>204</v>
      </c>
      <c r="H9" s="354" t="s">
        <v>204</v>
      </c>
      <c r="I9" s="355" t="s">
        <v>204</v>
      </c>
      <c r="J9" s="355"/>
    </row>
    <row r="10" spans="1:11" ht="13" thickBot="1" x14ac:dyDescent="0.3"/>
    <row r="11" spans="1:11" ht="32" customHeight="1" x14ac:dyDescent="0.25">
      <c r="A11" s="356">
        <v>1</v>
      </c>
      <c r="B11" s="637" t="s">
        <v>205</v>
      </c>
      <c r="C11" s="638"/>
      <c r="D11" s="357" t="s">
        <v>206</v>
      </c>
      <c r="E11" s="358" t="s">
        <v>207</v>
      </c>
    </row>
    <row r="12" spans="1:11" x14ac:dyDescent="0.25">
      <c r="B12" s="639" t="s">
        <v>208</v>
      </c>
      <c r="C12" s="640"/>
      <c r="D12" s="359">
        <v>2.5</v>
      </c>
      <c r="E12" s="360">
        <v>0.1</v>
      </c>
    </row>
    <row r="13" spans="1:11" x14ac:dyDescent="0.25">
      <c r="B13" s="633" t="s">
        <v>209</v>
      </c>
      <c r="C13" s="634"/>
      <c r="D13" s="361">
        <v>5</v>
      </c>
      <c r="E13" s="362">
        <v>0.5</v>
      </c>
    </row>
    <row r="14" spans="1:11" x14ac:dyDescent="0.25">
      <c r="B14" s="633" t="s">
        <v>210</v>
      </c>
      <c r="C14" s="634"/>
      <c r="D14" s="361">
        <v>25</v>
      </c>
      <c r="E14" s="362">
        <v>1</v>
      </c>
    </row>
    <row r="15" spans="1:11" x14ac:dyDescent="0.25">
      <c r="B15" s="633" t="s">
        <v>211</v>
      </c>
      <c r="C15" s="634"/>
      <c r="D15" s="361">
        <v>50</v>
      </c>
      <c r="E15" s="362">
        <v>3</v>
      </c>
      <c r="J15" s="543"/>
    </row>
    <row r="16" spans="1:11" x14ac:dyDescent="0.25">
      <c r="B16" s="633" t="s">
        <v>212</v>
      </c>
      <c r="C16" s="634"/>
      <c r="D16" s="361">
        <v>200</v>
      </c>
      <c r="E16" s="362">
        <v>6</v>
      </c>
    </row>
    <row r="17" spans="2:5" ht="13" thickBot="1" x14ac:dyDescent="0.3">
      <c r="B17" s="635" t="s">
        <v>213</v>
      </c>
      <c r="C17" s="636"/>
      <c r="D17" s="363">
        <v>500</v>
      </c>
      <c r="E17" s="364">
        <v>12</v>
      </c>
    </row>
    <row r="18" spans="2:5" x14ac:dyDescent="0.25">
      <c r="B18" s="101" t="s">
        <v>214</v>
      </c>
      <c r="C18" s="101"/>
      <c r="D18" s="101"/>
      <c r="E18" s="101"/>
    </row>
  </sheetData>
  <mergeCells count="7">
    <mergeCell ref="B16:C16"/>
    <mergeCell ref="B17:C17"/>
    <mergeCell ref="B11:C11"/>
    <mergeCell ref="B12:C12"/>
    <mergeCell ref="B13:C13"/>
    <mergeCell ref="B14:C14"/>
    <mergeCell ref="B15:C15"/>
  </mergeCells>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6E79F-C93D-41E8-88EB-4324042DB668}">
  <sheetPr>
    <tabColor rgb="FF00B0F0"/>
  </sheetPr>
  <dimension ref="B1:U27"/>
  <sheetViews>
    <sheetView zoomScale="60" zoomScaleNormal="60" workbookViewId="0">
      <selection activeCell="F30" sqref="F30"/>
    </sheetView>
  </sheetViews>
  <sheetFormatPr defaultColWidth="9.1796875" defaultRowHeight="12.5" x14ac:dyDescent="0.25"/>
  <cols>
    <col min="1" max="1" width="2.81640625" style="101" customWidth="1"/>
    <col min="2" max="2" width="14.81640625" style="101" customWidth="1"/>
    <col min="3" max="17" width="10.453125" style="101" customWidth="1"/>
    <col min="18" max="18" width="10.453125" style="190" customWidth="1"/>
    <col min="19" max="19" width="11.81640625" style="101" customWidth="1"/>
    <col min="20" max="20" width="17.08984375" style="101" customWidth="1"/>
    <col min="21" max="21" width="38.81640625" style="101" bestFit="1" customWidth="1"/>
    <col min="22" max="16384" width="9.1796875" style="101"/>
  </cols>
  <sheetData>
    <row r="1" spans="2:21" x14ac:dyDescent="0.25">
      <c r="B1" s="290" t="s">
        <v>892</v>
      </c>
    </row>
    <row r="2" spans="2:21" x14ac:dyDescent="0.25">
      <c r="B2" s="100" t="s">
        <v>877</v>
      </c>
    </row>
    <row r="3" spans="2:21" ht="7" customHeight="1" thickBot="1" x14ac:dyDescent="0.3"/>
    <row r="4" spans="2:21" ht="14.5" thickBot="1" x14ac:dyDescent="0.3">
      <c r="C4" s="611" t="s">
        <v>878</v>
      </c>
      <c r="D4" s="612"/>
      <c r="E4" s="612"/>
      <c r="F4" s="612"/>
      <c r="G4" s="612"/>
      <c r="H4" s="612"/>
      <c r="I4" s="612"/>
      <c r="J4" s="612"/>
      <c r="K4" s="612"/>
      <c r="L4" s="612"/>
      <c r="M4" s="612"/>
      <c r="N4" s="612"/>
      <c r="O4" s="612"/>
      <c r="P4" s="612"/>
      <c r="Q4" s="612"/>
      <c r="R4" s="613"/>
    </row>
    <row r="5" spans="2:21" ht="59.5" customHeight="1" thickBot="1" x14ac:dyDescent="0.3">
      <c r="B5" s="191"/>
      <c r="C5" s="192" t="s">
        <v>2</v>
      </c>
      <c r="D5" s="171" t="s">
        <v>3</v>
      </c>
      <c r="E5" s="171" t="s">
        <v>4</v>
      </c>
      <c r="F5" s="171" t="s">
        <v>5</v>
      </c>
      <c r="G5" s="171" t="s">
        <v>6</v>
      </c>
      <c r="H5" s="171" t="s">
        <v>7</v>
      </c>
      <c r="I5" s="171" t="s">
        <v>8</v>
      </c>
      <c r="J5" s="171" t="s">
        <v>9</v>
      </c>
      <c r="K5" s="171" t="s">
        <v>10</v>
      </c>
      <c r="L5" s="171" t="s">
        <v>11</v>
      </c>
      <c r="M5" s="171" t="s">
        <v>12</v>
      </c>
      <c r="N5" s="171" t="s">
        <v>13</v>
      </c>
      <c r="O5" s="172" t="s">
        <v>14</v>
      </c>
      <c r="P5" s="171" t="s">
        <v>15</v>
      </c>
      <c r="Q5" s="193" t="s">
        <v>16</v>
      </c>
      <c r="R5" s="194" t="s">
        <v>17</v>
      </c>
      <c r="S5" s="317" t="s">
        <v>847</v>
      </c>
      <c r="T5" s="190" t="s">
        <v>158</v>
      </c>
    </row>
    <row r="6" spans="2:21" ht="14.5" thickBot="1" x14ac:dyDescent="0.3">
      <c r="B6" s="630" t="s">
        <v>35</v>
      </c>
      <c r="C6" s="631"/>
      <c r="D6" s="631"/>
      <c r="E6" s="631"/>
      <c r="F6" s="631"/>
      <c r="G6" s="631"/>
      <c r="H6" s="631"/>
      <c r="I6" s="631"/>
      <c r="J6" s="631"/>
      <c r="K6" s="631"/>
      <c r="L6" s="631"/>
      <c r="M6" s="631"/>
      <c r="N6" s="631"/>
      <c r="O6" s="631"/>
      <c r="P6" s="631"/>
      <c r="Q6" s="631"/>
      <c r="R6" s="632"/>
      <c r="T6" s="202"/>
      <c r="U6" s="202"/>
    </row>
    <row r="7" spans="2:21" x14ac:dyDescent="0.25">
      <c r="B7" s="196" t="s">
        <v>36</v>
      </c>
      <c r="C7" s="198">
        <f>IFERROR('Emission Factors'!C7/'Acute REER'!D$5,0)</f>
        <v>0</v>
      </c>
      <c r="D7" s="198">
        <f>IFERROR('Emission Factors'!D7/'Acute REER'!E$5,0)</f>
        <v>0</v>
      </c>
      <c r="E7" s="198">
        <f>IFERROR('Emission Factors'!E7/'Acute REER'!F$5,0)</f>
        <v>0</v>
      </c>
      <c r="F7" s="198">
        <f>IFERROR('Emission Factors'!F7/'Acute REER'!G$5,0)</f>
        <v>0</v>
      </c>
      <c r="G7" s="198">
        <f>IFERROR('Emission Factors'!G7/'Acute REER'!H$5,0)</f>
        <v>0</v>
      </c>
      <c r="H7" s="198">
        <f>IFERROR('Emission Factors'!H7/'Acute REER'!I$5,0)</f>
        <v>0</v>
      </c>
      <c r="I7" s="198">
        <f>IFERROR('Emission Factors'!I7/'Acute REER'!J$5,0)</f>
        <v>1.3666666666666666E-5</v>
      </c>
      <c r="J7" s="198">
        <f>IFERROR('Emission Factors'!J7/'Acute REER'!K$5,0)</f>
        <v>7.1031999999999997E-8</v>
      </c>
      <c r="K7" s="198">
        <f>IFERROR('Emission Factors'!K7/'Acute REER'!L$5,0)</f>
        <v>1.06E-3</v>
      </c>
      <c r="L7" s="198">
        <f>IFERROR('Emission Factors'!L7/'Acute REER'!M$5,0)</f>
        <v>4.9999999999999996E-6</v>
      </c>
      <c r="M7" s="198">
        <f>IFERROR('Emission Factors'!M7/'Acute REER'!N$5,0)</f>
        <v>0</v>
      </c>
      <c r="N7" s="198">
        <f>IFERROR('Emission Factors'!N7/'Acute REER'!O$5,0)</f>
        <v>0</v>
      </c>
      <c r="O7" s="198">
        <f>IFERROR('Emission Factors'!O7/'Acute REER'!P$5,0)</f>
        <v>0</v>
      </c>
      <c r="P7" s="198">
        <f>IFERROR('Emission Factors'!P7/'Acute REER'!Q$5,0)</f>
        <v>5.3273999999999983E-7</v>
      </c>
      <c r="Q7" s="198">
        <f>IFERROR('Emission Factors'!Q7/'Acute REER'!R$5,0)</f>
        <v>0</v>
      </c>
      <c r="R7" s="198">
        <f>IFERROR('Emission Factors'!R7/'Acute REER'!S$5,0)</f>
        <v>0</v>
      </c>
      <c r="S7" s="198">
        <f>IFERROR('Emission Factors'!S7/'Acute REER'!T$5,0)</f>
        <v>0</v>
      </c>
      <c r="T7" s="551">
        <f>SUM(C7:S7)</f>
        <v>1.0792704386666666E-3</v>
      </c>
      <c r="U7" s="202"/>
    </row>
    <row r="8" spans="2:21" x14ac:dyDescent="0.25">
      <c r="B8" s="203" t="s">
        <v>38</v>
      </c>
      <c r="C8" s="198">
        <f>IFERROR('Emission Factors'!C8/'Acute REER'!D$5,0)</f>
        <v>0</v>
      </c>
      <c r="D8" s="198">
        <f>IFERROR('Emission Factors'!D8/'Acute REER'!E$5,0)</f>
        <v>0</v>
      </c>
      <c r="E8" s="198">
        <f>IFERROR('Emission Factors'!E8/'Acute REER'!F$5,0)</f>
        <v>0</v>
      </c>
      <c r="F8" s="198">
        <f>IFERROR('Emission Factors'!F8/'Acute REER'!G$5,0)</f>
        <v>0</v>
      </c>
      <c r="G8" s="198">
        <f>IFERROR('Emission Factors'!G8/'Acute REER'!H$5,0)</f>
        <v>0</v>
      </c>
      <c r="H8" s="198">
        <f>IFERROR('Emission Factors'!H8/'Acute REER'!I$5,0)</f>
        <v>0</v>
      </c>
      <c r="I8" s="198">
        <f>IFERROR('Emission Factors'!I8/'Acute REER'!J$5,0)</f>
        <v>1.2294000000000003E-5</v>
      </c>
      <c r="J8" s="198">
        <f>IFERROR('Emission Factors'!J8/'Acute REER'!K$5,0)</f>
        <v>2.7320000000000004E-7</v>
      </c>
      <c r="K8" s="198">
        <f>IFERROR('Emission Factors'!K8/'Acute REER'!L$5,0)</f>
        <v>1.0017333333333334E-4</v>
      </c>
      <c r="L8" s="198">
        <f>IFERROR('Emission Factors'!L8/'Acute REER'!M$5,0)</f>
        <v>1.6392000000000002E-4</v>
      </c>
      <c r="M8" s="198">
        <f>IFERROR('Emission Factors'!M8/'Acute REER'!N$5,0)</f>
        <v>0</v>
      </c>
      <c r="N8" s="198">
        <f>IFERROR('Emission Factors'!N8/'Acute REER'!O$5,0)</f>
        <v>0</v>
      </c>
      <c r="O8" s="198">
        <f>IFERROR('Emission Factors'!O8/'Acute REER'!P$5,0)</f>
        <v>0</v>
      </c>
      <c r="P8" s="198">
        <f>IFERROR('Emission Factors'!P8/'Acute REER'!Q$5,0)</f>
        <v>0</v>
      </c>
      <c r="Q8" s="198">
        <f>IFERROR('Emission Factors'!Q8/'Acute REER'!R$5,0)</f>
        <v>0</v>
      </c>
      <c r="R8" s="198">
        <f>IFERROR('Emission Factors'!R8/'Acute REER'!S$5,0)</f>
        <v>0</v>
      </c>
      <c r="S8" s="198">
        <f>IFERROR('Emission Factors'!S8/'Acute REER'!T$5,0)</f>
        <v>0</v>
      </c>
      <c r="T8" s="551">
        <f t="shared" ref="T8:T13" si="0">SUM(C8:S8)</f>
        <v>2.7666053333333336E-4</v>
      </c>
      <c r="U8" s="202"/>
    </row>
    <row r="9" spans="2:21" x14ac:dyDescent="0.25">
      <c r="B9" s="203" t="s">
        <v>39</v>
      </c>
      <c r="C9" s="198">
        <f>IFERROR('Emission Factors'!C9/'Acute REER'!D$5,0)</f>
        <v>0</v>
      </c>
      <c r="D9" s="198">
        <f>IFERROR('Emission Factors'!D9/'Acute REER'!E$5,0)</f>
        <v>0</v>
      </c>
      <c r="E9" s="198">
        <f>IFERROR('Emission Factors'!E9/'Acute REER'!F$5,0)</f>
        <v>0</v>
      </c>
      <c r="F9" s="198">
        <f>IFERROR('Emission Factors'!F9/'Acute REER'!G$5,0)</f>
        <v>0</v>
      </c>
      <c r="G9" s="198">
        <f>IFERROR('Emission Factors'!G9/'Acute REER'!H$5,0)</f>
        <v>0</v>
      </c>
      <c r="H9" s="198">
        <f>IFERROR('Emission Factors'!H9/'Acute REER'!I$5,0)</f>
        <v>0</v>
      </c>
      <c r="I9" s="198">
        <f>IFERROR('Emission Factors'!I9/'Acute REER'!J$5,0)</f>
        <v>2.276666666666667E-5</v>
      </c>
      <c r="J9" s="198">
        <f>IFERROR('Emission Factors'!J9/'Acute REER'!K$5,0)</f>
        <v>2.7320000000000004E-7</v>
      </c>
      <c r="K9" s="198">
        <f>IFERROR('Emission Factors'!K9/'Acute REER'!L$5,0)</f>
        <v>1.0017333333333334E-4</v>
      </c>
      <c r="L9" s="198">
        <f>IFERROR('Emission Factors'!L9/'Acute REER'!M$5,0)</f>
        <v>1.6392000000000002E-4</v>
      </c>
      <c r="M9" s="198">
        <f>IFERROR('Emission Factors'!M9/'Acute REER'!N$5,0)</f>
        <v>0</v>
      </c>
      <c r="N9" s="198">
        <f>IFERROR('Emission Factors'!N9/'Acute REER'!O$5,0)</f>
        <v>0</v>
      </c>
      <c r="O9" s="198">
        <f>IFERROR('Emission Factors'!O9/'Acute REER'!P$5,0)</f>
        <v>0</v>
      </c>
      <c r="P9" s="198">
        <f>IFERROR('Emission Factors'!P9/'Acute REER'!Q$5,0)</f>
        <v>0</v>
      </c>
      <c r="Q9" s="198">
        <f>IFERROR('Emission Factors'!Q9/'Acute REER'!R$5,0)</f>
        <v>0</v>
      </c>
      <c r="R9" s="198">
        <f>IFERROR('Emission Factors'!R9/'Acute REER'!S$5,0)</f>
        <v>0</v>
      </c>
      <c r="S9" s="198">
        <f>IFERROR('Emission Factors'!S9/'Acute REER'!T$5,0)</f>
        <v>0</v>
      </c>
      <c r="T9" s="551">
        <f t="shared" si="0"/>
        <v>2.8713320000000003E-4</v>
      </c>
      <c r="U9" s="202"/>
    </row>
    <row r="10" spans="2:21" x14ac:dyDescent="0.25">
      <c r="B10" s="203" t="s">
        <v>40</v>
      </c>
      <c r="C10" s="198">
        <f>IFERROR('Emission Factors'!C10/'Acute REER'!D$5,0)</f>
        <v>0</v>
      </c>
      <c r="D10" s="198">
        <f>IFERROR('Emission Factors'!D10/'Acute REER'!E$5,0)</f>
        <v>0</v>
      </c>
      <c r="E10" s="198">
        <f>IFERROR('Emission Factors'!E10/'Acute REER'!F$5,0)</f>
        <v>0</v>
      </c>
      <c r="F10" s="198">
        <f>IFERROR('Emission Factors'!F10/'Acute REER'!G$5,0)</f>
        <v>0</v>
      </c>
      <c r="G10" s="198">
        <f>IFERROR('Emission Factors'!G10/'Acute REER'!H$5,0)</f>
        <v>0</v>
      </c>
      <c r="H10" s="198">
        <f>IFERROR('Emission Factors'!H10/'Acute REER'!I$5,0)</f>
        <v>0</v>
      </c>
      <c r="I10" s="198">
        <f>IFERROR('Emission Factors'!I10/'Acute REER'!J$5,0)</f>
        <v>2.6699999999999998E-4</v>
      </c>
      <c r="J10" s="198">
        <f>IFERROR('Emission Factors'!J10/'Acute REER'!K$5,0)</f>
        <v>4.0979999999999998E-7</v>
      </c>
      <c r="K10" s="198">
        <f>IFERROR('Emission Factors'!K10/'Acute REER'!L$5,0)</f>
        <v>3.187333333333334E-4</v>
      </c>
      <c r="L10" s="198">
        <f>IFERROR('Emission Factors'!L10/'Acute REER'!M$5,0)</f>
        <v>3.5516000000000002E-3</v>
      </c>
      <c r="M10" s="198">
        <f>IFERROR('Emission Factors'!M10/'Acute REER'!N$5,0)</f>
        <v>0</v>
      </c>
      <c r="N10" s="198">
        <f>IFERROR('Emission Factors'!N10/'Acute REER'!O$5,0)</f>
        <v>0</v>
      </c>
      <c r="O10" s="198">
        <f>IFERROR('Emission Factors'!O10/'Acute REER'!P$5,0)</f>
        <v>0</v>
      </c>
      <c r="P10" s="198">
        <f>IFERROR('Emission Factors'!P10/'Acute REER'!Q$5,0)</f>
        <v>0</v>
      </c>
      <c r="Q10" s="198">
        <f>IFERROR('Emission Factors'!Q10/'Acute REER'!R$5,0)</f>
        <v>0</v>
      </c>
      <c r="R10" s="198">
        <f>IFERROR('Emission Factors'!R10/'Acute REER'!S$5,0)</f>
        <v>0</v>
      </c>
      <c r="S10" s="198">
        <f>IFERROR('Emission Factors'!S10/'Acute REER'!T$5,0)</f>
        <v>0</v>
      </c>
      <c r="T10" s="551">
        <f t="shared" si="0"/>
        <v>4.1377431333333332E-3</v>
      </c>
      <c r="U10" s="202"/>
    </row>
    <row r="11" spans="2:21" x14ac:dyDescent="0.25">
      <c r="B11" s="203" t="s">
        <v>41</v>
      </c>
      <c r="C11" s="198">
        <f>IFERROR('Emission Factors'!C11/'Acute REER'!D$5,0)</f>
        <v>0</v>
      </c>
      <c r="D11" s="198">
        <f>IFERROR('Emission Factors'!D11/'Acute REER'!E$5,0)</f>
        <v>0</v>
      </c>
      <c r="E11" s="198">
        <f>IFERROR('Emission Factors'!E11/'Acute REER'!F$5,0)</f>
        <v>0</v>
      </c>
      <c r="F11" s="198">
        <f>IFERROR('Emission Factors'!F11/'Acute REER'!G$5,0)</f>
        <v>0</v>
      </c>
      <c r="G11" s="198">
        <f>IFERROR('Emission Factors'!G11/'Acute REER'!H$5,0)</f>
        <v>0</v>
      </c>
      <c r="H11" s="198">
        <f>IFERROR('Emission Factors'!H11/'Acute REER'!I$5,0)</f>
        <v>0</v>
      </c>
      <c r="I11" s="198">
        <f>IFERROR('Emission Factors'!I11/'Acute REER'!J$5,0)</f>
        <v>9.4666666666666673E-5</v>
      </c>
      <c r="J11" s="198">
        <f>IFERROR('Emission Factors'!J11/'Acute REER'!K$5,0)</f>
        <v>1.3113600000000002E-7</v>
      </c>
      <c r="K11" s="198">
        <f>IFERROR('Emission Factors'!K11/'Acute REER'!L$5,0)</f>
        <v>8.1666666666666671E-4</v>
      </c>
      <c r="L11" s="198">
        <f>IFERROR('Emission Factors'!L11/'Acute REER'!M$5,0)</f>
        <v>1.1299999999999999E-3</v>
      </c>
      <c r="M11" s="198">
        <f>IFERROR('Emission Factors'!M11/'Acute REER'!N$5,0)</f>
        <v>0</v>
      </c>
      <c r="N11" s="198">
        <f>IFERROR('Emission Factors'!N11/'Acute REER'!O$5,0)</f>
        <v>0</v>
      </c>
      <c r="O11" s="198">
        <f>IFERROR('Emission Factors'!O11/'Acute REER'!P$5,0)</f>
        <v>0</v>
      </c>
      <c r="P11" s="198">
        <f>IFERROR('Emission Factors'!P11/'Acute REER'!Q$5,0)</f>
        <v>0</v>
      </c>
      <c r="Q11" s="198">
        <f>IFERROR('Emission Factors'!Q11/'Acute REER'!R$5,0)</f>
        <v>0</v>
      </c>
      <c r="R11" s="198">
        <f>IFERROR('Emission Factors'!R11/'Acute REER'!S$5,0)</f>
        <v>0</v>
      </c>
      <c r="S11" s="198">
        <f>IFERROR('Emission Factors'!S11/'Acute REER'!T$5,0)</f>
        <v>0</v>
      </c>
      <c r="T11" s="551">
        <f t="shared" si="0"/>
        <v>2.0414644693333333E-3</v>
      </c>
      <c r="U11" s="202"/>
    </row>
    <row r="12" spans="2:21" x14ac:dyDescent="0.25">
      <c r="B12" s="209" t="s">
        <v>42</v>
      </c>
      <c r="C12" s="198">
        <f>IFERROR('Emission Factors'!C12/'Acute REER'!D$5,0)</f>
        <v>0</v>
      </c>
      <c r="D12" s="198">
        <f>IFERROR('Emission Factors'!D12/'Acute REER'!E$5,0)</f>
        <v>0</v>
      </c>
      <c r="E12" s="198">
        <f>IFERROR('Emission Factors'!E12/'Acute REER'!F$5,0)</f>
        <v>0</v>
      </c>
      <c r="F12" s="198">
        <f>IFERROR('Emission Factors'!F12/'Acute REER'!G$5,0)</f>
        <v>0</v>
      </c>
      <c r="G12" s="198">
        <f>IFERROR('Emission Factors'!G12/'Acute REER'!H$5,0)</f>
        <v>0</v>
      </c>
      <c r="H12" s="198">
        <f>IFERROR('Emission Factors'!H12/'Acute REER'!I$5,0)</f>
        <v>0</v>
      </c>
      <c r="I12" s="198">
        <f>IFERROR('Emission Factors'!I12/'Acute REER'!J$5,0)</f>
        <v>3.0052000000000003E-4</v>
      </c>
      <c r="J12" s="198">
        <f>IFERROR('Emission Factors'!J12/'Acute REER'!K$5,0)</f>
        <v>1.8577600000000003E-5</v>
      </c>
      <c r="K12" s="198">
        <f>IFERROR('Emission Factors'!K12/'Acute REER'!L$5,0)</f>
        <v>2.9141333333333338E-3</v>
      </c>
      <c r="L12" s="198">
        <f>IFERROR('Emission Factors'!L12/'Acute REER'!M$5,0)</f>
        <v>2.7046799999999999E-2</v>
      </c>
      <c r="M12" s="198">
        <f>IFERROR('Emission Factors'!M12/'Acute REER'!N$5,0)</f>
        <v>0</v>
      </c>
      <c r="N12" s="198">
        <f>IFERROR('Emission Factors'!N12/'Acute REER'!O$5,0)</f>
        <v>0</v>
      </c>
      <c r="O12" s="198">
        <f>IFERROR('Emission Factors'!O12/'Acute REER'!P$5,0)</f>
        <v>0</v>
      </c>
      <c r="P12" s="198">
        <f>IFERROR('Emission Factors'!P12/'Acute REER'!Q$5,0)</f>
        <v>2.7320000000000003E-4</v>
      </c>
      <c r="Q12" s="198">
        <f>IFERROR('Emission Factors'!Q12/'Acute REER'!R$5,0)</f>
        <v>0</v>
      </c>
      <c r="R12" s="198">
        <f>IFERROR('Emission Factors'!R12/'Acute REER'!S$5,0)</f>
        <v>0</v>
      </c>
      <c r="S12" s="198">
        <f>IFERROR('Emission Factors'!S12/'Acute REER'!T$5,0)</f>
        <v>0</v>
      </c>
      <c r="T12" s="552">
        <f t="shared" si="0"/>
        <v>3.0553230933333335E-2</v>
      </c>
      <c r="U12" s="553" t="s">
        <v>850</v>
      </c>
    </row>
    <row r="13" spans="2:21" ht="13" thickBot="1" x14ac:dyDescent="0.3">
      <c r="B13" s="209" t="s">
        <v>43</v>
      </c>
      <c r="C13" s="198">
        <f>IFERROR('Emission Factors'!C13/'Acute REER'!D$5,0)</f>
        <v>0</v>
      </c>
      <c r="D13" s="198">
        <f>IFERROR('Emission Factors'!D13/'Acute REER'!E$5,0)</f>
        <v>0</v>
      </c>
      <c r="E13" s="198">
        <f>IFERROR('Emission Factors'!E13/'Acute REER'!F$5,0)</f>
        <v>0</v>
      </c>
      <c r="F13" s="198">
        <f>IFERROR('Emission Factors'!F13/'Acute REER'!G$5,0)</f>
        <v>0</v>
      </c>
      <c r="G13" s="198">
        <f>IFERROR('Emission Factors'!G13/'Acute REER'!H$5,0)</f>
        <v>0</v>
      </c>
      <c r="H13" s="198">
        <f>IFERROR('Emission Factors'!H13/'Acute REER'!I$5,0)</f>
        <v>0</v>
      </c>
      <c r="I13" s="198">
        <f>IFERROR('Emission Factors'!I13/'Acute REER'!J$5,0)</f>
        <v>0</v>
      </c>
      <c r="J13" s="198">
        <f>IFERROR('Emission Factors'!J13/'Acute REER'!K$5,0)</f>
        <v>0</v>
      </c>
      <c r="K13" s="198">
        <f>IFERROR('Emission Factors'!K13/'Acute REER'!L$5,0)</f>
        <v>0</v>
      </c>
      <c r="L13" s="198">
        <f>IFERROR('Emission Factors'!L13/'Acute REER'!M$5,0)</f>
        <v>7.8787500000000003E-3</v>
      </c>
      <c r="M13" s="198">
        <f>IFERROR('Emission Factors'!M13/'Acute REER'!N$5,0)</f>
        <v>0</v>
      </c>
      <c r="N13" s="198">
        <f>IFERROR('Emission Factors'!N13/'Acute REER'!O$5,0)</f>
        <v>0</v>
      </c>
      <c r="O13" s="198">
        <f>IFERROR('Emission Factors'!O13/'Acute REER'!P$5,0)</f>
        <v>0</v>
      </c>
      <c r="P13" s="198">
        <f>IFERROR('Emission Factors'!P13/'Acute REER'!Q$5,0)</f>
        <v>0</v>
      </c>
      <c r="Q13" s="198">
        <f>IFERROR('Emission Factors'!Q13/'Acute REER'!R$5,0)</f>
        <v>0</v>
      </c>
      <c r="R13" s="198">
        <f>IFERROR('Emission Factors'!R13/'Acute REER'!S$5,0)</f>
        <v>3.4849551856594112E-7</v>
      </c>
      <c r="S13" s="198">
        <f>IFERROR('Emission Factors'!S13/'Acute REER'!T$5,0)</f>
        <v>0</v>
      </c>
      <c r="T13" s="551">
        <f t="shared" si="0"/>
        <v>7.8790984955185665E-3</v>
      </c>
      <c r="U13" s="202"/>
    </row>
    <row r="14" spans="2:21" ht="14.5" thickBot="1" x14ac:dyDescent="0.3">
      <c r="B14" s="630" t="s">
        <v>44</v>
      </c>
      <c r="C14" s="631"/>
      <c r="D14" s="631"/>
      <c r="E14" s="631"/>
      <c r="F14" s="631"/>
      <c r="G14" s="631"/>
      <c r="H14" s="631"/>
      <c r="I14" s="631"/>
      <c r="J14" s="631"/>
      <c r="K14" s="631"/>
      <c r="L14" s="631"/>
      <c r="M14" s="631"/>
      <c r="N14" s="631"/>
      <c r="O14" s="631"/>
      <c r="P14" s="631"/>
      <c r="Q14" s="631"/>
      <c r="R14" s="632"/>
      <c r="S14" s="202"/>
      <c r="T14" s="551"/>
      <c r="U14" s="202"/>
    </row>
    <row r="15" spans="2:21" x14ac:dyDescent="0.25">
      <c r="B15" s="196" t="s">
        <v>45</v>
      </c>
      <c r="C15" s="198">
        <f>IFERROR('Emission Factors'!C15/'Acute REER'!D$5,0)</f>
        <v>0</v>
      </c>
      <c r="D15" s="198">
        <f>IFERROR('Emission Factors'!D15/'Acute REER'!E$5,0)</f>
        <v>0</v>
      </c>
      <c r="E15" s="198">
        <f>IFERROR('Emission Factors'!E15/'Acute REER'!F$5,0)</f>
        <v>0</v>
      </c>
      <c r="F15" s="198">
        <f>IFERROR('Emission Factors'!F15/'Acute REER'!G$5,0)</f>
        <v>0</v>
      </c>
      <c r="G15" s="198">
        <f>IFERROR('Emission Factors'!G15/'Acute REER'!H$5,0)</f>
        <v>0</v>
      </c>
      <c r="H15" s="198">
        <f>IFERROR('Emission Factors'!H15/'Acute REER'!I$5,0)</f>
        <v>0</v>
      </c>
      <c r="I15" s="198">
        <f>IFERROR('Emission Factors'!I15/'Acute REER'!J$5,0)</f>
        <v>3.6767500000000003E-3</v>
      </c>
      <c r="J15" s="198">
        <f>IFERROR('Emission Factors'!J15/'Acute REER'!K$5,0)</f>
        <v>0</v>
      </c>
      <c r="K15" s="198">
        <f>IFERROR('Emission Factors'!K15/'Acute REER'!L$5,0)</f>
        <v>5.7300000000000005E-4</v>
      </c>
      <c r="L15" s="198">
        <f>IFERROR('Emission Factors'!L15/'Acute REER'!M$5,0)</f>
        <v>1.5757499999999999E-4</v>
      </c>
      <c r="M15" s="198">
        <f>IFERROR('Emission Factors'!M15/'Acute REER'!N$5,0)</f>
        <v>0</v>
      </c>
      <c r="N15" s="198">
        <f>IFERROR('Emission Factors'!N15/'Acute REER'!O$5,0)</f>
        <v>0</v>
      </c>
      <c r="O15" s="198">
        <f>IFERROR('Emission Factors'!O15/'Acute REER'!P$5,0)</f>
        <v>0</v>
      </c>
      <c r="P15" s="198">
        <f>IFERROR('Emission Factors'!P15/'Acute REER'!Q$5,0)</f>
        <v>3.9393749999999999E-5</v>
      </c>
      <c r="Q15" s="198">
        <f>IFERROR('Emission Factors'!Q15/'Acute REER'!R$5,0)</f>
        <v>0</v>
      </c>
      <c r="R15" s="198">
        <f>IFERROR('Emission Factors'!R15/'Acute REER'!S$5,0)</f>
        <v>0</v>
      </c>
      <c r="S15" s="198">
        <f>IFERROR('Emission Factors'!S15/'Acute REER'!T$5,0)</f>
        <v>0</v>
      </c>
      <c r="T15" s="551">
        <f>SUM(C15:S15)</f>
        <v>4.4467187500000002E-3</v>
      </c>
      <c r="U15" s="202"/>
    </row>
    <row r="16" spans="2:21" x14ac:dyDescent="0.25">
      <c r="B16" s="215" t="s">
        <v>46</v>
      </c>
      <c r="C16" s="198">
        <f>IFERROR('Emission Factors'!C16/'Acute REER'!D$5,0)</f>
        <v>0</v>
      </c>
      <c r="D16" s="198">
        <f>IFERROR('Emission Factors'!D16/'Acute REER'!E$5,0)</f>
        <v>0</v>
      </c>
      <c r="E16" s="198">
        <f>IFERROR('Emission Factors'!E16/'Acute REER'!F$5,0)</f>
        <v>0</v>
      </c>
      <c r="F16" s="198">
        <f>IFERROR('Emission Factors'!F16/'Acute REER'!G$5,0)</f>
        <v>0</v>
      </c>
      <c r="G16" s="198">
        <f>IFERROR('Emission Factors'!G16/'Acute REER'!H$5,0)</f>
        <v>0</v>
      </c>
      <c r="H16" s="198">
        <f>IFERROR('Emission Factors'!H16/'Acute REER'!I$5,0)</f>
        <v>0</v>
      </c>
      <c r="I16" s="198">
        <f>IFERROR('Emission Factors'!I16/'Acute REER'!J$5,0)</f>
        <v>1.5757500000000005E-3</v>
      </c>
      <c r="J16" s="198">
        <f>IFERROR('Emission Factors'!J16/'Acute REER'!K$5,0)</f>
        <v>3.1515000000000001E-7</v>
      </c>
      <c r="K16" s="198">
        <f>IFERROR('Emission Factors'!K16/'Acute REER'!L$5,0)</f>
        <v>1.0505000000000001E-4</v>
      </c>
      <c r="L16" s="198">
        <f>IFERROR('Emission Factors'!L16/'Acute REER'!M$5,0)</f>
        <v>1.0027499999999998E-2</v>
      </c>
      <c r="M16" s="198">
        <f>IFERROR('Emission Factors'!M16/'Acute REER'!N$5,0)</f>
        <v>0</v>
      </c>
      <c r="N16" s="198">
        <f>IFERROR('Emission Factors'!N16/'Acute REER'!O$5,0)</f>
        <v>0</v>
      </c>
      <c r="O16" s="198">
        <f>IFERROR('Emission Factors'!O16/'Acute REER'!P$5,0)</f>
        <v>0</v>
      </c>
      <c r="P16" s="198">
        <f>IFERROR('Emission Factors'!P16/'Acute REER'!Q$5,0)</f>
        <v>3.9393749999999999E-5</v>
      </c>
      <c r="Q16" s="198">
        <f>IFERROR('Emission Factors'!Q16/'Acute REER'!R$5,0)</f>
        <v>0</v>
      </c>
      <c r="R16" s="198">
        <f>IFERROR('Emission Factors'!R16/'Acute REER'!S$5,0)</f>
        <v>7.3750218840872339E-7</v>
      </c>
      <c r="S16" s="198">
        <f>IFERROR('Emission Factors'!S16/'Acute REER'!T$5,0)</f>
        <v>0</v>
      </c>
      <c r="T16" s="552">
        <f t="shared" ref="T16:T21" si="1">SUM(C16:S16)</f>
        <v>1.1748746402188408E-2</v>
      </c>
      <c r="U16" s="553" t="s">
        <v>851</v>
      </c>
    </row>
    <row r="17" spans="2:21" x14ac:dyDescent="0.25">
      <c r="B17" s="203" t="s">
        <v>47</v>
      </c>
      <c r="C17" s="198">
        <f>IFERROR('Emission Factors'!C17/'Acute REER'!D$5,0)</f>
        <v>0</v>
      </c>
      <c r="D17" s="198">
        <f>IFERROR('Emission Factors'!D17/'Acute REER'!E$5,0)</f>
        <v>0</v>
      </c>
      <c r="E17" s="198">
        <f>IFERROR('Emission Factors'!E17/'Acute REER'!F$5,0)</f>
        <v>0</v>
      </c>
      <c r="F17" s="198">
        <f>IFERROR('Emission Factors'!F17/'Acute REER'!G$5,0)</f>
        <v>0</v>
      </c>
      <c r="G17" s="198">
        <f>IFERROR('Emission Factors'!G17/'Acute REER'!H$5,0)</f>
        <v>0</v>
      </c>
      <c r="H17" s="198">
        <f>IFERROR('Emission Factors'!H17/'Acute REER'!I$5,0)</f>
        <v>0</v>
      </c>
      <c r="I17" s="198">
        <f>IFERROR('Emission Factors'!I17/'Acute REER'!J$5,0)</f>
        <v>4.7000000000000004E-4</v>
      </c>
      <c r="J17" s="198">
        <f>IFERROR('Emission Factors'!J17/'Acute REER'!K$5,0)</f>
        <v>3.1515000000000001E-7</v>
      </c>
      <c r="K17" s="198">
        <f>IFERROR('Emission Factors'!K17/'Acute REER'!L$5,0)</f>
        <v>5.7300000000000005E-4</v>
      </c>
      <c r="L17" s="198">
        <f>IFERROR('Emission Factors'!L17/'Acute REER'!M$5,0)</f>
        <v>2.1487500000000001E-3</v>
      </c>
      <c r="M17" s="198">
        <f>IFERROR('Emission Factors'!M17/'Acute REER'!N$5,0)</f>
        <v>0</v>
      </c>
      <c r="N17" s="198">
        <f>IFERROR('Emission Factors'!N17/'Acute REER'!O$5,0)</f>
        <v>0</v>
      </c>
      <c r="O17" s="198">
        <f>IFERROR('Emission Factors'!O17/'Acute REER'!P$5,0)</f>
        <v>0</v>
      </c>
      <c r="P17" s="198">
        <f>IFERROR('Emission Factors'!P17/'Acute REER'!Q$5,0)</f>
        <v>0</v>
      </c>
      <c r="Q17" s="198">
        <f>IFERROR('Emission Factors'!Q17/'Acute REER'!R$5,0)</f>
        <v>0</v>
      </c>
      <c r="R17" s="198">
        <f>IFERROR('Emission Factors'!R17/'Acute REER'!S$5,0)</f>
        <v>1.3131249999999999E-7</v>
      </c>
      <c r="S17" s="198">
        <f>IFERROR('Emission Factors'!S17/'Acute REER'!T$5,0)</f>
        <v>0</v>
      </c>
      <c r="T17" s="551">
        <f t="shared" si="1"/>
        <v>3.1921964625000001E-3</v>
      </c>
      <c r="U17" s="202"/>
    </row>
    <row r="18" spans="2:21" x14ac:dyDescent="0.25">
      <c r="B18" s="203" t="s">
        <v>48</v>
      </c>
      <c r="C18" s="198">
        <f>IFERROR('Emission Factors'!C18/'Acute REER'!D$5,0)</f>
        <v>0</v>
      </c>
      <c r="D18" s="198">
        <f>IFERROR('Emission Factors'!D18/'Acute REER'!E$5,0)</f>
        <v>0</v>
      </c>
      <c r="E18" s="198">
        <f>IFERROR('Emission Factors'!E18/'Acute REER'!F$5,0)</f>
        <v>0</v>
      </c>
      <c r="F18" s="198">
        <f>IFERROR('Emission Factors'!F18/'Acute REER'!G$5,0)</f>
        <v>0</v>
      </c>
      <c r="G18" s="198">
        <f>IFERROR('Emission Factors'!G18/'Acute REER'!H$5,0)</f>
        <v>0</v>
      </c>
      <c r="H18" s="198">
        <f>IFERROR('Emission Factors'!H18/'Acute REER'!I$5,0)</f>
        <v>0</v>
      </c>
      <c r="I18" s="198">
        <f>IFERROR('Emission Factors'!I18/'Acute REER'!J$5,0)</f>
        <v>6.6666666666666675E-4</v>
      </c>
      <c r="J18" s="198">
        <f>IFERROR('Emission Factors'!J18/'Acute REER'!K$5,0)</f>
        <v>0</v>
      </c>
      <c r="K18" s="198">
        <f>IFERROR('Emission Factors'!K18/'Acute REER'!L$5,0)</f>
        <v>1.8133333333333335E-3</v>
      </c>
      <c r="L18" s="198">
        <f>IFERROR('Emission Factors'!L18/'Acute REER'!M$5,0)</f>
        <v>2.7500000000000002E-4</v>
      </c>
      <c r="M18" s="198">
        <f>IFERROR('Emission Factors'!M18/'Acute REER'!N$5,0)</f>
        <v>0</v>
      </c>
      <c r="N18" s="198">
        <f>IFERROR('Emission Factors'!N18/'Acute REER'!O$5,0)</f>
        <v>0</v>
      </c>
      <c r="O18" s="198">
        <f>IFERROR('Emission Factors'!O18/'Acute REER'!P$5,0)</f>
        <v>0</v>
      </c>
      <c r="P18" s="198">
        <f>IFERROR('Emission Factors'!P18/'Acute REER'!Q$5,0)</f>
        <v>0</v>
      </c>
      <c r="Q18" s="198">
        <f>IFERROR('Emission Factors'!Q18/'Acute REER'!R$5,0)</f>
        <v>0</v>
      </c>
      <c r="R18" s="198">
        <f>IFERROR('Emission Factors'!R18/'Acute REER'!S$5,0)</f>
        <v>5.96875E-7</v>
      </c>
      <c r="S18" s="198">
        <f>IFERROR('Emission Factors'!S18/'Acute REER'!T$5,0)</f>
        <v>0</v>
      </c>
      <c r="T18" s="551">
        <f t="shared" si="1"/>
        <v>2.7555968750000003E-3</v>
      </c>
      <c r="U18" s="202"/>
    </row>
    <row r="19" spans="2:21" x14ac:dyDescent="0.25">
      <c r="B19" s="203">
        <v>6010</v>
      </c>
      <c r="C19" s="198">
        <f>IFERROR('Emission Factors'!C19/'Acute REER'!D$5,0)</f>
        <v>0</v>
      </c>
      <c r="D19" s="198">
        <f>IFERROR('Emission Factors'!D19/'Acute REER'!E$5,0)</f>
        <v>0</v>
      </c>
      <c r="E19" s="198">
        <f>IFERROR('Emission Factors'!E19/'Acute REER'!F$5,0)</f>
        <v>0</v>
      </c>
      <c r="F19" s="198">
        <f>IFERROR('Emission Factors'!F19/'Acute REER'!G$5,0)</f>
        <v>0</v>
      </c>
      <c r="G19" s="198">
        <f>IFERROR('Emission Factors'!G19/'Acute REER'!H$5,0)</f>
        <v>0</v>
      </c>
      <c r="H19" s="198">
        <f>IFERROR('Emission Factors'!H19/'Acute REER'!I$5,0)</f>
        <v>0</v>
      </c>
      <c r="I19" s="198">
        <f>IFERROR('Emission Factors'!I19/'Acute REER'!J$5,0)</f>
        <v>3.3333333333333333E-6</v>
      </c>
      <c r="J19" s="198">
        <f>IFERROR('Emission Factors'!J19/'Acute REER'!K$5,0)</f>
        <v>0</v>
      </c>
      <c r="K19" s="198">
        <f>IFERROR('Emission Factors'!K19/'Acute REER'!L$5,0)</f>
        <v>3.303333333333333E-3</v>
      </c>
      <c r="L19" s="198">
        <f>IFERROR('Emission Factors'!L19/'Acute REER'!M$5,0)</f>
        <v>1.9999999999999998E-5</v>
      </c>
      <c r="M19" s="198">
        <f>IFERROR('Emission Factors'!M19/'Acute REER'!N$5,0)</f>
        <v>0</v>
      </c>
      <c r="N19" s="198">
        <f>IFERROR('Emission Factors'!N19/'Acute REER'!O$5,0)</f>
        <v>0</v>
      </c>
      <c r="O19" s="198">
        <f>IFERROR('Emission Factors'!O19/'Acute REER'!P$5,0)</f>
        <v>0</v>
      </c>
      <c r="P19" s="198">
        <f>IFERROR('Emission Factors'!P19/'Acute REER'!Q$5,0)</f>
        <v>0</v>
      </c>
      <c r="Q19" s="198">
        <f>IFERROR('Emission Factors'!Q19/'Acute REER'!R$5,0)</f>
        <v>0</v>
      </c>
      <c r="R19" s="198">
        <f>IFERROR('Emission Factors'!R19/'Acute REER'!S$5,0)</f>
        <v>0</v>
      </c>
      <c r="S19" s="198">
        <f>IFERROR('Emission Factors'!S19/'Acute REER'!T$5,0)</f>
        <v>0</v>
      </c>
      <c r="T19" s="551">
        <f t="shared" si="1"/>
        <v>3.3266666666666666E-3</v>
      </c>
      <c r="U19" s="202"/>
    </row>
    <row r="20" spans="2:21" x14ac:dyDescent="0.25">
      <c r="B20" s="203">
        <v>6011</v>
      </c>
      <c r="C20" s="198">
        <f>IFERROR('Emission Factors'!C20/'Acute REER'!D$5,0)</f>
        <v>0</v>
      </c>
      <c r="D20" s="198">
        <f>IFERROR('Emission Factors'!D20/'Acute REER'!E$5,0)</f>
        <v>0</v>
      </c>
      <c r="E20" s="198">
        <f>IFERROR('Emission Factors'!E20/'Acute REER'!F$5,0)</f>
        <v>0</v>
      </c>
      <c r="F20" s="198">
        <f>IFERROR('Emission Factors'!F20/'Acute REER'!G$5,0)</f>
        <v>0</v>
      </c>
      <c r="G20" s="198">
        <f>IFERROR('Emission Factors'!G20/'Acute REER'!H$5,0)</f>
        <v>0</v>
      </c>
      <c r="H20" s="198">
        <f>IFERROR('Emission Factors'!H20/'Acute REER'!I$5,0)</f>
        <v>0</v>
      </c>
      <c r="I20" s="198">
        <f>IFERROR('Emission Factors'!I20/'Acute REER'!J$5,0)</f>
        <v>9.1666666666666664E-6</v>
      </c>
      <c r="J20" s="198">
        <f>IFERROR('Emission Factors'!J20/'Acute REER'!K$5,0)</f>
        <v>0</v>
      </c>
      <c r="K20" s="198">
        <f>IFERROR('Emission Factors'!K20/'Acute REER'!L$5,0)</f>
        <v>3.3266666666666666E-3</v>
      </c>
      <c r="L20" s="198">
        <f>IFERROR('Emission Factors'!L20/'Acute REER'!M$5,0)</f>
        <v>2.5000000000000001E-5</v>
      </c>
      <c r="M20" s="198">
        <f>IFERROR('Emission Factors'!M20/'Acute REER'!N$5,0)</f>
        <v>0</v>
      </c>
      <c r="N20" s="198">
        <f>IFERROR('Emission Factors'!N20/'Acute REER'!O$5,0)</f>
        <v>0</v>
      </c>
      <c r="O20" s="198">
        <f>IFERROR('Emission Factors'!O20/'Acute REER'!P$5,0)</f>
        <v>0</v>
      </c>
      <c r="P20" s="198">
        <f>IFERROR('Emission Factors'!P20/'Acute REER'!Q$5,0)</f>
        <v>0</v>
      </c>
      <c r="Q20" s="198">
        <f>IFERROR('Emission Factors'!Q20/'Acute REER'!R$5,0)</f>
        <v>0</v>
      </c>
      <c r="R20" s="198">
        <f>IFERROR('Emission Factors'!R20/'Acute REER'!S$5,0)</f>
        <v>0</v>
      </c>
      <c r="S20" s="198">
        <f>IFERROR('Emission Factors'!S20/'Acute REER'!T$5,0)</f>
        <v>0</v>
      </c>
      <c r="T20" s="551">
        <f t="shared" si="1"/>
        <v>3.3608333333333333E-3</v>
      </c>
      <c r="U20" s="202"/>
    </row>
    <row r="21" spans="2:21" x14ac:dyDescent="0.25">
      <c r="B21" s="209" t="s">
        <v>49</v>
      </c>
      <c r="C21" s="198">
        <f>IFERROR('Emission Factors'!C21/'Acute REER'!D$5,0)</f>
        <v>0</v>
      </c>
      <c r="D21" s="198">
        <f>IFERROR('Emission Factors'!D21/'Acute REER'!E$5,0)</f>
        <v>0</v>
      </c>
      <c r="E21" s="198">
        <f>IFERROR('Emission Factors'!E21/'Acute REER'!F$5,0)</f>
        <v>0</v>
      </c>
      <c r="F21" s="198">
        <f>IFERROR('Emission Factors'!F21/'Acute REER'!G$5,0)</f>
        <v>0</v>
      </c>
      <c r="G21" s="198">
        <f>IFERROR('Emission Factors'!G21/'Acute REER'!H$5,0)</f>
        <v>0</v>
      </c>
      <c r="H21" s="198">
        <f>IFERROR('Emission Factors'!H21/'Acute REER'!I$5,0)</f>
        <v>0</v>
      </c>
      <c r="I21" s="198">
        <f>IFERROR('Emission Factors'!I21/'Acute REER'!J$5,0)</f>
        <v>2.8888750000000004E-3</v>
      </c>
      <c r="J21" s="198">
        <f>IFERROR('Emission Factors'!J21/'Acute REER'!K$5,0)</f>
        <v>0</v>
      </c>
      <c r="K21" s="198">
        <f>IFERROR('Emission Factors'!K21/'Acute REER'!L$5,0)</f>
        <v>1.0505000000000001E-4</v>
      </c>
      <c r="L21" s="198">
        <f>IFERROR('Emission Factors'!L21/'Acute REER'!M$5,0)</f>
        <v>2.8649999999999999E-3</v>
      </c>
      <c r="M21" s="198">
        <f>IFERROR('Emission Factors'!M21/'Acute REER'!N$5,0)</f>
        <v>0</v>
      </c>
      <c r="N21" s="198">
        <f>IFERROR('Emission Factors'!N21/'Acute REER'!O$5,0)</f>
        <v>0</v>
      </c>
      <c r="O21" s="198">
        <f>IFERROR('Emission Factors'!O21/'Acute REER'!P$5,0)</f>
        <v>0</v>
      </c>
      <c r="P21" s="198">
        <f>IFERROR('Emission Factors'!P21/'Acute REER'!Q$5,0)</f>
        <v>0</v>
      </c>
      <c r="Q21" s="198">
        <f>IFERROR('Emission Factors'!Q21/'Acute REER'!R$5,0)</f>
        <v>0</v>
      </c>
      <c r="R21" s="198">
        <f>IFERROR('Emission Factors'!R21/'Acute REER'!S$5,0)</f>
        <v>3.4849551856594112E-7</v>
      </c>
      <c r="S21" s="198">
        <f>IFERROR('Emission Factors'!S21/'Acute REER'!T$5,0)</f>
        <v>0</v>
      </c>
      <c r="T21" s="551">
        <f t="shared" si="1"/>
        <v>5.8592734955185671E-3</v>
      </c>
      <c r="U21" s="202"/>
    </row>
    <row r="22" spans="2:21" ht="13" thickBot="1" x14ac:dyDescent="0.3">
      <c r="B22" s="209">
        <v>7018</v>
      </c>
      <c r="C22" s="198">
        <f>IFERROR('Emission Factors'!C22/'Acute REER'!D$5,0)</f>
        <v>0</v>
      </c>
      <c r="D22" s="198">
        <f>IFERROR('Emission Factors'!D22/'Acute REER'!E$5,0)</f>
        <v>0</v>
      </c>
      <c r="E22" s="198">
        <f>IFERROR('Emission Factors'!E22/'Acute REER'!F$5,0)</f>
        <v>0</v>
      </c>
      <c r="F22" s="198">
        <f>IFERROR('Emission Factors'!F22/'Acute REER'!G$5,0)</f>
        <v>0</v>
      </c>
      <c r="G22" s="198">
        <f>IFERROR('Emission Factors'!G22/'Acute REER'!H$5,0)</f>
        <v>0</v>
      </c>
      <c r="H22" s="198">
        <f>IFERROR('Emission Factors'!H22/'Acute REER'!I$5,0)</f>
        <v>0</v>
      </c>
      <c r="I22" s="198">
        <f>IFERROR('Emission Factors'!I22/'Acute REER'!J$5,0)</f>
        <v>2.1433333333333334E-5</v>
      </c>
      <c r="J22" s="198">
        <f>IFERROR('Emission Factors'!J22/'Acute REER'!K$5,0)</f>
        <v>0</v>
      </c>
      <c r="K22" s="198">
        <f>IFERROR('Emission Factors'!K22/'Acute REER'!L$5,0)</f>
        <v>3.4333333333333338E-3</v>
      </c>
      <c r="L22" s="198">
        <f>IFERROR('Emission Factors'!L22/'Acute REER'!M$5,0)</f>
        <v>9.9999999999999991E-6</v>
      </c>
      <c r="M22" s="198">
        <f>IFERROR('Emission Factors'!M22/'Acute REER'!N$5,0)</f>
        <v>0</v>
      </c>
      <c r="N22" s="198">
        <f>IFERROR('Emission Factors'!N22/'Acute REER'!O$5,0)</f>
        <v>0</v>
      </c>
      <c r="O22" s="198">
        <f>IFERROR('Emission Factors'!O22/'Acute REER'!P$5,0)</f>
        <v>0</v>
      </c>
      <c r="P22" s="198">
        <f>IFERROR('Emission Factors'!P22/'Acute REER'!Q$5,0)</f>
        <v>0</v>
      </c>
      <c r="Q22" s="198">
        <f>IFERROR('Emission Factors'!Q22/'Acute REER'!R$5,0)</f>
        <v>0</v>
      </c>
      <c r="R22" s="198">
        <f>IFERROR('Emission Factors'!R22/'Acute REER'!S$5,0)</f>
        <v>6.5894999999999995E-7</v>
      </c>
      <c r="S22" s="198">
        <f>IFERROR('Emission Factors'!S22/'Acute REER'!T$5,0)</f>
        <v>0</v>
      </c>
      <c r="T22" s="551">
        <f>SUM(C22:S22)</f>
        <v>3.4654256166666672E-3</v>
      </c>
      <c r="U22" s="202"/>
    </row>
    <row r="23" spans="2:21" ht="13" thickBot="1" x14ac:dyDescent="0.3">
      <c r="B23" s="630" t="s">
        <v>50</v>
      </c>
      <c r="C23" s="631"/>
      <c r="D23" s="631"/>
      <c r="E23" s="631"/>
      <c r="F23" s="631"/>
      <c r="G23" s="631"/>
      <c r="H23" s="631"/>
      <c r="I23" s="631"/>
      <c r="J23" s="631"/>
      <c r="K23" s="631"/>
      <c r="L23" s="631"/>
      <c r="M23" s="631"/>
      <c r="N23" s="631"/>
      <c r="O23" s="631"/>
      <c r="P23" s="631"/>
      <c r="Q23" s="631"/>
      <c r="R23" s="632"/>
      <c r="T23" s="551"/>
      <c r="U23" s="202"/>
    </row>
    <row r="24" spans="2:21" ht="13" thickBot="1" x14ac:dyDescent="0.3">
      <c r="B24" s="366" t="s">
        <v>51</v>
      </c>
      <c r="C24" s="198">
        <f>IFERROR('Emission Factors'!C24/'Acute REER'!D$5,0)</f>
        <v>0</v>
      </c>
      <c r="D24" s="198">
        <f>IFERROR('Emission Factors'!D24/'Acute REER'!E$5,0)</f>
        <v>0</v>
      </c>
      <c r="E24" s="198">
        <f>IFERROR('Emission Factors'!E24/'Acute REER'!F$5,0)</f>
        <v>0</v>
      </c>
      <c r="F24" s="198">
        <f>IFERROR('Emission Factors'!F24/'Acute REER'!G$5,0)</f>
        <v>0</v>
      </c>
      <c r="G24" s="198">
        <f>IFERROR('Emission Factors'!G24/'Acute REER'!H$5,0)</f>
        <v>0</v>
      </c>
      <c r="H24" s="198">
        <f>IFERROR('Emission Factors'!H24/'Acute REER'!I$5,0)</f>
        <v>0</v>
      </c>
      <c r="I24" s="198">
        <f>IFERROR('Emission Factors'!I24/'Acute REER'!J$5,0)</f>
        <v>0</v>
      </c>
      <c r="J24" s="198">
        <f>IFERROR('Emission Factors'!J24/'Acute REER'!K$5,0)</f>
        <v>1.0000000000000002E-4</v>
      </c>
      <c r="K24" s="198">
        <f>IFERROR('Emission Factors'!K24/'Acute REER'!L$5,0)</f>
        <v>0</v>
      </c>
      <c r="L24" s="198">
        <f>IFERROR('Emission Factors'!L24/'Acute REER'!M$5,0)</f>
        <v>0</v>
      </c>
      <c r="M24" s="198">
        <f>IFERROR('Emission Factors'!M24/'Acute REER'!N$5,0)</f>
        <v>0</v>
      </c>
      <c r="N24" s="198">
        <f>IFERROR('Emission Factors'!N24/'Acute REER'!O$5,0)</f>
        <v>0</v>
      </c>
      <c r="O24" s="198">
        <f>IFERROR('Emission Factors'!O24/'Acute REER'!P$5,0)</f>
        <v>0</v>
      </c>
      <c r="P24" s="198">
        <f>IFERROR('Emission Factors'!P24/'Acute REER'!Q$5,0)</f>
        <v>0</v>
      </c>
      <c r="Q24" s="198">
        <f>IFERROR('Emission Factors'!Q24/'Acute REER'!R$5,0)</f>
        <v>0</v>
      </c>
      <c r="R24" s="198">
        <f>IFERROR('Emission Factors'!R24/'Acute REER'!S$5,0)</f>
        <v>0</v>
      </c>
      <c r="S24" s="198">
        <f>IFERROR('Emission Factors'!S24/'Acute REER'!T$5,0)</f>
        <v>0</v>
      </c>
      <c r="T24" s="551">
        <f>SUM(C24:S24)</f>
        <v>1.0000000000000002E-4</v>
      </c>
      <c r="U24" s="554"/>
    </row>
    <row r="25" spans="2:21" x14ac:dyDescent="0.25">
      <c r="B25" s="100"/>
      <c r="C25" s="495"/>
      <c r="D25" s="495"/>
      <c r="E25" s="495"/>
      <c r="F25" s="495"/>
      <c r="G25" s="495"/>
      <c r="H25" s="495"/>
      <c r="I25" s="495"/>
      <c r="J25" s="495"/>
      <c r="K25" s="495"/>
      <c r="L25" s="495"/>
      <c r="M25" s="495"/>
      <c r="N25" s="495"/>
      <c r="O25" s="495"/>
      <c r="P25" s="495"/>
      <c r="Q25" s="495"/>
      <c r="R25" s="496"/>
      <c r="T25" s="190"/>
    </row>
    <row r="26" spans="2:21" x14ac:dyDescent="0.25">
      <c r="T26" s="551">
        <f>MAX(T7:T24)</f>
        <v>3.0553230933333335E-2</v>
      </c>
      <c r="U26" s="101" t="s">
        <v>853</v>
      </c>
    </row>
    <row r="27" spans="2:21" x14ac:dyDescent="0.25">
      <c r="T27" s="551">
        <f>MAX(T7:T11,T13:T24)</f>
        <v>1.1748746402188408E-2</v>
      </c>
      <c r="U27" s="101" t="s">
        <v>854</v>
      </c>
    </row>
  </sheetData>
  <mergeCells count="4">
    <mergeCell ref="C4:R4"/>
    <mergeCell ref="B6:R6"/>
    <mergeCell ref="B14:R14"/>
    <mergeCell ref="B23:R23"/>
  </mergeCell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82319-9961-403E-9925-4D951CCBEF4B}">
  <sheetPr>
    <tabColor rgb="FF00B0F0"/>
  </sheetPr>
  <dimension ref="A1:W41"/>
  <sheetViews>
    <sheetView zoomScale="60" zoomScaleNormal="60" workbookViewId="0">
      <selection activeCell="A2" sqref="A2"/>
    </sheetView>
  </sheetViews>
  <sheetFormatPr defaultColWidth="9.1796875" defaultRowHeight="12.5" x14ac:dyDescent="0.25"/>
  <cols>
    <col min="1" max="1" width="9.1796875" style="290"/>
    <col min="2" max="2" width="18.1796875" style="290" hidden="1" customWidth="1"/>
    <col min="3" max="3" width="24.54296875" style="290" customWidth="1"/>
    <col min="4" max="5" width="11.1796875" style="290" bestFit="1" customWidth="1"/>
    <col min="6" max="6" width="10.453125" style="290" customWidth="1"/>
    <col min="7" max="7" width="11.36328125" style="290" customWidth="1"/>
    <col min="8" max="8" width="11.1796875" style="290" bestFit="1" customWidth="1"/>
    <col min="9" max="9" width="9.54296875" style="290" bestFit="1" customWidth="1"/>
    <col min="10" max="10" width="11.1796875" style="290" bestFit="1" customWidth="1"/>
    <col min="11" max="13" width="9.54296875" style="290" bestFit="1" customWidth="1"/>
    <col min="14" max="14" width="11.1796875" style="290" bestFit="1" customWidth="1"/>
    <col min="15" max="15" width="9.1796875" style="290" bestFit="1" customWidth="1"/>
    <col min="16" max="16" width="12.1796875" style="290" customWidth="1"/>
    <col min="17" max="18" width="11.1796875" style="290" bestFit="1" customWidth="1"/>
    <col min="19" max="19" width="11.81640625" style="294" customWidth="1"/>
    <col min="20" max="20" width="10.6328125" style="290" customWidth="1"/>
    <col min="21" max="21" width="11.6328125" style="543" customWidth="1"/>
    <col min="22" max="22" width="11.1796875" style="290" customWidth="1"/>
    <col min="23" max="23" width="9.1796875" style="541"/>
    <col min="24" max="16384" width="9.1796875" style="290"/>
  </cols>
  <sheetData>
    <row r="1" spans="1:23" x14ac:dyDescent="0.25">
      <c r="A1" s="290" t="s">
        <v>891</v>
      </c>
      <c r="B1" s="101"/>
      <c r="C1" s="101"/>
      <c r="D1" s="101"/>
      <c r="E1" s="101"/>
      <c r="F1" s="101"/>
      <c r="G1" s="101"/>
      <c r="H1" s="101"/>
      <c r="I1" s="101"/>
      <c r="J1" s="101"/>
      <c r="K1" s="101"/>
      <c r="L1" s="101"/>
      <c r="M1" s="101"/>
      <c r="N1" s="101"/>
      <c r="O1" s="101"/>
      <c r="P1" s="101"/>
      <c r="Q1" s="101"/>
      <c r="R1" s="101"/>
      <c r="S1" s="101"/>
      <c r="T1" s="101"/>
    </row>
    <row r="2" spans="1:23" x14ac:dyDescent="0.25">
      <c r="A2" s="290" t="s">
        <v>892</v>
      </c>
      <c r="B2" s="101"/>
      <c r="C2" s="101"/>
      <c r="D2" s="101"/>
      <c r="E2" s="101"/>
      <c r="F2" s="101"/>
      <c r="G2" s="101"/>
      <c r="H2" s="101"/>
      <c r="I2" s="101"/>
      <c r="J2" s="101"/>
      <c r="K2" s="101"/>
      <c r="L2" s="101"/>
      <c r="M2" s="101"/>
      <c r="N2" s="101"/>
      <c r="O2" s="101"/>
      <c r="P2" s="101"/>
      <c r="Q2" s="101"/>
      <c r="R2" s="101"/>
      <c r="S2" s="101"/>
      <c r="T2" s="101"/>
    </row>
    <row r="3" spans="1:23" x14ac:dyDescent="0.25">
      <c r="B3" s="101"/>
      <c r="C3" s="100" t="s">
        <v>880</v>
      </c>
      <c r="D3" s="101"/>
      <c r="E3" s="101"/>
      <c r="F3" s="101"/>
      <c r="G3" s="101"/>
      <c r="H3" s="101"/>
      <c r="I3" s="101"/>
      <c r="J3" s="101"/>
      <c r="K3" s="101"/>
      <c r="L3" s="101"/>
      <c r="M3" s="101"/>
      <c r="N3" s="101"/>
      <c r="O3" s="101"/>
      <c r="P3" s="101"/>
      <c r="Q3" s="101"/>
      <c r="R3" s="101"/>
      <c r="S3" s="101"/>
      <c r="T3" s="101"/>
    </row>
    <row r="4" spans="1:23" x14ac:dyDescent="0.25">
      <c r="B4" s="101"/>
      <c r="C4" s="100" t="s">
        <v>879</v>
      </c>
      <c r="D4" s="101"/>
      <c r="E4" s="101"/>
      <c r="F4" s="101"/>
      <c r="G4" s="101"/>
      <c r="H4" s="101"/>
      <c r="I4" s="101"/>
      <c r="J4" s="101"/>
      <c r="K4" s="101"/>
      <c r="L4" s="101"/>
      <c r="M4" s="101"/>
      <c r="N4" s="101"/>
      <c r="O4" s="101"/>
      <c r="P4" s="101"/>
      <c r="Q4" s="101"/>
      <c r="R4" s="101"/>
      <c r="S4" s="101"/>
      <c r="T4" s="101"/>
    </row>
    <row r="5" spans="1:23" ht="7" customHeight="1" thickBot="1" x14ac:dyDescent="0.3">
      <c r="B5" s="101"/>
      <c r="C5" s="101"/>
      <c r="D5" s="101"/>
      <c r="E5" s="101"/>
      <c r="F5" s="101"/>
      <c r="G5" s="101"/>
      <c r="H5" s="101"/>
      <c r="I5" s="101"/>
      <c r="J5" s="101"/>
      <c r="K5" s="101"/>
      <c r="L5" s="101"/>
      <c r="M5" s="101"/>
      <c r="N5" s="101"/>
      <c r="O5" s="101"/>
      <c r="P5" s="101"/>
      <c r="Q5" s="101"/>
      <c r="R5" s="101"/>
      <c r="S5" s="101"/>
      <c r="T5" s="101"/>
    </row>
    <row r="6" spans="1:23" ht="63" thickBot="1" x14ac:dyDescent="0.3">
      <c r="B6" s="101"/>
      <c r="C6" s="101"/>
      <c r="D6" s="242" t="s">
        <v>2</v>
      </c>
      <c r="E6" s="243" t="s">
        <v>3</v>
      </c>
      <c r="F6" s="243" t="s">
        <v>4</v>
      </c>
      <c r="G6" s="243" t="s">
        <v>5</v>
      </c>
      <c r="H6" s="243" t="s">
        <v>6</v>
      </c>
      <c r="I6" s="243" t="s">
        <v>7</v>
      </c>
      <c r="J6" s="243" t="s">
        <v>8</v>
      </c>
      <c r="K6" s="243" t="s">
        <v>9</v>
      </c>
      <c r="L6" s="243" t="s">
        <v>10</v>
      </c>
      <c r="M6" s="243" t="s">
        <v>11</v>
      </c>
      <c r="N6" s="243" t="s">
        <v>12</v>
      </c>
      <c r="O6" s="243" t="s">
        <v>13</v>
      </c>
      <c r="P6" s="244" t="s">
        <v>14</v>
      </c>
      <c r="Q6" s="243" t="s">
        <v>15</v>
      </c>
      <c r="R6" s="273" t="s">
        <v>16</v>
      </c>
      <c r="S6" s="306" t="s">
        <v>17</v>
      </c>
      <c r="T6" s="576" t="s">
        <v>417</v>
      </c>
      <c r="U6" s="581" t="s">
        <v>216</v>
      </c>
      <c r="V6" s="577" t="s">
        <v>887</v>
      </c>
      <c r="W6" s="580" t="s">
        <v>849</v>
      </c>
    </row>
    <row r="7" spans="1:23" x14ac:dyDescent="0.25">
      <c r="B7" s="190" t="s">
        <v>46</v>
      </c>
      <c r="C7" s="290" t="s">
        <v>881</v>
      </c>
      <c r="D7" s="211">
        <f>IFERROR('Emission Factors'!$C$16*$D$10,"--")</f>
        <v>3.5053031475000006E-5</v>
      </c>
      <c r="E7" s="211" t="str">
        <f>IFERROR('Emission Factors'!D16*1.11,"--")</f>
        <v>--</v>
      </c>
      <c r="F7" s="211" t="str">
        <f>IFERROR('Emission Factors'!E16*1.11,"--")</f>
        <v>--</v>
      </c>
      <c r="G7" s="211" t="str">
        <f>IFERROR('Emission Factors'!F16*1.11,"--")</f>
        <v>--</v>
      </c>
      <c r="H7" s="211">
        <f>IFERROR('Emission Factors'!G16*$D$10,"--")</f>
        <v>3.5053031475000006E-5</v>
      </c>
      <c r="I7" s="211">
        <f>IFERROR('Emission Factors'!H16*$D$10,"--")</f>
        <v>9.559917675000004E-4</v>
      </c>
      <c r="J7" s="211">
        <f>IFERROR('Emission Factors'!I16*$D$10,"--")</f>
        <v>5.2579547212500024E-4</v>
      </c>
      <c r="K7" s="211">
        <f>IFERROR('Emission Factors'!J16*$D$10,"--")</f>
        <v>3.5053031475000006E-5</v>
      </c>
      <c r="L7" s="211">
        <f>IFERROR('Emission Factors'!K16*$D$10,"--")</f>
        <v>3.5053031475000006E-5</v>
      </c>
      <c r="M7" s="211">
        <f>IFERROR('Emission Factors'!L16*$D$10,"--")</f>
        <v>2.2306474575000007E-3</v>
      </c>
      <c r="N7" s="211" t="str">
        <f>IFERROR('Emission Factors'!M16*1.11,"--")</f>
        <v>--</v>
      </c>
      <c r="O7" s="211" t="str">
        <f>IFERROR('Emission Factors'!N16*1.11,"--")</f>
        <v>--</v>
      </c>
      <c r="P7" s="211">
        <f>IFERROR('Emission Factors'!O16*$D$10,"--")</f>
        <v>3.5053031475000006E-5</v>
      </c>
      <c r="Q7" s="211">
        <f>IFERROR('Emission Factors'!P16*$D$10,"--")</f>
        <v>3.5053031475000006E-5</v>
      </c>
      <c r="R7" s="211">
        <f>IFERROR('Emission Factors'!Q16*$D$10,"--")</f>
        <v>3.5053031475000006E-5</v>
      </c>
      <c r="S7" s="211">
        <f>IFERROR('Emission Factors'!R16*$D$10,"--")</f>
        <v>1.9687148918170295E-4</v>
      </c>
      <c r="T7" s="211">
        <f>IFERROR('Emission Factors'!S16*$D$10,"--")</f>
        <v>7.1706855140151154E-4</v>
      </c>
    </row>
    <row r="8" spans="1:23" ht="14.5" x14ac:dyDescent="0.3">
      <c r="B8" s="190"/>
      <c r="C8" s="101" t="s">
        <v>885</v>
      </c>
      <c r="D8" s="97" t="str">
        <f>'Acute REER'!D$5</f>
        <v>--</v>
      </c>
      <c r="E8" s="97" t="str">
        <f>'Acute REER'!E$5</f>
        <v/>
      </c>
      <c r="F8" s="97">
        <f>'Acute REER'!F$5</f>
        <v>0.02</v>
      </c>
      <c r="G8" s="97">
        <f>'Acute REER'!G$5</f>
        <v>0.03</v>
      </c>
      <c r="H8" s="97" t="str">
        <f>'Acute REER'!H$5</f>
        <v>--</v>
      </c>
      <c r="I8" s="97" t="str">
        <f>'Acute REER'!I$5</f>
        <v/>
      </c>
      <c r="J8" s="97">
        <f>'Acute REER'!J$5</f>
        <v>0.3</v>
      </c>
      <c r="K8" s="97">
        <f>'Acute REER'!K$5</f>
        <v>100</v>
      </c>
      <c r="L8" s="97">
        <f>'Acute REER'!L$5</f>
        <v>0.3</v>
      </c>
      <c r="M8" s="97">
        <f>'Acute REER'!M$5</f>
        <v>0.2</v>
      </c>
      <c r="N8" s="97" t="str">
        <f>'Acute REER'!N$5</f>
        <v/>
      </c>
      <c r="O8" s="97">
        <f>'Acute REER'!O$5</f>
        <v>0.15</v>
      </c>
      <c r="P8" s="97" t="str">
        <f>'Acute REER'!P$5</f>
        <v>--</v>
      </c>
      <c r="Q8" s="97">
        <f>'Acute REER'!Q$5</f>
        <v>0.8</v>
      </c>
      <c r="R8" s="97" t="str">
        <f>'Acute REER'!R$5</f>
        <v/>
      </c>
      <c r="S8" s="97">
        <f>'Acute REER'!S$5</f>
        <v>240</v>
      </c>
      <c r="T8" s="97" t="str">
        <f>'Acute REER'!T$5</f>
        <v/>
      </c>
    </row>
    <row r="9" spans="1:23" ht="14" x14ac:dyDescent="0.25">
      <c r="C9" s="290" t="s">
        <v>886</v>
      </c>
      <c r="D9" s="579">
        <f>IFERROR(D7/D8,0)</f>
        <v>0</v>
      </c>
      <c r="E9" s="579">
        <f t="shared" ref="E9:T9" si="0">IFERROR(E7/E8,0)</f>
        <v>0</v>
      </c>
      <c r="F9" s="579">
        <f t="shared" si="0"/>
        <v>0</v>
      </c>
      <c r="G9" s="579">
        <f t="shared" si="0"/>
        <v>0</v>
      </c>
      <c r="H9" s="579">
        <f t="shared" si="0"/>
        <v>0</v>
      </c>
      <c r="I9" s="579">
        <f t="shared" si="0"/>
        <v>0</v>
      </c>
      <c r="J9" s="579">
        <f t="shared" si="0"/>
        <v>1.7526515737500009E-3</v>
      </c>
      <c r="K9" s="579">
        <f t="shared" si="0"/>
        <v>3.5053031475000006E-7</v>
      </c>
      <c r="L9" s="579">
        <f t="shared" si="0"/>
        <v>1.1684343825000003E-4</v>
      </c>
      <c r="M9" s="579">
        <f t="shared" si="0"/>
        <v>1.1153237287500003E-2</v>
      </c>
      <c r="N9" s="579">
        <f t="shared" si="0"/>
        <v>0</v>
      </c>
      <c r="O9" s="579">
        <f t="shared" si="0"/>
        <v>0</v>
      </c>
      <c r="P9" s="579">
        <f t="shared" si="0"/>
        <v>0</v>
      </c>
      <c r="Q9" s="579">
        <f t="shared" si="0"/>
        <v>4.3816289343750005E-5</v>
      </c>
      <c r="R9" s="579">
        <f t="shared" si="0"/>
        <v>0</v>
      </c>
      <c r="S9" s="579">
        <f t="shared" si="0"/>
        <v>8.2029787159042899E-7</v>
      </c>
      <c r="T9" s="579">
        <f t="shared" si="0"/>
        <v>0</v>
      </c>
      <c r="U9" s="582">
        <f>SUM(D9:T9)</f>
        <v>1.3067719417030095E-2</v>
      </c>
      <c r="V9" s="578">
        <f>'Disp Factors'!P6</f>
        <v>1.9</v>
      </c>
      <c r="W9" s="584">
        <f>U9*V9</f>
        <v>2.482866689235718E-2</v>
      </c>
    </row>
    <row r="10" spans="1:23" x14ac:dyDescent="0.25">
      <c r="C10" s="290" t="s">
        <v>852</v>
      </c>
      <c r="D10" s="601">
        <f>Usage!K63</f>
        <v>1.1122650000000003</v>
      </c>
      <c r="E10" s="455"/>
      <c r="F10" s="455"/>
      <c r="G10" s="455"/>
      <c r="H10" s="455"/>
      <c r="I10" s="455"/>
      <c r="J10" s="455"/>
      <c r="K10" s="455"/>
      <c r="L10" s="455"/>
      <c r="M10" s="455"/>
      <c r="N10" s="455"/>
      <c r="O10" s="455"/>
      <c r="P10" s="455"/>
      <c r="Q10" s="455"/>
      <c r="R10" s="455"/>
      <c r="S10" s="487"/>
      <c r="T10" s="455"/>
    </row>
    <row r="13" spans="1:23" x14ac:dyDescent="0.25">
      <c r="B13" s="101"/>
      <c r="C13" s="100" t="s">
        <v>882</v>
      </c>
      <c r="D13" s="101"/>
      <c r="E13" s="101"/>
      <c r="F13" s="101"/>
      <c r="G13" s="101"/>
      <c r="H13" s="101"/>
      <c r="I13" s="101"/>
      <c r="J13" s="101"/>
      <c r="K13" s="101"/>
      <c r="L13" s="101"/>
      <c r="M13" s="101"/>
      <c r="N13" s="101"/>
      <c r="O13" s="101"/>
      <c r="P13" s="101"/>
      <c r="Q13" s="101"/>
      <c r="R13" s="101"/>
      <c r="S13" s="101"/>
      <c r="T13" s="101"/>
      <c r="U13" s="583"/>
      <c r="V13" s="101"/>
    </row>
    <row r="14" spans="1:23" x14ac:dyDescent="0.25">
      <c r="B14" s="101"/>
      <c r="C14" s="100" t="s">
        <v>879</v>
      </c>
      <c r="D14" s="101"/>
      <c r="E14" s="101"/>
      <c r="F14" s="101"/>
      <c r="G14" s="101"/>
      <c r="H14" s="101"/>
      <c r="I14" s="101"/>
      <c r="J14" s="101"/>
      <c r="K14" s="101"/>
      <c r="L14" s="101"/>
      <c r="M14" s="101"/>
      <c r="N14" s="101"/>
      <c r="O14" s="101"/>
      <c r="P14" s="101"/>
      <c r="Q14" s="101"/>
      <c r="R14" s="101"/>
      <c r="S14" s="101"/>
      <c r="T14" s="101"/>
    </row>
    <row r="15" spans="1:23" ht="7" customHeight="1" thickBot="1" x14ac:dyDescent="0.3">
      <c r="B15" s="101"/>
      <c r="C15" s="101"/>
      <c r="D15" s="101"/>
      <c r="E15" s="101"/>
      <c r="F15" s="101"/>
      <c r="G15" s="101"/>
      <c r="H15" s="101"/>
      <c r="I15" s="101"/>
      <c r="J15" s="101"/>
      <c r="K15" s="101"/>
      <c r="L15" s="101"/>
      <c r="M15" s="101"/>
      <c r="N15" s="101"/>
      <c r="O15" s="101"/>
      <c r="P15" s="101"/>
      <c r="Q15" s="101"/>
      <c r="R15" s="101"/>
      <c r="S15" s="101"/>
      <c r="T15" s="101"/>
      <c r="U15" s="583"/>
      <c r="V15" s="101"/>
    </row>
    <row r="16" spans="1:23" ht="63" thickBot="1" x14ac:dyDescent="0.3">
      <c r="B16" s="101"/>
      <c r="C16" s="101"/>
      <c r="D16" s="242" t="s">
        <v>2</v>
      </c>
      <c r="E16" s="243" t="s">
        <v>3</v>
      </c>
      <c r="F16" s="243" t="s">
        <v>4</v>
      </c>
      <c r="G16" s="243" t="s">
        <v>5</v>
      </c>
      <c r="H16" s="243" t="s">
        <v>6</v>
      </c>
      <c r="I16" s="243" t="s">
        <v>7</v>
      </c>
      <c r="J16" s="243" t="s">
        <v>8</v>
      </c>
      <c r="K16" s="243" t="s">
        <v>9</v>
      </c>
      <c r="L16" s="243" t="s">
        <v>10</v>
      </c>
      <c r="M16" s="243" t="s">
        <v>11</v>
      </c>
      <c r="N16" s="243" t="s">
        <v>12</v>
      </c>
      <c r="O16" s="243" t="s">
        <v>13</v>
      </c>
      <c r="P16" s="244" t="s">
        <v>14</v>
      </c>
      <c r="Q16" s="243" t="s">
        <v>15</v>
      </c>
      <c r="R16" s="273" t="s">
        <v>16</v>
      </c>
      <c r="S16" s="306" t="s">
        <v>17</v>
      </c>
      <c r="T16" s="397" t="s">
        <v>417</v>
      </c>
      <c r="U16" s="581" t="s">
        <v>216</v>
      </c>
      <c r="V16" s="577" t="s">
        <v>887</v>
      </c>
      <c r="W16" s="580" t="s">
        <v>849</v>
      </c>
    </row>
    <row r="17" spans="2:23" x14ac:dyDescent="0.25">
      <c r="B17" s="190" t="s">
        <v>46</v>
      </c>
      <c r="C17" s="290" t="s">
        <v>881</v>
      </c>
      <c r="D17" s="211">
        <v>0</v>
      </c>
      <c r="E17" s="211" t="str">
        <f>IFERROR('Emission Factors'!D16*$D$20*(1-'Emission Factors'!$E$28),"--")</f>
        <v>--</v>
      </c>
      <c r="F17" s="211" t="str">
        <f>IFERROR('Emission Factors'!E16*$D$20*(1-'Emission Factors'!$E$28),"--")</f>
        <v>--</v>
      </c>
      <c r="G17" s="211" t="str">
        <f>IFERROR('Emission Factors'!F16*$D$20*(1-'Emission Factors'!$E$28),"--")</f>
        <v>--</v>
      </c>
      <c r="H17" s="211">
        <f>IFERROR('Emission Factors'!G16*$D$20*(1-'Emission Factors'!$E$28),"--")</f>
        <v>2.5401090000000026E-6</v>
      </c>
      <c r="I17" s="211">
        <f>IFERROR('Emission Factors'!H16*$D$20*(1-'Emission Factors'!$E$28),"--")</f>
        <v>6.9275700000000079E-5</v>
      </c>
      <c r="J17" s="211">
        <f>IFERROR('Emission Factors'!I16*$D$20*(1-'Emission Factors'!$E$28),"--")</f>
        <v>3.8101635000000044E-5</v>
      </c>
      <c r="K17" s="211">
        <f>IFERROR('Emission Factors'!J16*$D$20*(1-'Emission Factors'!$E$28),"--")</f>
        <v>2.5401090000000026E-6</v>
      </c>
      <c r="L17" s="211">
        <f>IFERROR('Emission Factors'!K16*$D$20*(1-'Emission Factors'!$E$28),"--")</f>
        <v>2.5401090000000026E-6</v>
      </c>
      <c r="M17" s="211">
        <f>IFERROR('Emission Factors'!L16*$D$20*(1-'Emission Factors'!$E$28),"--")</f>
        <v>1.6164330000000015E-4</v>
      </c>
      <c r="N17" s="211" t="str">
        <f>IFERROR('Emission Factors'!M16*$D$20*(1-'Emission Factors'!$E$28),"--")</f>
        <v>--</v>
      </c>
      <c r="O17" s="211" t="str">
        <f>IFERROR('Emission Factors'!N16*$D$20*(1-'Emission Factors'!$E$28),"--")</f>
        <v>--</v>
      </c>
      <c r="P17" s="211">
        <f>IFERROR('Emission Factors'!O16*$D$20*(1-'Emission Factors'!$E$28),"--")</f>
        <v>2.5401090000000026E-6</v>
      </c>
      <c r="Q17" s="211">
        <f>IFERROR('Emission Factors'!P16*$D$20*(1-'Emission Factors'!$E$28),"--")</f>
        <v>2.5401090000000026E-6</v>
      </c>
      <c r="R17" s="211">
        <f>IFERROR('Emission Factors'!Q16*$D$20*(1-'Emission Factors'!$E$28),"--")</f>
        <v>2.5401090000000026E-6</v>
      </c>
      <c r="S17" s="211">
        <f>IFERROR('Emission Factors'!R16*$D$20*(1-'Emission Factors'!$E$28),"--")</f>
        <v>1.426624233257836E-5</v>
      </c>
      <c r="T17" s="211">
        <f>IFERROR('Emission Factors'!S16*$D$20*(1-'Emission Factors'!$E$28),"--")</f>
        <v>5.1962189984366911E-5</v>
      </c>
    </row>
    <row r="18" spans="2:23" ht="14.5" x14ac:dyDescent="0.3">
      <c r="B18" s="190"/>
      <c r="C18" s="101" t="s">
        <v>885</v>
      </c>
      <c r="D18" s="97" t="str">
        <f>'Acute REER'!D$5</f>
        <v>--</v>
      </c>
      <c r="E18" s="97" t="str">
        <f>'Acute REER'!E$5</f>
        <v/>
      </c>
      <c r="F18" s="97">
        <f>'Acute REER'!F$5</f>
        <v>0.02</v>
      </c>
      <c r="G18" s="97">
        <f>'Acute REER'!G$5</f>
        <v>0.03</v>
      </c>
      <c r="H18" s="97" t="str">
        <f>'Acute REER'!H$5</f>
        <v>--</v>
      </c>
      <c r="I18" s="97" t="str">
        <f>'Acute REER'!I$5</f>
        <v/>
      </c>
      <c r="J18" s="97">
        <f>'Acute REER'!J$5</f>
        <v>0.3</v>
      </c>
      <c r="K18" s="97">
        <f>'Acute REER'!K$5</f>
        <v>100</v>
      </c>
      <c r="L18" s="97">
        <f>'Acute REER'!L$5</f>
        <v>0.3</v>
      </c>
      <c r="M18" s="97">
        <f>'Acute REER'!M$5</f>
        <v>0.2</v>
      </c>
      <c r="N18" s="97" t="str">
        <f>'Acute REER'!N$5</f>
        <v/>
      </c>
      <c r="O18" s="97">
        <f>'Acute REER'!O$5</f>
        <v>0.15</v>
      </c>
      <c r="P18" s="97" t="str">
        <f>'Acute REER'!P$5</f>
        <v>--</v>
      </c>
      <c r="Q18" s="97">
        <f>'Acute REER'!Q$5</f>
        <v>0.8</v>
      </c>
      <c r="R18" s="97" t="str">
        <f>'Acute REER'!R$5</f>
        <v/>
      </c>
      <c r="S18" s="97">
        <f>'Acute REER'!S$5</f>
        <v>240</v>
      </c>
      <c r="T18" s="97" t="str">
        <f>'Acute REER'!T$5</f>
        <v/>
      </c>
    </row>
    <row r="19" spans="2:23" ht="14" x14ac:dyDescent="0.25">
      <c r="C19" s="290" t="s">
        <v>886</v>
      </c>
      <c r="D19" s="579">
        <f>IFERROR(D17/D18,0)</f>
        <v>0</v>
      </c>
      <c r="E19" s="579">
        <f t="shared" ref="E19" si="1">IFERROR(E17/E18,0)</f>
        <v>0</v>
      </c>
      <c r="F19" s="579">
        <f t="shared" ref="F19" si="2">IFERROR(F17/F18,0)</f>
        <v>0</v>
      </c>
      <c r="G19" s="579">
        <f t="shared" ref="G19" si="3">IFERROR(G17/G18,0)</f>
        <v>0</v>
      </c>
      <c r="H19" s="579">
        <f t="shared" ref="H19" si="4">IFERROR(H17/H18,0)</f>
        <v>0</v>
      </c>
      <c r="I19" s="579">
        <f t="shared" ref="I19" si="5">IFERROR(I17/I18,0)</f>
        <v>0</v>
      </c>
      <c r="J19" s="579">
        <f t="shared" ref="J19" si="6">IFERROR(J17/J18,0)</f>
        <v>1.2700545000000015E-4</v>
      </c>
      <c r="K19" s="579">
        <f t="shared" ref="K19" si="7">IFERROR(K17/K18,0)</f>
        <v>2.5401090000000026E-8</v>
      </c>
      <c r="L19" s="579">
        <f t="shared" ref="L19" si="8">IFERROR(L17/L18,0)</f>
        <v>8.4670300000000093E-6</v>
      </c>
      <c r="M19" s="579">
        <f t="shared" ref="M19" si="9">IFERROR(M17/M18,0)</f>
        <v>8.0821650000000077E-4</v>
      </c>
      <c r="N19" s="579">
        <f t="shared" ref="N19" si="10">IFERROR(N17/N18,0)</f>
        <v>0</v>
      </c>
      <c r="O19" s="579">
        <f t="shared" ref="O19" si="11">IFERROR(O17/O18,0)</f>
        <v>0</v>
      </c>
      <c r="P19" s="579">
        <f t="shared" ref="P19" si="12">IFERROR(P17/P18,0)</f>
        <v>0</v>
      </c>
      <c r="Q19" s="579">
        <f t="shared" ref="Q19" si="13">IFERROR(Q17/Q18,0)</f>
        <v>3.1751362500000033E-6</v>
      </c>
      <c r="R19" s="579">
        <f t="shared" ref="R19" si="14">IFERROR(R17/R18,0)</f>
        <v>0</v>
      </c>
      <c r="S19" s="579">
        <f t="shared" ref="S19" si="15">IFERROR(S17/S18,0)</f>
        <v>5.9442676385743166E-8</v>
      </c>
      <c r="T19" s="579">
        <f t="shared" ref="T19" si="16">IFERROR(T17/T18,0)</f>
        <v>0</v>
      </c>
      <c r="U19" s="582">
        <f>SUM(D19:T19)</f>
        <v>9.4694896001638667E-4</v>
      </c>
      <c r="V19" s="578">
        <f>'Disp Factors'!P5</f>
        <v>2</v>
      </c>
      <c r="W19" s="584">
        <f>U19*V19</f>
        <v>1.8938979200327733E-3</v>
      </c>
    </row>
    <row r="20" spans="2:23" x14ac:dyDescent="0.25">
      <c r="C20" s="290" t="s">
        <v>852</v>
      </c>
      <c r="D20" s="601">
        <f>Usage!I63</f>
        <v>8.06</v>
      </c>
      <c r="E20" s="455"/>
      <c r="F20" s="455"/>
      <c r="G20" s="455"/>
      <c r="H20" s="455"/>
      <c r="I20" s="455"/>
      <c r="J20" s="455"/>
      <c r="K20" s="455"/>
      <c r="L20" s="455"/>
      <c r="M20" s="455"/>
      <c r="N20" s="455"/>
      <c r="O20" s="455"/>
      <c r="P20" s="455"/>
      <c r="Q20" s="455"/>
      <c r="R20" s="455"/>
      <c r="S20" s="487"/>
      <c r="T20" s="455"/>
    </row>
    <row r="22" spans="2:23" x14ac:dyDescent="0.25">
      <c r="C22" s="100" t="s">
        <v>167</v>
      </c>
      <c r="D22" s="101"/>
      <c r="E22" s="101"/>
      <c r="F22" s="101"/>
      <c r="G22" s="101"/>
      <c r="H22" s="101"/>
      <c r="I22" s="101"/>
      <c r="J22" s="101"/>
      <c r="K22" s="101"/>
      <c r="L22" s="101"/>
      <c r="M22" s="101"/>
      <c r="N22" s="101"/>
      <c r="O22" s="101"/>
      <c r="P22" s="101"/>
      <c r="Q22" s="101"/>
      <c r="R22" s="101"/>
      <c r="S22" s="202"/>
      <c r="T22" s="202"/>
    </row>
    <row r="23" spans="2:23" x14ac:dyDescent="0.25">
      <c r="B23" s="101"/>
      <c r="C23" s="100" t="s">
        <v>883</v>
      </c>
      <c r="D23" s="101"/>
      <c r="E23" s="101"/>
      <c r="F23" s="101"/>
      <c r="G23" s="101"/>
      <c r="H23" s="101"/>
      <c r="I23" s="101"/>
      <c r="J23" s="101"/>
      <c r="K23" s="101"/>
      <c r="L23" s="101"/>
      <c r="M23" s="101"/>
      <c r="N23" s="101"/>
      <c r="O23" s="101"/>
      <c r="P23" s="101"/>
      <c r="Q23" s="101"/>
      <c r="R23" s="101"/>
      <c r="S23" s="101"/>
      <c r="T23" s="101"/>
    </row>
    <row r="24" spans="2:23" ht="5.5" customHeight="1" thickBot="1" x14ac:dyDescent="0.3">
      <c r="C24" s="101"/>
      <c r="D24" s="101"/>
      <c r="E24" s="101"/>
      <c r="F24" s="101"/>
      <c r="G24" s="101"/>
      <c r="H24" s="101"/>
      <c r="I24" s="101"/>
      <c r="J24" s="101"/>
      <c r="K24" s="101"/>
      <c r="L24" s="101"/>
      <c r="M24" s="101"/>
      <c r="N24" s="101"/>
      <c r="O24" s="101"/>
      <c r="P24" s="101"/>
      <c r="Q24" s="101"/>
      <c r="R24" s="101"/>
      <c r="S24" s="202"/>
      <c r="T24" s="202"/>
    </row>
    <row r="25" spans="2:23" ht="63" thickBot="1" x14ac:dyDescent="0.3">
      <c r="C25" s="101"/>
      <c r="D25" s="242" t="s">
        <v>2</v>
      </c>
      <c r="E25" s="243" t="s">
        <v>3</v>
      </c>
      <c r="F25" s="243" t="s">
        <v>4</v>
      </c>
      <c r="G25" s="243" t="s">
        <v>5</v>
      </c>
      <c r="H25" s="243" t="s">
        <v>6</v>
      </c>
      <c r="I25" s="243" t="s">
        <v>7</v>
      </c>
      <c r="J25" s="243" t="s">
        <v>8</v>
      </c>
      <c r="K25" s="243" t="s">
        <v>9</v>
      </c>
      <c r="L25" s="243" t="s">
        <v>10</v>
      </c>
      <c r="M25" s="243" t="s">
        <v>11</v>
      </c>
      <c r="N25" s="243" t="s">
        <v>12</v>
      </c>
      <c r="O25" s="243" t="s">
        <v>13</v>
      </c>
      <c r="P25" s="244" t="s">
        <v>14</v>
      </c>
      <c r="Q25" s="243" t="s">
        <v>15</v>
      </c>
      <c r="R25" s="273" t="s">
        <v>16</v>
      </c>
      <c r="S25" s="274" t="s">
        <v>17</v>
      </c>
      <c r="T25" s="397" t="s">
        <v>417</v>
      </c>
      <c r="U25" s="581" t="s">
        <v>216</v>
      </c>
      <c r="V25" s="577" t="s">
        <v>887</v>
      </c>
      <c r="W25" s="580" t="s">
        <v>849</v>
      </c>
    </row>
    <row r="26" spans="2:23" x14ac:dyDescent="0.25">
      <c r="C26" s="290" t="s">
        <v>881</v>
      </c>
      <c r="D26" s="211">
        <f>IFERROR('Emission Factors'!C12*$D$29*(1-'Emission Factors'!$E$26),"--")</f>
        <v>9.2265104000000071E-5</v>
      </c>
      <c r="E26" s="211" t="str">
        <f>IFERROR('Emission Factors'!D12*$D$29*(1-'Emission Factors'!$E$26),"--")</f>
        <v>--</v>
      </c>
      <c r="F26" s="211" t="str">
        <f>IFERROR('Emission Factors'!E12*$D$29*(1-'Emission Factors'!$E$26),"--")</f>
        <v>--</v>
      </c>
      <c r="G26" s="211" t="str">
        <f>IFERROR('Emission Factors'!F12*$D$29*(1-'Emission Factors'!$E$26),"--")</f>
        <v>--</v>
      </c>
      <c r="H26" s="211">
        <f>IFERROR('Emission Factors'!G12*$D$29*(1-'Emission Factors'!$E$26),"--")</f>
        <v>1.014916144000001E-3</v>
      </c>
      <c r="I26" s="211">
        <f>IFERROR('Emission Factors'!H12*$D$29*(1-'Emission Factors'!$E$26),"--")</f>
        <v>5.0745807200000049E-4</v>
      </c>
      <c r="J26" s="211">
        <f>IFERROR('Emission Factors'!I12*$D$29*(1-'Emission Factors'!$E$26),"--")</f>
        <v>2.5372903600000024E-5</v>
      </c>
      <c r="K26" s="211">
        <f>IFERROR('Emission Factors'!J12*$D$29*(1-'Emission Factors'!$E$26),"--")</f>
        <v>5.2283558933333379E-4</v>
      </c>
      <c r="L26" s="211">
        <f>IFERROR('Emission Factors'!K12*$D$29*(1-'Emission Factors'!$E$26),"--")</f>
        <v>2.4604027733333354E-4</v>
      </c>
      <c r="M26" s="211">
        <f>IFERROR('Emission Factors'!L12*$D$29*(1-'Emission Factors'!$E$26),"--")</f>
        <v>1.5223742160000015E-3</v>
      </c>
      <c r="N26" s="211">
        <f>IFERROR('Emission Factors'!M12*$D$29*(1-'Emission Factors'!$E$26),"--")</f>
        <v>0</v>
      </c>
      <c r="O26" s="211" t="str">
        <f>IFERROR('Emission Factors'!N12*$D$29*(1-'Emission Factors'!$E$26),"--")</f>
        <v>--</v>
      </c>
      <c r="P26" s="211">
        <f>IFERROR('Emission Factors'!O12*$D$29*(1-'Emission Factors'!$E$26),"--")</f>
        <v>6.1510069333333385E-5</v>
      </c>
      <c r="Q26" s="211">
        <f>IFERROR('Emission Factors'!P12*$D$29*(1-'Emission Factors'!$E$26),"--")</f>
        <v>6.1510069333333385E-5</v>
      </c>
      <c r="R26" s="211" t="str">
        <f>IFERROR('Emission Factors'!Q12*$D$29*(1-'Emission Factors'!$E$26),"--")</f>
        <v>--</v>
      </c>
      <c r="S26" s="211" t="str">
        <f>IFERROR('Emission Factors'!R12*$D$29*(1-'Emission Factors'!$E$26),"--")</f>
        <v>--</v>
      </c>
      <c r="T26" s="211">
        <f>IFERROR('Emission Factors'!S12*$D$29*(1-'Emission Factors'!$E$26),"--")</f>
        <v>6.9206039967483108E-4</v>
      </c>
    </row>
    <row r="27" spans="2:23" ht="14.5" x14ac:dyDescent="0.3">
      <c r="B27" s="190"/>
      <c r="C27" s="101" t="s">
        <v>885</v>
      </c>
      <c r="D27" s="97" t="str">
        <f>'Acute REER'!D$5</f>
        <v>--</v>
      </c>
      <c r="E27" s="97" t="str">
        <f>'Acute REER'!E$5</f>
        <v/>
      </c>
      <c r="F27" s="97">
        <f>'Acute REER'!F$5</f>
        <v>0.02</v>
      </c>
      <c r="G27" s="97">
        <f>'Acute REER'!G$5</f>
        <v>0.03</v>
      </c>
      <c r="H27" s="97" t="str">
        <f>'Acute REER'!H$5</f>
        <v>--</v>
      </c>
      <c r="I27" s="97" t="str">
        <f>'Acute REER'!I$5</f>
        <v/>
      </c>
      <c r="J27" s="97">
        <f>'Acute REER'!J$5</f>
        <v>0.3</v>
      </c>
      <c r="K27" s="97">
        <f>'Acute REER'!K$5</f>
        <v>100</v>
      </c>
      <c r="L27" s="97">
        <f>'Acute REER'!L$5</f>
        <v>0.3</v>
      </c>
      <c r="M27" s="97">
        <f>'Acute REER'!M$5</f>
        <v>0.2</v>
      </c>
      <c r="N27" s="97" t="str">
        <f>'Acute REER'!N$5</f>
        <v/>
      </c>
      <c r="O27" s="97">
        <f>'Acute REER'!O$5</f>
        <v>0.15</v>
      </c>
      <c r="P27" s="97" t="str">
        <f>'Acute REER'!P$5</f>
        <v>--</v>
      </c>
      <c r="Q27" s="97">
        <f>'Acute REER'!Q$5</f>
        <v>0.8</v>
      </c>
      <c r="R27" s="97" t="str">
        <f>'Acute REER'!R$5</f>
        <v/>
      </c>
      <c r="S27" s="97">
        <f>'Acute REER'!S$5</f>
        <v>240</v>
      </c>
      <c r="T27" s="97" t="str">
        <f>'Acute REER'!T$5</f>
        <v/>
      </c>
    </row>
    <row r="28" spans="2:23" ht="14" x14ac:dyDescent="0.25">
      <c r="C28" s="290" t="s">
        <v>886</v>
      </c>
      <c r="D28" s="579">
        <f>IFERROR(D26/D27,0)</f>
        <v>0</v>
      </c>
      <c r="E28" s="579">
        <f t="shared" ref="E28" si="17">IFERROR(E26/E27,0)</f>
        <v>0</v>
      </c>
      <c r="F28" s="579">
        <f t="shared" ref="F28" si="18">IFERROR(F26/F27,0)</f>
        <v>0</v>
      </c>
      <c r="G28" s="579">
        <f t="shared" ref="G28" si="19">IFERROR(G26/G27,0)</f>
        <v>0</v>
      </c>
      <c r="H28" s="579">
        <f t="shared" ref="H28" si="20">IFERROR(H26/H27,0)</f>
        <v>0</v>
      </c>
      <c r="I28" s="579">
        <f t="shared" ref="I28" si="21">IFERROR(I26/I27,0)</f>
        <v>0</v>
      </c>
      <c r="J28" s="579">
        <f t="shared" ref="J28" si="22">IFERROR(J26/J27,0)</f>
        <v>8.457634533333342E-5</v>
      </c>
      <c r="K28" s="579">
        <f t="shared" ref="K28" si="23">IFERROR(K26/K27,0)</f>
        <v>5.2283558933333377E-6</v>
      </c>
      <c r="L28" s="579">
        <f t="shared" ref="L28" si="24">IFERROR(L26/L27,0)</f>
        <v>8.2013425777777854E-4</v>
      </c>
      <c r="M28" s="579">
        <f t="shared" ref="M28" si="25">IFERROR(M26/M27,0)</f>
        <v>7.6118710800000067E-3</v>
      </c>
      <c r="N28" s="579">
        <f t="shared" ref="N28" si="26">IFERROR(N26/N27,0)</f>
        <v>0</v>
      </c>
      <c r="O28" s="579">
        <f t="shared" ref="O28" si="27">IFERROR(O26/O27,0)</f>
        <v>0</v>
      </c>
      <c r="P28" s="579">
        <f t="shared" ref="P28" si="28">IFERROR(P26/P27,0)</f>
        <v>0</v>
      </c>
      <c r="Q28" s="579">
        <f t="shared" ref="Q28" si="29">IFERROR(Q26/Q27,0)</f>
        <v>7.6887586666666728E-5</v>
      </c>
      <c r="R28" s="579">
        <f t="shared" ref="R28" si="30">IFERROR(R26/R27,0)</f>
        <v>0</v>
      </c>
      <c r="S28" s="579">
        <f t="shared" ref="S28" si="31">IFERROR(S26/S27,0)</f>
        <v>0</v>
      </c>
      <c r="T28" s="579">
        <f t="shared" ref="T28" si="32">IFERROR(T26/T27,0)</f>
        <v>0</v>
      </c>
      <c r="U28" s="582">
        <f>SUM(D28:T28)</f>
        <v>8.598697625671118E-3</v>
      </c>
      <c r="V28" s="578">
        <f>'Disp Factors'!P4</f>
        <v>0.15</v>
      </c>
      <c r="W28" s="585">
        <f>U28*V28</f>
        <v>1.2898046438506677E-3</v>
      </c>
    </row>
    <row r="29" spans="2:23" x14ac:dyDescent="0.25">
      <c r="C29" s="290" t="s">
        <v>852</v>
      </c>
      <c r="D29" s="601">
        <f>Usage!G63</f>
        <v>28.143333333333331</v>
      </c>
      <c r="E29" s="455"/>
      <c r="F29" s="455"/>
      <c r="G29" s="455"/>
      <c r="H29" s="455"/>
      <c r="I29" s="455"/>
      <c r="J29" s="455"/>
      <c r="K29" s="455"/>
      <c r="L29" s="455"/>
      <c r="M29" s="455"/>
      <c r="N29" s="455"/>
      <c r="O29" s="455"/>
      <c r="P29" s="455"/>
      <c r="Q29" s="455"/>
      <c r="R29" s="455"/>
      <c r="S29" s="487"/>
      <c r="T29" s="455"/>
    </row>
    <row r="31" spans="2:23" x14ac:dyDescent="0.25">
      <c r="C31" s="100" t="s">
        <v>884</v>
      </c>
      <c r="D31" s="101"/>
      <c r="E31" s="101"/>
      <c r="F31" s="101"/>
      <c r="G31" s="101"/>
      <c r="H31" s="101"/>
      <c r="I31" s="101"/>
      <c r="J31" s="101"/>
      <c r="K31" s="101"/>
      <c r="L31" s="101"/>
      <c r="M31" s="101"/>
      <c r="N31" s="101"/>
      <c r="O31" s="101"/>
      <c r="P31" s="101"/>
      <c r="Q31" s="101"/>
      <c r="R31" s="101"/>
      <c r="S31" s="101"/>
    </row>
    <row r="32" spans="2:23" ht="13" thickBot="1" x14ac:dyDescent="0.3">
      <c r="C32" s="100" t="s">
        <v>879</v>
      </c>
      <c r="D32" s="312"/>
      <c r="E32" s="312"/>
      <c r="F32" s="312"/>
      <c r="G32" s="312"/>
      <c r="H32" s="312"/>
      <c r="I32" s="312"/>
      <c r="J32" s="312"/>
      <c r="K32" s="312"/>
      <c r="L32" s="312"/>
      <c r="M32" s="312"/>
      <c r="N32" s="312"/>
      <c r="O32" s="312"/>
      <c r="P32" s="312"/>
      <c r="Q32" s="312"/>
      <c r="R32" s="312"/>
      <c r="S32" s="312"/>
    </row>
    <row r="33" spans="2:23" ht="63" thickBot="1" x14ac:dyDescent="0.3">
      <c r="C33" s="101"/>
      <c r="D33" s="192" t="s">
        <v>2</v>
      </c>
      <c r="E33" s="171" t="s">
        <v>3</v>
      </c>
      <c r="F33" s="171" t="s">
        <v>4</v>
      </c>
      <c r="G33" s="171" t="s">
        <v>5</v>
      </c>
      <c r="H33" s="171" t="s">
        <v>6</v>
      </c>
      <c r="I33" s="171" t="s">
        <v>7</v>
      </c>
      <c r="J33" s="171" t="s">
        <v>8</v>
      </c>
      <c r="K33" s="171" t="s">
        <v>9</v>
      </c>
      <c r="L33" s="171" t="s">
        <v>10</v>
      </c>
      <c r="M33" s="171" t="s">
        <v>11</v>
      </c>
      <c r="N33" s="171" t="s">
        <v>12</v>
      </c>
      <c r="O33" s="171" t="s">
        <v>13</v>
      </c>
      <c r="P33" s="172" t="s">
        <v>14</v>
      </c>
      <c r="Q33" s="171" t="s">
        <v>15</v>
      </c>
      <c r="R33" s="193" t="s">
        <v>16</v>
      </c>
      <c r="S33" s="306" t="s">
        <v>17</v>
      </c>
      <c r="T33" s="397" t="s">
        <v>417</v>
      </c>
      <c r="U33" s="581" t="s">
        <v>216</v>
      </c>
      <c r="V33" s="577" t="s">
        <v>887</v>
      </c>
      <c r="W33" s="580" t="s">
        <v>849</v>
      </c>
    </row>
    <row r="34" spans="2:23" x14ac:dyDescent="0.25">
      <c r="C34" s="290" t="s">
        <v>881</v>
      </c>
      <c r="D34" s="211">
        <f>IFERROR('Emission Factors'!C16*$D$37,"--")</f>
        <v>3.1515000000000002E-6</v>
      </c>
      <c r="E34" s="211" t="str">
        <f>IFERROR('Emission Factors'!D16*$D$37,"--")</f>
        <v>--</v>
      </c>
      <c r="F34" s="211" t="str">
        <f>IFERROR('Emission Factors'!E16*$D$37,"--")</f>
        <v>--</v>
      </c>
      <c r="G34" s="211" t="str">
        <f>IFERROR('Emission Factors'!F16*$D$37,"--")</f>
        <v>--</v>
      </c>
      <c r="H34" s="211">
        <f>IFERROR('Emission Factors'!G16*$D$37,"--")</f>
        <v>3.1515000000000002E-6</v>
      </c>
      <c r="I34" s="211">
        <f>IFERROR('Emission Factors'!H16*$D$37,"--")</f>
        <v>8.5950000000000016E-5</v>
      </c>
      <c r="J34" s="211">
        <f>IFERROR('Emission Factors'!I16*$D$37,"--")</f>
        <v>4.7272500000000012E-5</v>
      </c>
      <c r="K34" s="211">
        <f>IFERROR('Emission Factors'!J16*$D$37,"--")</f>
        <v>3.1515000000000002E-6</v>
      </c>
      <c r="L34" s="211">
        <f>IFERROR('Emission Factors'!K16*$D$37,"--")</f>
        <v>3.1515000000000002E-6</v>
      </c>
      <c r="M34" s="211">
        <f>IFERROR('Emission Factors'!L16*$D$37,"--")</f>
        <v>2.0055E-4</v>
      </c>
      <c r="N34" s="211" t="str">
        <f>IFERROR('Emission Factors'!M16*$D$37,"--")</f>
        <v>--</v>
      </c>
      <c r="O34" s="211" t="str">
        <f>IFERROR('Emission Factors'!N16*$D$37,"--")</f>
        <v>--</v>
      </c>
      <c r="P34" s="211">
        <f>IFERROR('Emission Factors'!O16*$D$37,"--")</f>
        <v>3.1515000000000002E-6</v>
      </c>
      <c r="Q34" s="211">
        <f>IFERROR('Emission Factors'!P16*$D$37,"--")</f>
        <v>3.1515000000000002E-6</v>
      </c>
      <c r="R34" s="211">
        <f>IFERROR('Emission Factors'!Q16*$D$37,"--")</f>
        <v>3.1515000000000002E-6</v>
      </c>
      <c r="S34" s="211">
        <f>IFERROR('Emission Factors'!R16*$D$37,"--")</f>
        <v>1.7700052521809364E-5</v>
      </c>
      <c r="T34" s="211">
        <f>IFERROR('Emission Factors'!S16*$D$37,"--")</f>
        <v>6.4469218342886938E-5</v>
      </c>
    </row>
    <row r="35" spans="2:23" ht="14.5" x14ac:dyDescent="0.3">
      <c r="B35" s="190"/>
      <c r="C35" s="101" t="s">
        <v>885</v>
      </c>
      <c r="D35" s="97" t="str">
        <f>'Acute REER'!D$5</f>
        <v>--</v>
      </c>
      <c r="E35" s="97" t="str">
        <f>'Acute REER'!E$5</f>
        <v/>
      </c>
      <c r="F35" s="97">
        <f>'Acute REER'!F$5</f>
        <v>0.02</v>
      </c>
      <c r="G35" s="97">
        <f>'Acute REER'!G$5</f>
        <v>0.03</v>
      </c>
      <c r="H35" s="97" t="str">
        <f>'Acute REER'!H$5</f>
        <v>--</v>
      </c>
      <c r="I35" s="97" t="str">
        <f>'Acute REER'!I$5</f>
        <v/>
      </c>
      <c r="J35" s="97">
        <f>'Acute REER'!J$5</f>
        <v>0.3</v>
      </c>
      <c r="K35" s="97">
        <f>'Acute REER'!K$5</f>
        <v>100</v>
      </c>
      <c r="L35" s="97">
        <f>'Acute REER'!L$5</f>
        <v>0.3</v>
      </c>
      <c r="M35" s="97">
        <f>'Acute REER'!M$5</f>
        <v>0.2</v>
      </c>
      <c r="N35" s="97" t="str">
        <f>'Acute REER'!N$5</f>
        <v/>
      </c>
      <c r="O35" s="97">
        <f>'Acute REER'!O$5</f>
        <v>0.15</v>
      </c>
      <c r="P35" s="97" t="str">
        <f>'Acute REER'!P$5</f>
        <v>--</v>
      </c>
      <c r="Q35" s="97">
        <f>'Acute REER'!Q$5</f>
        <v>0.8</v>
      </c>
      <c r="R35" s="97" t="str">
        <f>'Acute REER'!R$5</f>
        <v/>
      </c>
      <c r="S35" s="97">
        <f>'Acute REER'!S$5</f>
        <v>240</v>
      </c>
      <c r="T35" s="97">
        <f>'Acute REER'!U$5</f>
        <v>0</v>
      </c>
    </row>
    <row r="36" spans="2:23" ht="14" x14ac:dyDescent="0.25">
      <c r="C36" s="290" t="s">
        <v>886</v>
      </c>
      <c r="D36" s="579">
        <f>IFERROR(D34/D35,0)</f>
        <v>0</v>
      </c>
      <c r="E36" s="579">
        <f t="shared" ref="E36" si="33">IFERROR(E34/E35,0)</f>
        <v>0</v>
      </c>
      <c r="F36" s="579">
        <f t="shared" ref="F36" si="34">IFERROR(F34/F35,0)</f>
        <v>0</v>
      </c>
      <c r="G36" s="579">
        <f t="shared" ref="G36" si="35">IFERROR(G34/G35,0)</f>
        <v>0</v>
      </c>
      <c r="H36" s="579">
        <f t="shared" ref="H36" si="36">IFERROR(H34/H35,0)</f>
        <v>0</v>
      </c>
      <c r="I36" s="579">
        <f t="shared" ref="I36" si="37">IFERROR(I34/I35,0)</f>
        <v>0</v>
      </c>
      <c r="J36" s="579">
        <f t="shared" ref="J36" si="38">IFERROR(J34/J35,0)</f>
        <v>1.5757500000000005E-4</v>
      </c>
      <c r="K36" s="579">
        <f t="shared" ref="K36" si="39">IFERROR(K34/K35,0)</f>
        <v>3.1515000000000001E-8</v>
      </c>
      <c r="L36" s="579">
        <f t="shared" ref="L36" si="40">IFERROR(L34/L35,0)</f>
        <v>1.0505000000000002E-5</v>
      </c>
      <c r="M36" s="579">
        <f t="shared" ref="M36" si="41">IFERROR(M34/M35,0)</f>
        <v>1.00275E-3</v>
      </c>
      <c r="N36" s="579">
        <f t="shared" ref="N36" si="42">IFERROR(N34/N35,0)</f>
        <v>0</v>
      </c>
      <c r="O36" s="579">
        <f t="shared" ref="O36" si="43">IFERROR(O34/O35,0)</f>
        <v>0</v>
      </c>
      <c r="P36" s="579">
        <f t="shared" ref="P36" si="44">IFERROR(P34/P35,0)</f>
        <v>0</v>
      </c>
      <c r="Q36" s="579">
        <f t="shared" ref="Q36" si="45">IFERROR(Q34/Q35,0)</f>
        <v>3.9393749999999999E-6</v>
      </c>
      <c r="R36" s="579">
        <f t="shared" ref="R36" si="46">IFERROR(R34/R35,0)</f>
        <v>0</v>
      </c>
      <c r="S36" s="579">
        <f t="shared" ref="S36" si="47">IFERROR(S34/S35,0)</f>
        <v>7.375021884087235E-8</v>
      </c>
      <c r="T36" s="579">
        <f t="shared" ref="T36" si="48">IFERROR(T34/T35,0)</f>
        <v>0</v>
      </c>
      <c r="U36" s="582">
        <f>SUM(D36:T36)</f>
        <v>1.1748746402188406E-3</v>
      </c>
      <c r="V36" s="578">
        <f>'Disp Factors'!P7</f>
        <v>4.8</v>
      </c>
      <c r="W36" s="585">
        <f>U36*V36</f>
        <v>5.639398273050435E-3</v>
      </c>
    </row>
    <row r="37" spans="2:23" x14ac:dyDescent="0.25">
      <c r="C37" s="290" t="s">
        <v>852</v>
      </c>
      <c r="D37" s="602">
        <v>0.1</v>
      </c>
    </row>
    <row r="39" spans="2:23" x14ac:dyDescent="0.25">
      <c r="S39" s="290"/>
    </row>
    <row r="41" spans="2:23" x14ac:dyDescent="0.25">
      <c r="T41" s="101"/>
      <c r="V41" s="101"/>
    </row>
  </sheetData>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00744-12E1-4C20-AF4E-8811BE4D858F}">
  <dimension ref="A1:W23"/>
  <sheetViews>
    <sheetView workbookViewId="0"/>
  </sheetViews>
  <sheetFormatPr defaultColWidth="9.1796875" defaultRowHeight="12.5" x14ac:dyDescent="0.25"/>
  <cols>
    <col min="1" max="2" width="9.1796875" style="290"/>
    <col min="3" max="3" width="21.453125" style="290" customWidth="1"/>
    <col min="4" max="18" width="11.453125" style="290" customWidth="1"/>
    <col min="19" max="20" width="11.453125" style="294" customWidth="1"/>
    <col min="21" max="21" width="11.453125" style="290" customWidth="1"/>
    <col min="22" max="16384" width="9.1796875" style="290"/>
  </cols>
  <sheetData>
    <row r="1" spans="1:23" x14ac:dyDescent="0.25">
      <c r="A1" s="525"/>
    </row>
    <row r="2" spans="1:23" ht="13" thickBot="1" x14ac:dyDescent="0.3">
      <c r="C2" s="365" t="s">
        <v>215</v>
      </c>
    </row>
    <row r="3" spans="1:23" ht="25.5" thickBot="1" x14ac:dyDescent="0.3">
      <c r="A3" s="101"/>
      <c r="B3" s="101"/>
      <c r="C3" s="366"/>
      <c r="D3" s="367" t="s">
        <v>2</v>
      </c>
      <c r="E3" s="368" t="s">
        <v>3</v>
      </c>
      <c r="F3" s="368" t="s">
        <v>4</v>
      </c>
      <c r="G3" s="368" t="s">
        <v>5</v>
      </c>
      <c r="H3" s="368" t="s">
        <v>6</v>
      </c>
      <c r="I3" s="368" t="s">
        <v>7</v>
      </c>
      <c r="J3" s="368" t="s">
        <v>8</v>
      </c>
      <c r="K3" s="368" t="s">
        <v>9</v>
      </c>
      <c r="L3" s="368" t="s">
        <v>10</v>
      </c>
      <c r="M3" s="368" t="s">
        <v>11</v>
      </c>
      <c r="N3" s="368" t="s">
        <v>12</v>
      </c>
      <c r="O3" s="368" t="s">
        <v>13</v>
      </c>
      <c r="P3" s="369" t="s">
        <v>14</v>
      </c>
      <c r="Q3" s="368" t="s">
        <v>15</v>
      </c>
      <c r="R3" s="370" t="s">
        <v>16</v>
      </c>
      <c r="S3" s="371" t="s">
        <v>17</v>
      </c>
      <c r="T3" s="595" t="s">
        <v>889</v>
      </c>
      <c r="U3" s="372" t="s">
        <v>216</v>
      </c>
      <c r="V3" s="101"/>
      <c r="W3" s="101"/>
    </row>
    <row r="4" spans="1:23" x14ac:dyDescent="0.25">
      <c r="A4" s="101"/>
      <c r="B4" s="101"/>
      <c r="C4" s="373" t="s">
        <v>217</v>
      </c>
      <c r="D4" s="374" t="s">
        <v>18</v>
      </c>
      <c r="E4" s="375" t="s">
        <v>19</v>
      </c>
      <c r="F4" s="375" t="s">
        <v>20</v>
      </c>
      <c r="G4" s="375" t="s">
        <v>21</v>
      </c>
      <c r="H4" s="375" t="s">
        <v>218</v>
      </c>
      <c r="I4" s="375" t="s">
        <v>23</v>
      </c>
      <c r="J4" s="375" t="s">
        <v>24</v>
      </c>
      <c r="K4" s="375" t="s">
        <v>25</v>
      </c>
      <c r="L4" s="375" t="s">
        <v>26</v>
      </c>
      <c r="M4" s="376">
        <v>365</v>
      </c>
      <c r="N4" s="375" t="s">
        <v>28</v>
      </c>
      <c r="O4" s="375" t="s">
        <v>29</v>
      </c>
      <c r="P4" s="377" t="s">
        <v>219</v>
      </c>
      <c r="Q4" s="375" t="s">
        <v>31</v>
      </c>
      <c r="R4" s="378" t="s">
        <v>32</v>
      </c>
      <c r="S4" s="379">
        <v>239</v>
      </c>
      <c r="T4" s="596" t="s">
        <v>416</v>
      </c>
      <c r="U4" s="380"/>
      <c r="V4" s="101"/>
      <c r="W4" s="101"/>
    </row>
    <row r="5" spans="1:23" ht="13" thickBot="1" x14ac:dyDescent="0.3">
      <c r="A5" s="101"/>
      <c r="B5" s="101"/>
      <c r="C5" s="381" t="s">
        <v>220</v>
      </c>
      <c r="D5" s="382" t="str">
        <f>_xlfn.IFNA(INDEX('DEQ RBC REF'!$A$5:$J$265, MATCH('Residential REER'!D4, 'DEQ RBC REF'!$A$5:$A$265, 0), 5), "")</f>
        <v>--</v>
      </c>
      <c r="E5" s="103" t="str">
        <f>_xlfn.IFNA(INDEX('DEQ RBC REF'!$A$5:$J$265, MATCH('Residential REER'!E4, 'DEQ RBC REF'!$A$5:$A$265, 0), 5), "")</f>
        <v/>
      </c>
      <c r="F5" s="103">
        <f>_xlfn.IFNA(INDEX('DEQ RBC REF'!$A$5:$J$265, MATCH('Residential REER'!F4, 'DEQ RBC REF'!$A$5:$A$265, 0), 5), "")</f>
        <v>4.1666666666666669E-4</v>
      </c>
      <c r="G5" s="103">
        <f>_xlfn.IFNA(INDEX('DEQ RBC REF'!$A$5:$J$265, MATCH('Residential REER'!G4, 'DEQ RBC REF'!$A$5:$A$265, 0), 5), "")</f>
        <v>5.5555555555555556E-4</v>
      </c>
      <c r="H5" s="103" t="str">
        <f>_xlfn.IFNA(INDEX('DEQ RBC REF'!$A$5:$J$265, MATCH('Residential REER'!H4, 'DEQ RBC REF'!$A$5:$A$265, 0), 5), "")</f>
        <v>--</v>
      </c>
      <c r="I5" s="103" t="str">
        <f>_xlfn.IFNA(INDEX('DEQ RBC REF'!$A$5:$J$265, MATCH('Residential REER'!I4, 'DEQ RBC REF'!$A$5:$A$265, 0), 5), "")</f>
        <v/>
      </c>
      <c r="J5" s="394">
        <v>3.1000000000000001E-5</v>
      </c>
      <c r="K5" s="103" t="str">
        <f>_xlfn.IFNA(INDEX('DEQ RBC REF'!$A$5:$J$265, MATCH('Residential REER'!K4, 'DEQ RBC REF'!$A$5:$A$265, 0), 5), "")</f>
        <v>--</v>
      </c>
      <c r="L5" s="103" t="str">
        <f>_xlfn.IFNA(INDEX('DEQ RBC REF'!$A$5:$J$265, MATCH('Residential REER'!L4, 'DEQ RBC REF'!$A$5:$A$265, 0), 5), "")</f>
        <v>--</v>
      </c>
      <c r="M5" s="103">
        <v>3.8E-3</v>
      </c>
      <c r="N5" s="103" t="str">
        <f>_xlfn.IFNA(INDEX('DEQ RBC REF'!$A$5:$J$265, MATCH('Residential REER'!N4, 'DEQ RBC REF'!$A$5:$A$265, 0), 5), "")</f>
        <v/>
      </c>
      <c r="O5" s="103" t="str">
        <f>_xlfn.IFNA(INDEX('DEQ RBC REF'!$A$5:$J$265, MATCH('Residential REER'!O4, 'DEQ RBC REF'!$A$5:$A$265, 0), 5), "")</f>
        <v>--</v>
      </c>
      <c r="P5" s="103" t="str">
        <f>_xlfn.IFNA(INDEX('DEQ RBC REF'!$A$5:$J$265, MATCH('Residential REER'!P4, 'DEQ RBC REF'!$A$5:$A$265, 0), 5), "")</f>
        <v>--</v>
      </c>
      <c r="Q5" s="103" t="str">
        <f>_xlfn.IFNA(INDEX('DEQ RBC REF'!$A$5:$J$265, MATCH('Residential REER'!Q4, 'DEQ RBC REF'!$A$5:$A$265, 0), 5), "")</f>
        <v>--</v>
      </c>
      <c r="R5" s="383" t="str">
        <f>_xlfn.IFNA(INDEX('DEQ RBC REF'!$A$5:$J$265, MATCH('Residential REER'!R4, 'DEQ RBC REF'!$A$5:$A$265, 0), 5), "")</f>
        <v/>
      </c>
      <c r="S5" s="229" t="str">
        <f>_xlfn.IFNA(INDEX('DEQ RBC REF'!$A$5:$J$265, MATCH('Residential REER'!S4, 'DEQ RBC REF'!$A$5:$A$265, 0), 5), "")</f>
        <v>--</v>
      </c>
      <c r="T5" s="597" t="str">
        <f>IFERROR(INDEX('DEQ RBC REF'!$A$5:$K$265, MATCH('Acute REER'!T4, 'DEQ RBC REF'!$A$5:$A$265, 0), 11), "")</f>
        <v/>
      </c>
      <c r="U5" s="384"/>
      <c r="V5" s="101"/>
      <c r="W5" s="101"/>
    </row>
    <row r="6" spans="1:23" x14ac:dyDescent="0.25">
      <c r="A6" s="101"/>
      <c r="B6" s="641" t="s">
        <v>221</v>
      </c>
      <c r="C6" s="307" t="s">
        <v>198</v>
      </c>
      <c r="D6" s="385" t="str">
        <f ca="1">IFERROR('Boiler Emissions'!D33/'Residential REER'!D5, "")</f>
        <v/>
      </c>
      <c r="E6" s="174" t="str">
        <f>IFERROR('Boiler Emissions'!E33/'Residential REER'!E5, "")</f>
        <v/>
      </c>
      <c r="F6" s="386">
        <f ca="1">IFERROR('Boiler Emissions'!F33/'Residential REER'!F5, "")</f>
        <v>0</v>
      </c>
      <c r="G6" s="386">
        <f ca="1">IFERROR('Boiler Emissions'!G33/'Residential REER'!G5, "")</f>
        <v>0</v>
      </c>
      <c r="H6" s="174" t="str">
        <f ca="1">IFERROR('Boiler Emissions'!H33/'Residential REER'!H5, "")</f>
        <v/>
      </c>
      <c r="I6" s="174" t="str">
        <f ca="1">IFERROR('Boiler Emissions'!I33/'Residential REER'!I5, "")</f>
        <v/>
      </c>
      <c r="J6" s="387">
        <f ca="1">IFERROR('Boiler Emissions'!J33/'Residential REER'!J5, "")</f>
        <v>14.91635738709679</v>
      </c>
      <c r="K6" s="387" t="str">
        <f ca="1">IFERROR('Boiler Emissions'!K33/'Residential REER'!K5, "")</f>
        <v/>
      </c>
      <c r="L6" s="387" t="str">
        <f ca="1">IFERROR('Boiler Emissions'!L33/'Residential REER'!L5, "")</f>
        <v/>
      </c>
      <c r="M6" s="387">
        <f ca="1">IFERROR('Boiler Emissions'!M33/'Residential REER'!M5, "")</f>
        <v>6.215340094736848</v>
      </c>
      <c r="N6" s="174" t="str">
        <f ca="1">IFERROR('Boiler Emissions'!N33/'Residential REER'!N5, "")</f>
        <v/>
      </c>
      <c r="O6" s="174" t="str">
        <f ca="1">IFERROR('Boiler Emissions'!O33/'Residential REER'!O5, "")</f>
        <v/>
      </c>
      <c r="P6" s="174" t="str">
        <f ca="1">IFERROR('Boiler Emissions'!P33/'Residential REER'!P5, "")</f>
        <v/>
      </c>
      <c r="Q6" s="174" t="str">
        <f ca="1">IFERROR('Boiler Emissions'!Q33/'Residential REER'!Q5, "")</f>
        <v/>
      </c>
      <c r="R6" s="388" t="str">
        <f ca="1">IFERROR('Boiler Emissions'!R33/'Residential REER'!R5, "")</f>
        <v/>
      </c>
      <c r="S6" s="389" t="str">
        <f ca="1">IFERROR('Boiler Emissions'!S33/'Residential REER'!S5, "")</f>
        <v/>
      </c>
      <c r="T6" s="598"/>
      <c r="U6" s="390">
        <f ca="1">SUM(D6:S6)</f>
        <v>21.131697481833637</v>
      </c>
      <c r="V6" s="101"/>
      <c r="W6" s="101"/>
    </row>
    <row r="7" spans="1:23" x14ac:dyDescent="0.25">
      <c r="A7" s="101"/>
      <c r="B7" s="642"/>
      <c r="C7" s="373" t="s">
        <v>199</v>
      </c>
      <c r="D7" s="300" t="str">
        <f ca="1">IFERROR('In-Shop Emissions'!D33/'Residential REER'!D5, "")</f>
        <v/>
      </c>
      <c r="E7" s="97" t="str">
        <f>IFERROR('In-Shop Emissions'!E33/'Residential REER'!E5, "")</f>
        <v/>
      </c>
      <c r="F7" s="97">
        <f ca="1">IFERROR('In-Shop Emissions'!F33/'Residential REER'!F5, "")</f>
        <v>0</v>
      </c>
      <c r="G7" s="97">
        <f ca="1">IFERROR('In-Shop Emissions'!G33/'Residential REER'!G5, "")</f>
        <v>0</v>
      </c>
      <c r="H7" s="97" t="str">
        <f ca="1">IFERROR('In-Shop Emissions'!H33/'Residential REER'!H5, "")</f>
        <v/>
      </c>
      <c r="I7" s="97" t="str">
        <f ca="1">IFERROR('In-Shop Emissions'!I33/'Residential REER'!I5, "")</f>
        <v/>
      </c>
      <c r="J7" s="391">
        <f ca="1">IFERROR('In-Shop Emissions'!J33/'Residential REER'!J5, "")</f>
        <v>16.146900387096789</v>
      </c>
      <c r="K7" s="391" t="str">
        <f ca="1">IFERROR('In-Shop Emissions'!K33/'Residential REER'!K5, "")</f>
        <v/>
      </c>
      <c r="L7" s="391" t="str">
        <f ca="1">IFERROR('In-Shop Emissions'!L33/'Residential REER'!L5, "")</f>
        <v/>
      </c>
      <c r="M7" s="392">
        <f ca="1">IFERROR('In-Shop Emissions'!M33/'Residential REER'!M5, "")</f>
        <v>0.29385675789473714</v>
      </c>
      <c r="N7" s="97" t="str">
        <f ca="1">IFERROR('In-Shop Emissions'!N33/'Residential REER'!N5, "")</f>
        <v/>
      </c>
      <c r="O7" s="97" t="str">
        <f ca="1">IFERROR('In-Shop Emissions'!O33/'Residential REER'!O5, "")</f>
        <v/>
      </c>
      <c r="P7" s="97" t="str">
        <f ca="1">IFERROR('In-Shop Emissions'!P33/'Residential REER'!P5, "")</f>
        <v/>
      </c>
      <c r="Q7" s="97" t="str">
        <f ca="1">IFERROR('In-Shop Emissions'!Q33/'Residential REER'!Q5, "")</f>
        <v/>
      </c>
      <c r="R7" s="301" t="str">
        <f ca="1">IFERROR('In-Shop Emissions'!R33/'Residential REER'!R5, "")</f>
        <v/>
      </c>
      <c r="S7" s="281" t="str">
        <f ca="1">IFERROR('In-Shop Emissions'!S33/'Residential REER'!S5, "")</f>
        <v/>
      </c>
      <c r="T7" s="599"/>
      <c r="U7" s="393">
        <f t="shared" ref="U7:U9" ca="1" si="0">SUM(D7:S7)</f>
        <v>16.440757144991526</v>
      </c>
      <c r="V7" s="101"/>
      <c r="W7" s="101"/>
    </row>
    <row r="8" spans="1:23" x14ac:dyDescent="0.25">
      <c r="A8" s="101"/>
      <c r="B8" s="642"/>
      <c r="C8" s="373" t="s">
        <v>200</v>
      </c>
      <c r="D8" s="300" t="str">
        <f ca="1">IFERROR('Boiler Building Emissions'!D33/'Residential REER'!D5, "")</f>
        <v/>
      </c>
      <c r="E8" s="97" t="str">
        <f>IFERROR('Boiler Building Emissions'!E33/'Residential REER'!E5, "")</f>
        <v/>
      </c>
      <c r="F8" s="97">
        <f ca="1">IFERROR('Boiler Building Emissions'!F33/'Residential REER'!F5, "")</f>
        <v>0</v>
      </c>
      <c r="G8" s="97">
        <f ca="1">IFERROR('Boiler Building Emissions'!G33/'Residential REER'!G5, "")</f>
        <v>0</v>
      </c>
      <c r="H8" s="97" t="str">
        <f ca="1">IFERROR('Boiler Building Emissions'!H33/'Residential REER'!H5, "")</f>
        <v/>
      </c>
      <c r="I8" s="97" t="str">
        <f ca="1">IFERROR('Boiler Building Emissions'!I33/'Residential REER'!I5, "")</f>
        <v/>
      </c>
      <c r="J8" s="391">
        <f ca="1">IFERROR('Boiler Building Emissions'!J33/'Residential REER'!J5, "")</f>
        <v>202.85559551612906</v>
      </c>
      <c r="K8" s="391" t="str">
        <f ca="1">IFERROR('Boiler Building Emissions'!K33/'Residential REER'!K5, "")</f>
        <v/>
      </c>
      <c r="L8" s="391" t="str">
        <f ca="1">IFERROR('Boiler Building Emissions'!L33/'Residential REER'!L5, "")</f>
        <v/>
      </c>
      <c r="M8" s="391">
        <f ca="1">IFERROR('Boiler Building Emissions'!M33/'Residential REER'!M5, "")</f>
        <v>3.6425215894736844</v>
      </c>
      <c r="N8" s="97" t="str">
        <f ca="1">IFERROR('Boiler Building Emissions'!N33/'Residential REER'!N5, "")</f>
        <v/>
      </c>
      <c r="O8" s="97" t="str">
        <f ca="1">IFERROR('Boiler Building Emissions'!O33/'Residential REER'!O5, "")</f>
        <v/>
      </c>
      <c r="P8" s="97" t="str">
        <f ca="1">IFERROR('Boiler Building Emissions'!P33/'Residential REER'!P5, "")</f>
        <v/>
      </c>
      <c r="Q8" s="97" t="str">
        <f ca="1">IFERROR('Boiler Building Emissions'!Q33/'Residential REER'!Q5, "")</f>
        <v/>
      </c>
      <c r="R8" s="301" t="str">
        <f ca="1">IFERROR('Boiler Building Emissions'!R33/'Residential REER'!R5, "")</f>
        <v/>
      </c>
      <c r="S8" s="281" t="str">
        <f ca="1">IFERROR('Boiler Building Emissions'!S33/'Residential REER'!S5, "")</f>
        <v/>
      </c>
      <c r="T8" s="599"/>
      <c r="U8" s="393">
        <f t="shared" ca="1" si="0"/>
        <v>206.49811710560274</v>
      </c>
      <c r="V8" s="101"/>
      <c r="W8" s="101"/>
    </row>
    <row r="9" spans="1:23" ht="13" thickBot="1" x14ac:dyDescent="0.3">
      <c r="A9" s="101"/>
      <c r="B9" s="643"/>
      <c r="C9" s="381" t="s">
        <v>201</v>
      </c>
      <c r="D9" s="382" t="str">
        <f ca="1">IFERROR('Outside Emissions'!D33/'Residential REER'!D5, "")</f>
        <v/>
      </c>
      <c r="E9" s="103" t="str">
        <f>IFERROR('Outside Emissions'!E33/'Residential REER'!E5, "")</f>
        <v/>
      </c>
      <c r="F9" s="394">
        <f ca="1">IFERROR('Outside Emissions'!F33/'Residential REER'!F5, "")</f>
        <v>0</v>
      </c>
      <c r="G9" s="394">
        <f ca="1">IFERROR('Outside Emissions'!G33/'Residential REER'!G5, "")</f>
        <v>0</v>
      </c>
      <c r="H9" s="103" t="str">
        <f ca="1">IFERROR('Outside Emissions'!H33/'Residential REER'!H5, "")</f>
        <v/>
      </c>
      <c r="I9" s="103" t="str">
        <f ca="1">IFERROR('Outside Emissions'!I33/'Residential REER'!I5, "")</f>
        <v/>
      </c>
      <c r="J9" s="395">
        <f ca="1">IFERROR('Outside Emissions'!J33/'Residential REER'!J5, "")</f>
        <v>2.049046419354839</v>
      </c>
      <c r="K9" s="395" t="str">
        <f ca="1">IFERROR('Outside Emissions'!K33/'Residential REER'!K5, "")</f>
        <v/>
      </c>
      <c r="L9" s="395" t="str">
        <f ca="1">IFERROR('Outside Emissions'!L33/'Residential REER'!L5, "")</f>
        <v/>
      </c>
      <c r="M9" s="395">
        <f ca="1">IFERROR('Outside Emissions'!M33/'Residential REER'!M5, "")</f>
        <v>3.6793147368421063E-2</v>
      </c>
      <c r="N9" s="103" t="str">
        <f ca="1">IFERROR('Outside Emissions'!N33/'Residential REER'!N5, "")</f>
        <v/>
      </c>
      <c r="O9" s="103" t="str">
        <f ca="1">IFERROR('Outside Emissions'!O33/'Residential REER'!O5, "")</f>
        <v/>
      </c>
      <c r="P9" s="103" t="str">
        <f ca="1">IFERROR('Outside Emissions'!P33/'Residential REER'!P5, "")</f>
        <v/>
      </c>
      <c r="Q9" s="103" t="str">
        <f ca="1">IFERROR('Outside Emissions'!Q33/'Residential REER'!Q5, "")</f>
        <v/>
      </c>
      <c r="R9" s="383" t="str">
        <f ca="1">IFERROR('Outside Emissions'!R33/'Residential REER'!R5, "")</f>
        <v/>
      </c>
      <c r="S9" s="229" t="str">
        <f ca="1">IFERROR('Outside Emissions'!S33/'Residential REER'!S5, "")</f>
        <v/>
      </c>
      <c r="T9" s="600"/>
      <c r="U9" s="396">
        <f t="shared" ca="1" si="0"/>
        <v>2.0858395667232599</v>
      </c>
      <c r="V9" s="101"/>
      <c r="W9" s="101"/>
    </row>
    <row r="10" spans="1:23" x14ac:dyDescent="0.25">
      <c r="A10" s="101"/>
      <c r="B10" s="101"/>
      <c r="C10" s="101"/>
      <c r="D10" s="190"/>
      <c r="E10" s="190"/>
      <c r="F10" s="190"/>
      <c r="G10" s="190"/>
      <c r="H10" s="190"/>
      <c r="I10" s="190"/>
      <c r="J10" s="190"/>
      <c r="K10" s="190"/>
      <c r="L10" s="190"/>
      <c r="M10" s="190"/>
      <c r="N10" s="190"/>
      <c r="O10" s="190"/>
      <c r="P10" s="190"/>
      <c r="Q10" s="190"/>
      <c r="R10" s="190"/>
      <c r="S10" s="190"/>
      <c r="T10" s="190"/>
      <c r="U10" s="190"/>
      <c r="V10" s="101"/>
      <c r="W10" s="101"/>
    </row>
    <row r="11" spans="1:23" x14ac:dyDescent="0.25">
      <c r="A11" s="101"/>
      <c r="B11" s="101"/>
      <c r="C11" s="101"/>
      <c r="D11" s="190"/>
      <c r="E11" s="190"/>
      <c r="F11" s="190"/>
      <c r="G11" s="190"/>
      <c r="H11" s="190"/>
      <c r="I11" s="190"/>
      <c r="J11" s="190"/>
      <c r="K11" s="190"/>
      <c r="L11" s="190"/>
      <c r="M11" s="190"/>
      <c r="N11" s="190"/>
      <c r="O11" s="190"/>
      <c r="P11" s="190"/>
      <c r="Q11" s="190"/>
      <c r="R11" s="190"/>
      <c r="S11" s="190"/>
      <c r="T11" s="190"/>
      <c r="U11" s="190"/>
      <c r="V11" s="101"/>
      <c r="W11" s="101"/>
    </row>
    <row r="12" spans="1:23" ht="13" thickBot="1" x14ac:dyDescent="0.3">
      <c r="A12" s="101"/>
      <c r="B12" s="101"/>
      <c r="C12" s="100" t="s">
        <v>222</v>
      </c>
      <c r="D12" s="190"/>
      <c r="E12" s="190"/>
      <c r="F12" s="190"/>
      <c r="G12" s="190"/>
      <c r="H12" s="190"/>
      <c r="I12" s="190"/>
      <c r="J12" s="190"/>
      <c r="K12" s="190"/>
      <c r="L12" s="190"/>
      <c r="M12" s="190"/>
      <c r="N12" s="190"/>
      <c r="O12" s="190"/>
      <c r="P12" s="190"/>
      <c r="Q12" s="190"/>
      <c r="R12" s="190"/>
      <c r="S12" s="190"/>
      <c r="T12" s="190"/>
      <c r="U12" s="190"/>
      <c r="V12" s="101"/>
      <c r="W12" s="101"/>
    </row>
    <row r="13" spans="1:23" ht="25.5" thickBot="1" x14ac:dyDescent="0.3">
      <c r="A13" s="101"/>
      <c r="B13" s="362"/>
      <c r="C13" s="366"/>
      <c r="D13" s="367" t="s">
        <v>2</v>
      </c>
      <c r="E13" s="368" t="s">
        <v>3</v>
      </c>
      <c r="F13" s="368" t="s">
        <v>4</v>
      </c>
      <c r="G13" s="368" t="s">
        <v>5</v>
      </c>
      <c r="H13" s="368" t="s">
        <v>6</v>
      </c>
      <c r="I13" s="368" t="s">
        <v>7</v>
      </c>
      <c r="J13" s="368" t="s">
        <v>8</v>
      </c>
      <c r="K13" s="368" t="s">
        <v>9</v>
      </c>
      <c r="L13" s="368" t="s">
        <v>10</v>
      </c>
      <c r="M13" s="368" t="s">
        <v>11</v>
      </c>
      <c r="N13" s="368" t="s">
        <v>12</v>
      </c>
      <c r="O13" s="368" t="s">
        <v>13</v>
      </c>
      <c r="P13" s="369" t="s">
        <v>14</v>
      </c>
      <c r="Q13" s="368" t="s">
        <v>15</v>
      </c>
      <c r="R13" s="370" t="s">
        <v>16</v>
      </c>
      <c r="S13" s="371" t="s">
        <v>17</v>
      </c>
      <c r="T13" s="595" t="s">
        <v>889</v>
      </c>
      <c r="U13" s="397" t="s">
        <v>216</v>
      </c>
      <c r="V13" s="101"/>
      <c r="W13" s="101"/>
    </row>
    <row r="14" spans="1:23" x14ac:dyDescent="0.25">
      <c r="A14" s="101"/>
      <c r="B14" s="362"/>
      <c r="C14" s="373" t="s">
        <v>217</v>
      </c>
      <c r="D14" s="374" t="s">
        <v>18</v>
      </c>
      <c r="E14" s="375" t="s">
        <v>19</v>
      </c>
      <c r="F14" s="375" t="s">
        <v>20</v>
      </c>
      <c r="G14" s="375" t="s">
        <v>21</v>
      </c>
      <c r="H14" s="375" t="s">
        <v>218</v>
      </c>
      <c r="I14" s="375" t="s">
        <v>23</v>
      </c>
      <c r="J14" s="375" t="s">
        <v>24</v>
      </c>
      <c r="K14" s="375" t="s">
        <v>25</v>
      </c>
      <c r="L14" s="375" t="s">
        <v>26</v>
      </c>
      <c r="M14" s="376">
        <v>365</v>
      </c>
      <c r="N14" s="375" t="s">
        <v>28</v>
      </c>
      <c r="O14" s="375" t="s">
        <v>29</v>
      </c>
      <c r="P14" s="377" t="s">
        <v>219</v>
      </c>
      <c r="Q14" s="375" t="s">
        <v>31</v>
      </c>
      <c r="R14" s="378" t="s">
        <v>32</v>
      </c>
      <c r="S14" s="379">
        <v>239</v>
      </c>
      <c r="T14" s="596" t="s">
        <v>416</v>
      </c>
      <c r="U14" s="380"/>
      <c r="V14" s="101"/>
      <c r="W14" s="101"/>
    </row>
    <row r="15" spans="1:23" ht="13" thickBot="1" x14ac:dyDescent="0.3">
      <c r="A15" s="101"/>
      <c r="B15" s="364"/>
      <c r="C15" s="373" t="s">
        <v>223</v>
      </c>
      <c r="D15" s="398">
        <v>5</v>
      </c>
      <c r="E15" s="399" t="str">
        <f>_xlfn.IFNA(INDEX('DEQ RBC REF'!$A$5:$J$265, MATCH('Residential REER'!E4, 'DEQ RBC REF'!$A$5:$A$265, 0), 6), "")</f>
        <v/>
      </c>
      <c r="F15" s="399">
        <f>_xlfn.IFNA(INDEX('DEQ RBC REF'!$A$5:$J$265, MATCH('Residential REER'!F4, 'DEQ RBC REF'!$A$5:$A$265, 0), 6), "")</f>
        <v>7.0000000000000001E-3</v>
      </c>
      <c r="G15" s="400">
        <f>_xlfn.IFNA(INDEX('DEQ RBC REF'!$A$5:$J$265, MATCH('Residential REER'!G4, 'DEQ RBC REF'!$A$5:$A$265, 0), 6), "")</f>
        <v>5.0000000000000001E-3</v>
      </c>
      <c r="H15" s="399">
        <v>0.1</v>
      </c>
      <c r="I15" s="399" t="str">
        <f>_xlfn.IFNA(INDEX('DEQ RBC REF'!$A$5:$J$265, MATCH('Residential REER'!I4, 'DEQ RBC REF'!$A$5:$A$265, 0), 6), "")</f>
        <v/>
      </c>
      <c r="J15" s="399">
        <v>8.3000000000000004E-2</v>
      </c>
      <c r="K15" s="399" t="str">
        <f>_xlfn.IFNA(INDEX('DEQ RBC REF'!$A$5:$J$265, MATCH('Residential REER'!K4, 'DEQ RBC REF'!$A$5:$A$265, 0), 6), "")</f>
        <v>--</v>
      </c>
      <c r="L15" s="399">
        <v>0.09</v>
      </c>
      <c r="M15" s="399">
        <v>1.4E-2</v>
      </c>
      <c r="N15" s="399" t="str">
        <f>_xlfn.IFNA(INDEX('DEQ RBC REF'!$A$5:$J$265, MATCH('Residential REER'!N4, 'DEQ RBC REF'!$A$5:$A$265, 0), 6), "")</f>
        <v/>
      </c>
      <c r="O15" s="399">
        <f>_xlfn.IFNA(INDEX('DEQ RBC REF'!$A$5:$J$265, MATCH('Residential REER'!O4, 'DEQ RBC REF'!$A$5:$A$265, 0), 6), "")</f>
        <v>0.15</v>
      </c>
      <c r="P15" s="399">
        <v>3</v>
      </c>
      <c r="Q15" s="399">
        <v>0.1</v>
      </c>
      <c r="R15" s="401" t="str">
        <f>_xlfn.IFNA(INDEX('DEQ RBC REF'!$A$5:$J$265, MATCH('Residential REER'!R4, 'DEQ RBC REF'!$A$5:$A$265, 0), 6), "")</f>
        <v/>
      </c>
      <c r="S15" s="216">
        <v>2.2999999999999998</v>
      </c>
      <c r="T15" s="597" t="str">
        <f>IFERROR(INDEX('DEQ RBC REF'!$A$5:$K$265, MATCH('Acute REER'!T14, 'DEQ RBC REF'!$A$5:$A$265, 0), 11), "")</f>
        <v/>
      </c>
      <c r="U15" s="402"/>
      <c r="V15" s="101"/>
      <c r="W15" s="101"/>
    </row>
    <row r="16" spans="1:23" x14ac:dyDescent="0.25">
      <c r="A16" s="101"/>
      <c r="B16" s="641" t="s">
        <v>221</v>
      </c>
      <c r="C16" s="307" t="s">
        <v>198</v>
      </c>
      <c r="D16" s="403">
        <f ca="1">IFERROR('Boiler Emissions'!D33/'Residential REER'!D15, "")</f>
        <v>2.8568010971626826E-4</v>
      </c>
      <c r="E16" s="386" t="str">
        <f>IFERROR('Boiler Emissions'!E33/'Residential REER'!E15, "")</f>
        <v/>
      </c>
      <c r="F16" s="386">
        <f ca="1">IFERROR('Boiler Emissions'!F33/'Residential REER'!F15, "")</f>
        <v>0</v>
      </c>
      <c r="G16" s="386">
        <f ca="1">IFERROR('Boiler Emissions'!G33/'Residential REER'!G15, "")</f>
        <v>0</v>
      </c>
      <c r="H16" s="404">
        <f ca="1">IFERROR('Boiler Emissions'!H33/'Residential REER'!H15, "")</f>
        <v>0.15652169475000013</v>
      </c>
      <c r="I16" s="387" t="str">
        <f ca="1">IFERROR('Boiler Emissions'!I33/'Residential REER'!I15, "")</f>
        <v/>
      </c>
      <c r="J16" s="184">
        <f ca="1">IFERROR('Boiler Emissions'!J33/'Residential REER'!J15, "")</f>
        <v>5.5711696265060302E-3</v>
      </c>
      <c r="K16" s="387" t="str">
        <f ca="1">IFERROR('Boiler Emissions'!K33/'Residential REER'!K15, "")</f>
        <v/>
      </c>
      <c r="L16" s="387">
        <f ca="1">IFERROR('Boiler Emissions'!L33/'Residential REER'!L15, "")</f>
        <v>5.7971629500000073E-2</v>
      </c>
      <c r="M16" s="387">
        <f ca="1">IFERROR('Boiler Emissions'!M33/'Residential REER'!M15, "")</f>
        <v>1.6870208828571445</v>
      </c>
      <c r="N16" s="386" t="str">
        <f ca="1">IFERROR('Boiler Emissions'!N33/'Residential REER'!N15, "")</f>
        <v/>
      </c>
      <c r="O16" s="386">
        <f ca="1">IFERROR('Boiler Emissions'!O33/'Residential REER'!O15, "")</f>
        <v>0</v>
      </c>
      <c r="P16" s="386">
        <f ca="1">IFERROR('Boiler Emissions'!P33/'Residential REER'!P15, "")</f>
        <v>4.6744655489489218E-4</v>
      </c>
      <c r="Q16" s="386">
        <f ca="1">IFERROR('Boiler Emissions'!Q33/'Residential REER'!Q15, "")</f>
        <v>9.5090108309600092E-3</v>
      </c>
      <c r="R16" s="405" t="str">
        <f ca="1">IFERROR('Boiler Emissions'!R33/'Residential REER'!R15, "")</f>
        <v/>
      </c>
      <c r="S16" s="278">
        <f ca="1">IFERROR('Boiler Emissions'!S33/'Residential REER'!S15, "")</f>
        <v>2.1465378308124094E-5</v>
      </c>
      <c r="T16" s="598"/>
      <c r="U16" s="390">
        <f ca="1">SUM(D16:S16)</f>
        <v>1.9173689796075302</v>
      </c>
      <c r="V16" s="101"/>
      <c r="W16" s="101"/>
    </row>
    <row r="17" spans="1:23" x14ac:dyDescent="0.25">
      <c r="A17" s="101"/>
      <c r="B17" s="642"/>
      <c r="C17" s="373" t="s">
        <v>199</v>
      </c>
      <c r="D17" s="300">
        <f ca="1">IFERROR('In-Shop Emissions'!D33/'Residential REER'!D15, "")</f>
        <v>8.9199177301439902E-6</v>
      </c>
      <c r="E17" s="97" t="str">
        <f>IFERROR('In-Shop Emissions'!E33/'Residential REER'!E15, "")</f>
        <v/>
      </c>
      <c r="F17" s="97">
        <f ca="1">IFERROR('In-Shop Emissions'!F33/'Residential REER'!F15, "")</f>
        <v>0</v>
      </c>
      <c r="G17" s="97">
        <f ca="1">IFERROR('In-Shop Emissions'!G33/'Residential REER'!G15, "")</f>
        <v>0</v>
      </c>
      <c r="H17" s="406">
        <f ca="1">IFERROR('In-Shop Emissions'!H33/'Residential REER'!H15, "")</f>
        <v>8.703000000000008E-5</v>
      </c>
      <c r="I17" s="391" t="str">
        <f ca="1">IFERROR('In-Shop Emissions'!I33/'Residential REER'!I15, "")</f>
        <v/>
      </c>
      <c r="J17" s="185">
        <f ca="1">IFERROR('In-Shop Emissions'!J33/'Residential REER'!J15, "")</f>
        <v>6.0307700240963911E-3</v>
      </c>
      <c r="K17" s="391" t="str">
        <f ca="1">IFERROR('In-Shop Emissions'!K33/'Residential REER'!K15, "")</f>
        <v/>
      </c>
      <c r="L17" s="407">
        <f ca="1">IFERROR('In-Shop Emissions'!L33/'Residential REER'!L15, "")</f>
        <v>6.7489871555555622E-2</v>
      </c>
      <c r="M17" s="392">
        <f ca="1">IFERROR('In-Shop Emissions'!M33/'Residential REER'!M15, "")</f>
        <v>7.9761120000000088E-2</v>
      </c>
      <c r="N17" s="97" t="str">
        <f ca="1">IFERROR('In-Shop Emissions'!N33/'Residential REER'!N15, "")</f>
        <v/>
      </c>
      <c r="O17" s="97">
        <f ca="1">IFERROR('In-Shop Emissions'!O33/'Residential REER'!O15, "")</f>
        <v>0</v>
      </c>
      <c r="P17" s="97">
        <f ca="1">IFERROR('In-Shop Emissions'!P33/'Residential REER'!P15, "")</f>
        <v>9.2249047448414131E-4</v>
      </c>
      <c r="Q17" s="97">
        <f ca="1">IFERROR('In-Shop Emissions'!Q33/'Residential REER'!Q15, "")</f>
        <v>1.1686353600000009E-4</v>
      </c>
      <c r="R17" s="301" t="str">
        <f ca="1">IFERROR('In-Shop Emissions'!R33/'Residential REER'!R15, "")</f>
        <v/>
      </c>
      <c r="S17" s="281">
        <f ca="1">IFERROR('In-Shop Emissions'!S33/'Residential REER'!S15, "")</f>
        <v>1.7172302646499275E-4</v>
      </c>
      <c r="T17" s="599"/>
      <c r="U17" s="393">
        <f ca="1">SUM(D17:S17)</f>
        <v>0.15458878853433136</v>
      </c>
      <c r="V17" s="101"/>
      <c r="W17" s="101"/>
    </row>
    <row r="18" spans="1:23" x14ac:dyDescent="0.25">
      <c r="A18" s="101"/>
      <c r="B18" s="642"/>
      <c r="C18" s="373" t="s">
        <v>200</v>
      </c>
      <c r="D18" s="300">
        <f ca="1">IFERROR('Boiler Building Emissions'!D33/'Residential REER'!D15, "")</f>
        <v>1.1038398191053178E-4</v>
      </c>
      <c r="E18" s="97" t="str">
        <f>IFERROR('Boiler Building Emissions'!E33/'Residential REER'!E15, "")</f>
        <v/>
      </c>
      <c r="F18" s="97">
        <f ca="1">IFERROR('Boiler Building Emissions'!F33/'Residential REER'!F15, "")</f>
        <v>0</v>
      </c>
      <c r="G18" s="97">
        <f ca="1">IFERROR('Boiler Building Emissions'!G33/'Residential REER'!G15, "")</f>
        <v>0</v>
      </c>
      <c r="H18" s="408">
        <f ca="1">IFERROR('Boiler Building Emissions'!H33/'Residential REER'!H15, "")</f>
        <v>1.0769962500000001E-3</v>
      </c>
      <c r="I18" s="391" t="str">
        <f ca="1">IFERROR('Boiler Building Emissions'!I33/'Residential REER'!I15, "")</f>
        <v/>
      </c>
      <c r="J18" s="407">
        <f ca="1">IFERROR('Boiler Building Emissions'!J33/'Residential REER'!J15, "")</f>
        <v>7.576534290361446E-2</v>
      </c>
      <c r="K18" s="391" t="str">
        <f ca="1">IFERROR('Boiler Building Emissions'!K33/'Residential REER'!K15, "")</f>
        <v/>
      </c>
      <c r="L18" s="391">
        <f ca="1">IFERROR('Boiler Building Emissions'!L33/'Residential REER'!L15, "")</f>
        <v>0.91634076049999991</v>
      </c>
      <c r="M18" s="391">
        <f ca="1">IFERROR('Boiler Building Emissions'!M33/'Residential REER'!M15, "")</f>
        <v>0.98868443142857154</v>
      </c>
      <c r="N18" s="97" t="str">
        <f ca="1">IFERROR('Boiler Building Emissions'!N33/'Residential REER'!N15, "")</f>
        <v/>
      </c>
      <c r="O18" s="97">
        <f ca="1">IFERROR('Boiler Building Emissions'!O33/'Residential REER'!O15, "")</f>
        <v>0</v>
      </c>
      <c r="P18" s="97">
        <f ca="1">IFERROR('Boiler Building Emissions'!P33/'Residential REER'!P15, "")</f>
        <v>1.1811289189836019E-2</v>
      </c>
      <c r="Q18" s="97">
        <f ca="1">IFERROR('Boiler Building Emissions'!Q33/'Residential REER'!Q15, "")</f>
        <v>1.5440740365599999E-3</v>
      </c>
      <c r="R18" s="301" t="str">
        <f ca="1">IFERROR('Boiler Building Emissions'!R33/'Residential REER'!R15, "")</f>
        <v/>
      </c>
      <c r="S18" s="281">
        <f ca="1">IFERROR('Boiler Building Emissions'!S33/'Residential REER'!S15, "")</f>
        <v>2.1250724525042836E-3</v>
      </c>
      <c r="T18" s="599"/>
      <c r="U18" s="393">
        <f t="shared" ref="U18:U19" ca="1" si="1">SUM(D18:S18)</f>
        <v>1.997458350742997</v>
      </c>
      <c r="V18" s="101"/>
      <c r="W18" s="101"/>
    </row>
    <row r="19" spans="1:23" ht="13" thickBot="1" x14ac:dyDescent="0.3">
      <c r="A19" s="101"/>
      <c r="B19" s="643"/>
      <c r="C19" s="381" t="s">
        <v>201</v>
      </c>
      <c r="D19" s="409">
        <f ca="1">IFERROR('Outside Emissions'!D33/'Residential REER'!D15, "")</f>
        <v>1.1149897162679977E-6</v>
      </c>
      <c r="E19" s="394" t="str">
        <f>IFERROR('Outside Emissions'!E33/'Residential REER'!E15, "")</f>
        <v/>
      </c>
      <c r="F19" s="394">
        <f ca="1">IFERROR('Outside Emissions'!F33/'Residential REER'!F15, "")</f>
        <v>0</v>
      </c>
      <c r="G19" s="394">
        <f ca="1">IFERROR('Outside Emissions'!G33/'Residential REER'!G15, "")</f>
        <v>0</v>
      </c>
      <c r="H19" s="410">
        <f ca="1">IFERROR('Outside Emissions'!H33/'Residential REER'!H15, "")</f>
        <v>1.0878750000000002E-5</v>
      </c>
      <c r="I19" s="395" t="str">
        <f ca="1">IFERROR('Outside Emissions'!I33/'Residential REER'!I15, "")</f>
        <v/>
      </c>
      <c r="J19" s="187">
        <f ca="1">IFERROR('Outside Emissions'!J33/'Residential REER'!J15, "")</f>
        <v>7.6530649397590369E-4</v>
      </c>
      <c r="K19" s="395" t="str">
        <f ca="1">IFERROR('Outside Emissions'!K33/'Residential REER'!K15, "")</f>
        <v/>
      </c>
      <c r="L19" s="411">
        <f ca="1">IFERROR('Outside Emissions'!L33/'Residential REER'!L15, "")</f>
        <v>9.2559672777777803E-3</v>
      </c>
      <c r="M19" s="395">
        <f ca="1">IFERROR('Outside Emissions'!M33/'Residential REER'!M15, "")</f>
        <v>9.9867114285714306E-3</v>
      </c>
      <c r="N19" s="394" t="str">
        <f ca="1">IFERROR('Outside Emissions'!N33/'Residential REER'!N15, "")</f>
        <v/>
      </c>
      <c r="O19" s="394">
        <f ca="1">IFERROR('Outside Emissions'!O33/'Residential REER'!O15, "")</f>
        <v>0</v>
      </c>
      <c r="P19" s="394">
        <f ca="1">IFERROR('Outside Emissions'!P33/'Residential REER'!P15, "")</f>
        <v>1.1930595141248505E-4</v>
      </c>
      <c r="Q19" s="394">
        <f ca="1">IFERROR('Outside Emissions'!Q33/'Residential REER'!Q15, "")</f>
        <v>1.5596707440000001E-5</v>
      </c>
      <c r="R19" s="412" t="str">
        <f ca="1">IFERROR('Outside Emissions'!R33/'Residential REER'!R15, "")</f>
        <v/>
      </c>
      <c r="S19" s="413">
        <f ca="1">IFERROR('Outside Emissions'!S33/'Residential REER'!S15, "")</f>
        <v>2.146537830812408E-5</v>
      </c>
      <c r="T19" s="600"/>
      <c r="U19" s="396">
        <f t="shared" ca="1" si="1"/>
        <v>2.0176346977201987E-2</v>
      </c>
      <c r="V19" s="101"/>
      <c r="W19" s="101"/>
    </row>
    <row r="20" spans="1:23" x14ac:dyDescent="0.25">
      <c r="A20" s="101"/>
      <c r="B20" s="101"/>
      <c r="C20" s="101"/>
      <c r="D20" s="101"/>
      <c r="E20" s="101"/>
      <c r="F20" s="101"/>
      <c r="G20" s="101"/>
      <c r="H20" s="101"/>
      <c r="I20" s="101"/>
      <c r="J20" s="101"/>
      <c r="K20" s="101"/>
      <c r="L20" s="101"/>
      <c r="M20" s="101"/>
      <c r="N20" s="101"/>
      <c r="O20" s="101"/>
      <c r="P20" s="101"/>
      <c r="Q20" s="101"/>
      <c r="R20" s="101"/>
      <c r="S20" s="101"/>
      <c r="T20" s="101"/>
      <c r="U20" s="101"/>
      <c r="V20" s="101"/>
      <c r="W20" s="101"/>
    </row>
    <row r="21" spans="1:23" x14ac:dyDescent="0.25">
      <c r="A21" s="101"/>
      <c r="B21" s="101"/>
      <c r="C21" s="101"/>
      <c r="D21" s="101"/>
      <c r="E21" s="101"/>
      <c r="F21" s="101"/>
      <c r="G21" s="101"/>
      <c r="H21" s="101"/>
      <c r="I21" s="101"/>
      <c r="J21" s="101"/>
      <c r="K21" s="101"/>
      <c r="L21" s="101"/>
      <c r="M21" s="101"/>
      <c r="N21" s="101"/>
      <c r="O21" s="101"/>
      <c r="P21" s="101"/>
      <c r="Q21" s="101"/>
      <c r="R21" s="101"/>
      <c r="S21" s="101"/>
      <c r="T21" s="101"/>
      <c r="U21" s="101"/>
      <c r="V21" s="101"/>
      <c r="W21" s="101"/>
    </row>
    <row r="22" spans="1:23" x14ac:dyDescent="0.25">
      <c r="A22" s="101"/>
      <c r="B22" s="101"/>
      <c r="C22" s="101"/>
      <c r="D22" s="101"/>
      <c r="E22" s="101"/>
      <c r="F22" s="101"/>
      <c r="G22" s="101"/>
      <c r="H22" s="101"/>
      <c r="I22" s="101"/>
      <c r="J22" s="101"/>
      <c r="K22" s="101"/>
      <c r="L22" s="101"/>
      <c r="M22" s="101"/>
      <c r="N22" s="101"/>
      <c r="O22" s="101"/>
      <c r="P22" s="101"/>
      <c r="Q22" s="101"/>
      <c r="R22" s="101"/>
      <c r="S22" s="101"/>
      <c r="T22" s="101"/>
      <c r="U22" s="101"/>
      <c r="V22" s="101"/>
      <c r="W22" s="101"/>
    </row>
    <row r="23" spans="1:23" x14ac:dyDescent="0.25">
      <c r="A23" s="101"/>
      <c r="B23" s="101"/>
      <c r="C23" s="101"/>
      <c r="D23" s="101"/>
      <c r="E23" s="101"/>
      <c r="F23" s="101"/>
      <c r="G23" s="101"/>
      <c r="H23" s="101"/>
      <c r="I23" s="101"/>
      <c r="J23" s="101"/>
      <c r="K23" s="101"/>
      <c r="L23" s="101"/>
      <c r="M23" s="101"/>
      <c r="N23" s="101"/>
      <c r="O23" s="101"/>
      <c r="P23" s="101"/>
      <c r="Q23" s="101"/>
      <c r="R23" s="101"/>
      <c r="S23" s="101"/>
      <c r="T23" s="101"/>
      <c r="U23" s="101"/>
      <c r="V23" s="101"/>
      <c r="W23" s="101"/>
    </row>
  </sheetData>
  <mergeCells count="2">
    <mergeCell ref="B16:B19"/>
    <mergeCell ref="B6:B9"/>
  </mergeCells>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CBD76-A802-4FA3-A1DC-731CDED4F164}">
  <dimension ref="A1:Y34"/>
  <sheetViews>
    <sheetView workbookViewId="0"/>
  </sheetViews>
  <sheetFormatPr defaultColWidth="9.1796875" defaultRowHeight="12.5" x14ac:dyDescent="0.25"/>
  <cols>
    <col min="1" max="2" width="9.1796875" style="290"/>
    <col min="3" max="3" width="21.453125" style="290" customWidth="1"/>
    <col min="4" max="18" width="11.453125" style="290" customWidth="1"/>
    <col min="19" max="20" width="11.453125" style="294" customWidth="1"/>
    <col min="21" max="21" width="10.81640625" style="290" customWidth="1"/>
    <col min="22" max="16384" width="9.1796875" style="290"/>
  </cols>
  <sheetData>
    <row r="1" spans="1:25"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ht="13" thickBot="1" x14ac:dyDescent="0.3">
      <c r="A2" s="101"/>
      <c r="B2" s="101"/>
      <c r="C2" s="100" t="s">
        <v>224</v>
      </c>
      <c r="D2" s="101"/>
      <c r="E2" s="101"/>
      <c r="F2" s="101"/>
      <c r="G2" s="101"/>
      <c r="H2" s="101"/>
      <c r="I2" s="101"/>
      <c r="J2" s="101"/>
      <c r="K2" s="101"/>
      <c r="L2" s="101"/>
      <c r="M2" s="101"/>
      <c r="N2" s="101"/>
      <c r="O2" s="101"/>
      <c r="P2" s="101"/>
      <c r="Q2" s="101"/>
      <c r="R2" s="101"/>
      <c r="S2" s="101"/>
      <c r="T2" s="101"/>
      <c r="U2" s="101"/>
      <c r="V2" s="101"/>
      <c r="W2" s="101"/>
      <c r="X2" s="101"/>
      <c r="Y2" s="101"/>
    </row>
    <row r="3" spans="1:25" ht="25.5" thickBot="1" x14ac:dyDescent="0.3">
      <c r="A3" s="101"/>
      <c r="B3" s="101"/>
      <c r="C3" s="366"/>
      <c r="D3" s="367" t="s">
        <v>2</v>
      </c>
      <c r="E3" s="368" t="s">
        <v>3</v>
      </c>
      <c r="F3" s="368" t="s">
        <v>4</v>
      </c>
      <c r="G3" s="368" t="s">
        <v>5</v>
      </c>
      <c r="H3" s="368" t="s">
        <v>6</v>
      </c>
      <c r="I3" s="368" t="s">
        <v>7</v>
      </c>
      <c r="J3" s="368" t="s">
        <v>8</v>
      </c>
      <c r="K3" s="368" t="s">
        <v>9</v>
      </c>
      <c r="L3" s="368" t="s">
        <v>10</v>
      </c>
      <c r="M3" s="368" t="s">
        <v>11</v>
      </c>
      <c r="N3" s="368" t="s">
        <v>12</v>
      </c>
      <c r="O3" s="368" t="s">
        <v>13</v>
      </c>
      <c r="P3" s="369" t="s">
        <v>14</v>
      </c>
      <c r="Q3" s="368" t="s">
        <v>15</v>
      </c>
      <c r="R3" s="370" t="s">
        <v>16</v>
      </c>
      <c r="S3" s="371" t="s">
        <v>17</v>
      </c>
      <c r="T3" s="595" t="s">
        <v>889</v>
      </c>
      <c r="U3" s="397" t="s">
        <v>216</v>
      </c>
      <c r="V3" s="101"/>
      <c r="W3" s="101"/>
      <c r="X3" s="101"/>
      <c r="Y3" s="101"/>
    </row>
    <row r="4" spans="1:25" x14ac:dyDescent="0.25">
      <c r="A4" s="101"/>
      <c r="B4" s="101"/>
      <c r="C4" s="373" t="s">
        <v>217</v>
      </c>
      <c r="D4" s="374" t="s">
        <v>18</v>
      </c>
      <c r="E4" s="375" t="s">
        <v>19</v>
      </c>
      <c r="F4" s="375" t="s">
        <v>20</v>
      </c>
      <c r="G4" s="375" t="s">
        <v>21</v>
      </c>
      <c r="H4" s="375" t="s">
        <v>218</v>
      </c>
      <c r="I4" s="375" t="s">
        <v>23</v>
      </c>
      <c r="J4" s="375" t="s">
        <v>24</v>
      </c>
      <c r="K4" s="375" t="s">
        <v>25</v>
      </c>
      <c r="L4" s="375" t="s">
        <v>26</v>
      </c>
      <c r="M4" s="376">
        <v>365</v>
      </c>
      <c r="N4" s="375" t="s">
        <v>28</v>
      </c>
      <c r="O4" s="375" t="s">
        <v>29</v>
      </c>
      <c r="P4" s="377" t="s">
        <v>219</v>
      </c>
      <c r="Q4" s="375" t="s">
        <v>31</v>
      </c>
      <c r="R4" s="378" t="s">
        <v>32</v>
      </c>
      <c r="S4" s="379">
        <v>239</v>
      </c>
      <c r="T4" s="596" t="s">
        <v>416</v>
      </c>
      <c r="U4" s="380"/>
      <c r="V4" s="101"/>
      <c r="W4" s="101"/>
      <c r="X4" s="101"/>
      <c r="Y4" s="101"/>
    </row>
    <row r="5" spans="1:25" ht="13" thickBot="1" x14ac:dyDescent="0.3">
      <c r="A5" s="101"/>
      <c r="B5" s="101"/>
      <c r="C5" s="381" t="s">
        <v>220</v>
      </c>
      <c r="D5" s="382" t="str">
        <f>IFERROR(INDEX('DEQ RBC REF'!$A$5:$J$265, MATCH('Worker REER'!D4, 'DEQ RBC REF'!$A$5:$A$265, 0), 7), "")</f>
        <v>--</v>
      </c>
      <c r="E5" s="103" t="str">
        <f>IFERROR(INDEX('DEQ RBC REF'!$A$5:$J$265, MATCH('Worker REER'!E4, 'DEQ RBC REF'!$A$5:$A$265, 0), 7), "")</f>
        <v/>
      </c>
      <c r="F5" s="103">
        <f>IFERROR(INDEX('DEQ RBC REF'!$A$5:$J$265, MATCH('Worker REER'!F4, 'DEQ RBC REF'!$A$5:$A$265, 0), 7), "")</f>
        <v>1.0833333333333334E-2</v>
      </c>
      <c r="G5" s="103">
        <f>IFERROR(INDEX('DEQ RBC REF'!$A$5:$J$265, MATCH('Worker REER'!G4, 'DEQ RBC REF'!$A$5:$A$265, 0), 7), "")</f>
        <v>1.4444444444444444E-2</v>
      </c>
      <c r="H5" s="103" t="str">
        <f>IFERROR(INDEX('DEQ RBC REF'!$A$5:$J$265, MATCH('Worker REER'!H4, 'DEQ RBC REF'!$A$5:$A$265, 0), 7), "")</f>
        <v>--</v>
      </c>
      <c r="I5" s="103" t="str">
        <f>IFERROR(INDEX('DEQ RBC REF'!$A$5:$J$265, MATCH('Worker REER'!I4, 'DEQ RBC REF'!$A$5:$A$265, 0), 7), "")</f>
        <v/>
      </c>
      <c r="J5" s="103">
        <v>5.1999999999999995E-4</v>
      </c>
      <c r="K5" s="103" t="str">
        <f>IFERROR(INDEX('DEQ RBC REF'!$A$5:$J$265, MATCH('Worker REER'!K4, 'DEQ RBC REF'!$A$5:$A$265, 0), 7), "")</f>
        <v>--</v>
      </c>
      <c r="L5" s="103" t="str">
        <f>IFERROR(INDEX('DEQ RBC REF'!$A$5:$J$265, MATCH('Worker REER'!L4, 'DEQ RBC REF'!$A$5:$A$265, 0), 7), "")</f>
        <v>--</v>
      </c>
      <c r="M5" s="103">
        <v>0.1</v>
      </c>
      <c r="N5" s="103" t="str">
        <f>IFERROR(INDEX('DEQ RBC REF'!$A$5:$J$265, MATCH('Worker REER'!N4, 'DEQ RBC REF'!$A$5:$A$265, 0), 7), "")</f>
        <v/>
      </c>
      <c r="O5" s="103" t="str">
        <f>IFERROR(INDEX('DEQ RBC REF'!$A$5:$J$265, MATCH('Worker REER'!O4, 'DEQ RBC REF'!$A$5:$A$265, 0), 7), "")</f>
        <v>--</v>
      </c>
      <c r="P5" s="103" t="str">
        <f>IFERROR(INDEX('DEQ RBC REF'!$A$5:$J$265, MATCH('Worker REER'!P4, 'DEQ RBC REF'!$A$5:$A$265, 0), 7), "")</f>
        <v>--</v>
      </c>
      <c r="Q5" s="103" t="str">
        <f>IFERROR(INDEX('DEQ RBC REF'!$A$5:$J$265, MATCH('Worker REER'!Q4, 'DEQ RBC REF'!$A$5:$A$265, 0), 7), "")</f>
        <v>--</v>
      </c>
      <c r="R5" s="383" t="str">
        <f>IFERROR(INDEX('DEQ RBC REF'!$A$5:$J$265, MATCH('Worker REER'!R4, 'DEQ RBC REF'!$A$5:$A$265, 0), 7), "")</f>
        <v/>
      </c>
      <c r="S5" s="229" t="str">
        <f>IFERROR(INDEX('DEQ RBC REF'!$A$5:$J$265, MATCH('Worker REER'!S4, 'DEQ RBC REF'!$A$5:$A$265, 0), 7), "")</f>
        <v>--</v>
      </c>
      <c r="T5" s="597" t="str">
        <f>IFERROR(INDEX('DEQ RBC REF'!$A$5:$K$265, MATCH('Acute REER'!T4, 'DEQ RBC REF'!$A$5:$A$265, 0), 11), "")</f>
        <v/>
      </c>
      <c r="U5" s="384"/>
      <c r="V5" s="101"/>
      <c r="W5" s="101"/>
      <c r="X5" s="101"/>
      <c r="Y5" s="101"/>
    </row>
    <row r="6" spans="1:25" ht="13" thickBot="1" x14ac:dyDescent="0.3">
      <c r="A6" s="101"/>
      <c r="B6" s="641" t="s">
        <v>225</v>
      </c>
      <c r="C6" s="307" t="s">
        <v>198</v>
      </c>
      <c r="D6" s="403" t="str">
        <f ca="1">IFERROR('Boiler Emissions'!D33/D5, "")</f>
        <v/>
      </c>
      <c r="E6" s="386" t="str">
        <f>IFERROR('Boiler Emissions'!E33/E5, "")</f>
        <v/>
      </c>
      <c r="F6" s="386">
        <f ca="1">IFERROR('Boiler Emissions'!F33/F5, "")</f>
        <v>0</v>
      </c>
      <c r="G6" s="386">
        <f ca="1">IFERROR('Boiler Emissions'!G33/G5, "")</f>
        <v>0</v>
      </c>
      <c r="H6" s="174" t="str">
        <f ca="1">IFERROR('Boiler Emissions'!H33/H5, "")</f>
        <v/>
      </c>
      <c r="I6" s="174" t="str">
        <f ca="1">IFERROR('Boiler Emissions'!I33/I5, "")</f>
        <v/>
      </c>
      <c r="J6" s="387">
        <f ca="1">IFERROR('Boiler Emissions'!J33/J5, "")</f>
        <v>0.88924438269230877</v>
      </c>
      <c r="K6" s="387" t="str">
        <f ca="1">IFERROR('Boiler Emissions'!K33/K5, "")</f>
        <v/>
      </c>
      <c r="L6" s="387" t="str">
        <f ca="1">IFERROR('Boiler Emissions'!L33/L5, "")</f>
        <v/>
      </c>
      <c r="M6" s="387">
        <f ca="1">IFERROR('Boiler Emissions'!M33/M5, "")</f>
        <v>0.23618292360000021</v>
      </c>
      <c r="N6" s="174" t="str">
        <f ca="1">IFERROR('Boiler Emissions'!N33/N5, "")</f>
        <v/>
      </c>
      <c r="O6" s="174" t="str">
        <f ca="1">IFERROR('Boiler Emissions'!O33/O5, "")</f>
        <v/>
      </c>
      <c r="P6" s="174" t="str">
        <f ca="1">IFERROR('Boiler Emissions'!P33/P5, "")</f>
        <v/>
      </c>
      <c r="Q6" s="174" t="str">
        <f ca="1">IFERROR('Boiler Emissions'!Q33/Q5, "")</f>
        <v/>
      </c>
      <c r="R6" s="388" t="str">
        <f ca="1">IFERROR('Boiler Emissions'!R33/R5, "")</f>
        <v/>
      </c>
      <c r="S6" s="389" t="str">
        <f ca="1">IFERROR('Boiler Emissions'!S33/S5, "")</f>
        <v/>
      </c>
      <c r="T6" s="598"/>
      <c r="U6" s="390">
        <f ca="1">SUM(D6:S6)</f>
        <v>1.125427306292309</v>
      </c>
      <c r="V6" s="101"/>
      <c r="W6" s="101"/>
      <c r="X6" s="101"/>
      <c r="Y6" s="101"/>
    </row>
    <row r="7" spans="1:25" x14ac:dyDescent="0.25">
      <c r="A7" s="101"/>
      <c r="B7" s="641"/>
      <c r="C7" s="373" t="s">
        <v>199</v>
      </c>
      <c r="D7" s="300" t="str">
        <f ca="1">IFERROR('In-Shop Emissions'!D33/D5, "")</f>
        <v/>
      </c>
      <c r="E7" s="97" t="str">
        <f>IFERROR('In-Shop Emissions'!E33/E5, "")</f>
        <v/>
      </c>
      <c r="F7" s="97">
        <f ca="1">IFERROR('In-Shop Emissions'!F33/F5, "")</f>
        <v>0</v>
      </c>
      <c r="G7" s="97">
        <f ca="1">IFERROR('In-Shop Emissions'!G33/G5, "")</f>
        <v>0</v>
      </c>
      <c r="H7" s="97" t="str">
        <f ca="1">IFERROR('In-Shop Emissions'!H33/H5, "")</f>
        <v/>
      </c>
      <c r="I7" s="97" t="str">
        <f ca="1">IFERROR('In-Shop Emissions'!I33/I5, "")</f>
        <v/>
      </c>
      <c r="J7" s="392">
        <f ca="1">IFERROR('In-Shop Emissions'!J33/J5, "")</f>
        <v>0.96260367692307802</v>
      </c>
      <c r="K7" s="391" t="str">
        <f ca="1">IFERROR('In-Shop Emissions'!K33/K5, "")</f>
        <v/>
      </c>
      <c r="L7" s="391" t="str">
        <f ca="1">IFERROR('In-Shop Emissions'!L33/L5, "")</f>
        <v/>
      </c>
      <c r="M7" s="407">
        <f ca="1">IFERROR('In-Shop Emissions'!M33/M5, "")</f>
        <v>1.1166556800000012E-2</v>
      </c>
      <c r="N7" s="97" t="str">
        <f ca="1">IFERROR('In-Shop Emissions'!N33/N5, "")</f>
        <v/>
      </c>
      <c r="O7" s="97" t="str">
        <f ca="1">IFERROR('In-Shop Emissions'!O33/O5, "")</f>
        <v/>
      </c>
      <c r="P7" s="97" t="str">
        <f ca="1">IFERROR('In-Shop Emissions'!P33/P5, "")</f>
        <v/>
      </c>
      <c r="Q7" s="97" t="str">
        <f ca="1">IFERROR('In-Shop Emissions'!Q33/Q5, "")</f>
        <v/>
      </c>
      <c r="R7" s="301" t="str">
        <f ca="1">IFERROR('In-Shop Emissions'!R33/R5, "")</f>
        <v/>
      </c>
      <c r="S7" s="281" t="str">
        <f ca="1">IFERROR('In-Shop Emissions'!S33/S5, "")</f>
        <v/>
      </c>
      <c r="T7" s="599"/>
      <c r="U7" s="393">
        <f t="shared" ref="U7:U9" ca="1" si="0">SUM(D7:S7)</f>
        <v>0.97377023372307803</v>
      </c>
      <c r="V7" s="101"/>
      <c r="W7" s="101"/>
      <c r="X7" s="101"/>
      <c r="Y7" s="101"/>
    </row>
    <row r="8" spans="1:25" x14ac:dyDescent="0.25">
      <c r="A8" s="101"/>
      <c r="B8" s="642"/>
      <c r="C8" s="373" t="s">
        <v>200</v>
      </c>
      <c r="D8" s="300" t="str">
        <f ca="1">IFERROR('Boiler Building Emissions'!D33/D5, "")</f>
        <v/>
      </c>
      <c r="E8" s="97" t="str">
        <f>IFERROR('Boiler Building Emissions'!E33/E5, "")</f>
        <v/>
      </c>
      <c r="F8" s="97">
        <f ca="1">IFERROR('Boiler Building Emissions'!F33/F5, "")</f>
        <v>0</v>
      </c>
      <c r="G8" s="97">
        <f ca="1">IFERROR('Boiler Building Emissions'!G33/G5, "")</f>
        <v>0</v>
      </c>
      <c r="H8" s="97" t="str">
        <f ca="1">IFERROR('Boiler Building Emissions'!H33/H5, "")</f>
        <v/>
      </c>
      <c r="I8" s="97" t="str">
        <f ca="1">IFERROR('Boiler Building Emissions'!I33/I5, "")</f>
        <v/>
      </c>
      <c r="J8" s="391">
        <f ca="1">IFERROR('Boiler Building Emissions'!J33/J5, "")</f>
        <v>12.093314348076927</v>
      </c>
      <c r="K8" s="391" t="str">
        <f ca="1">IFERROR('Boiler Building Emissions'!K33/K5, "")</f>
        <v/>
      </c>
      <c r="L8" s="391" t="str">
        <f ca="1">IFERROR('Boiler Building Emissions'!L33/L5, "")</f>
        <v/>
      </c>
      <c r="M8" s="391">
        <f ca="1">IFERROR('Boiler Building Emissions'!M33/M5, "")</f>
        <v>0.1384158204</v>
      </c>
      <c r="N8" s="97" t="str">
        <f ca="1">IFERROR('Boiler Building Emissions'!N33/N5, "")</f>
        <v/>
      </c>
      <c r="O8" s="97" t="str">
        <f ca="1">IFERROR('Boiler Building Emissions'!O33/O5, "")</f>
        <v/>
      </c>
      <c r="P8" s="97" t="str">
        <f ca="1">IFERROR('Boiler Building Emissions'!P33/P5, "")</f>
        <v/>
      </c>
      <c r="Q8" s="97" t="str">
        <f ca="1">IFERROR('Boiler Building Emissions'!Q33/Q5, "")</f>
        <v/>
      </c>
      <c r="R8" s="301" t="str">
        <f ca="1">IFERROR('Boiler Building Emissions'!R33/R5, "")</f>
        <v/>
      </c>
      <c r="S8" s="281" t="str">
        <f ca="1">IFERROR('Boiler Building Emissions'!S33/S5, "")</f>
        <v/>
      </c>
      <c r="T8" s="599"/>
      <c r="U8" s="393">
        <f t="shared" ca="1" si="0"/>
        <v>12.231730168476927</v>
      </c>
      <c r="V8" s="101"/>
      <c r="W8" s="101"/>
      <c r="X8" s="101"/>
      <c r="Y8" s="101"/>
    </row>
    <row r="9" spans="1:25" ht="13" thickBot="1" x14ac:dyDescent="0.3">
      <c r="A9" s="101"/>
      <c r="B9" s="643"/>
      <c r="C9" s="381" t="s">
        <v>201</v>
      </c>
      <c r="D9" s="409" t="str">
        <f ca="1">IFERROR('Outside Emissions'!D33/D5, "")</f>
        <v/>
      </c>
      <c r="E9" s="394" t="str">
        <f>IFERROR('Outside Emissions'!E33/E5, "")</f>
        <v/>
      </c>
      <c r="F9" s="394">
        <f ca="1">IFERROR('Outside Emissions'!F33/F5, "")</f>
        <v>0</v>
      </c>
      <c r="G9" s="394">
        <f ca="1">IFERROR('Outside Emissions'!G33/G5, "")</f>
        <v>0</v>
      </c>
      <c r="H9" s="103" t="str">
        <f ca="1">IFERROR('Outside Emissions'!H33/H5, "")</f>
        <v/>
      </c>
      <c r="I9" s="103" t="str">
        <f ca="1">IFERROR('Outside Emissions'!I33/I5, "")</f>
        <v/>
      </c>
      <c r="J9" s="411">
        <f ca="1">IFERROR('Outside Emissions'!J33/J5, "")</f>
        <v>0.12215469038461542</v>
      </c>
      <c r="K9" s="395" t="str">
        <f ca="1">IFERROR('Outside Emissions'!K33/K5, "")</f>
        <v/>
      </c>
      <c r="L9" s="395" t="str">
        <f ca="1">IFERROR('Outside Emissions'!L33/L5, "")</f>
        <v/>
      </c>
      <c r="M9" s="411">
        <f ca="1">IFERROR('Outside Emissions'!M33/M5, "")</f>
        <v>1.3981396000000003E-3</v>
      </c>
      <c r="N9" s="103" t="str">
        <f ca="1">IFERROR('Outside Emissions'!N33/N5, "")</f>
        <v/>
      </c>
      <c r="O9" s="103" t="str">
        <f ca="1">IFERROR('Outside Emissions'!O33/O5, "")</f>
        <v/>
      </c>
      <c r="P9" s="103" t="str">
        <f ca="1">IFERROR('Outside Emissions'!P33/P5, "")</f>
        <v/>
      </c>
      <c r="Q9" s="103" t="str">
        <f ca="1">IFERROR('Outside Emissions'!Q33/Q5, "")</f>
        <v/>
      </c>
      <c r="R9" s="383" t="str">
        <f ca="1">IFERROR('Outside Emissions'!R33/R5, "")</f>
        <v/>
      </c>
      <c r="S9" s="229" t="str">
        <f ca="1">IFERROR('Outside Emissions'!S33/S5, "")</f>
        <v/>
      </c>
      <c r="T9" s="600"/>
      <c r="U9" s="396">
        <f t="shared" ca="1" si="0"/>
        <v>0.12355282998461542</v>
      </c>
      <c r="V9" s="101"/>
      <c r="W9" s="101"/>
      <c r="X9" s="101"/>
      <c r="Y9" s="101"/>
    </row>
    <row r="10" spans="1:25" x14ac:dyDescent="0.25">
      <c r="A10" s="101"/>
      <c r="B10" s="101"/>
      <c r="C10" s="101"/>
      <c r="D10" s="190"/>
      <c r="E10" s="190"/>
      <c r="F10" s="190"/>
      <c r="G10" s="190"/>
      <c r="H10" s="190"/>
      <c r="I10" s="190"/>
      <c r="J10" s="190"/>
      <c r="K10" s="190"/>
      <c r="L10" s="190"/>
      <c r="M10" s="190"/>
      <c r="N10" s="190"/>
      <c r="O10" s="190"/>
      <c r="P10" s="190"/>
      <c r="Q10" s="190"/>
      <c r="R10" s="190"/>
      <c r="S10" s="190"/>
      <c r="T10" s="190"/>
      <c r="U10" s="190"/>
      <c r="V10" s="101"/>
      <c r="W10" s="101"/>
      <c r="X10" s="101"/>
      <c r="Y10" s="101"/>
    </row>
    <row r="11" spans="1:25" x14ac:dyDescent="0.25">
      <c r="A11" s="101"/>
      <c r="B11" s="101"/>
      <c r="C11" s="101"/>
      <c r="D11" s="190"/>
      <c r="E11" s="190"/>
      <c r="F11" s="190"/>
      <c r="G11" s="190"/>
      <c r="H11" s="190"/>
      <c r="I11" s="190"/>
      <c r="J11" s="190"/>
      <c r="K11" s="190"/>
      <c r="L11" s="190"/>
      <c r="M11" s="190"/>
      <c r="N11" s="190"/>
      <c r="O11" s="190"/>
      <c r="P11" s="190"/>
      <c r="Q11" s="190"/>
      <c r="R11" s="190"/>
      <c r="S11" s="190"/>
      <c r="T11" s="190"/>
      <c r="U11" s="190"/>
      <c r="V11" s="101"/>
      <c r="W11" s="101"/>
      <c r="X11" s="101"/>
      <c r="Y11" s="101"/>
    </row>
    <row r="12" spans="1:25" ht="13" thickBot="1" x14ac:dyDescent="0.3">
      <c r="A12" s="101"/>
      <c r="B12" s="101"/>
      <c r="C12" s="100" t="s">
        <v>226</v>
      </c>
      <c r="D12" s="190"/>
      <c r="E12" s="190"/>
      <c r="F12" s="190"/>
      <c r="G12" s="190"/>
      <c r="H12" s="190"/>
      <c r="I12" s="190"/>
      <c r="J12" s="190"/>
      <c r="K12" s="190"/>
      <c r="L12" s="190"/>
      <c r="M12" s="190"/>
      <c r="N12" s="190"/>
      <c r="O12" s="190"/>
      <c r="P12" s="190"/>
      <c r="Q12" s="190"/>
      <c r="R12" s="190"/>
      <c r="S12" s="190"/>
      <c r="T12" s="190"/>
      <c r="U12" s="190"/>
      <c r="V12" s="101"/>
      <c r="W12" s="101"/>
      <c r="X12" s="101"/>
      <c r="Y12" s="101"/>
    </row>
    <row r="13" spans="1:25" ht="25.5" thickBot="1" x14ac:dyDescent="0.3">
      <c r="A13" s="101"/>
      <c r="B13" s="362"/>
      <c r="C13" s="366"/>
      <c r="D13" s="233" t="s">
        <v>2</v>
      </c>
      <c r="E13" s="234" t="s">
        <v>3</v>
      </c>
      <c r="F13" s="234" t="s">
        <v>4</v>
      </c>
      <c r="G13" s="234" t="s">
        <v>5</v>
      </c>
      <c r="H13" s="234" t="s">
        <v>6</v>
      </c>
      <c r="I13" s="234" t="s">
        <v>7</v>
      </c>
      <c r="J13" s="234" t="s">
        <v>8</v>
      </c>
      <c r="K13" s="234" t="s">
        <v>9</v>
      </c>
      <c r="L13" s="234" t="s">
        <v>10</v>
      </c>
      <c r="M13" s="234" t="s">
        <v>11</v>
      </c>
      <c r="N13" s="234" t="s">
        <v>12</v>
      </c>
      <c r="O13" s="234" t="s">
        <v>13</v>
      </c>
      <c r="P13" s="235" t="s">
        <v>14</v>
      </c>
      <c r="Q13" s="234" t="s">
        <v>15</v>
      </c>
      <c r="R13" s="236" t="s">
        <v>16</v>
      </c>
      <c r="S13" s="371" t="s">
        <v>17</v>
      </c>
      <c r="T13" s="595" t="s">
        <v>889</v>
      </c>
      <c r="U13" s="372" t="s">
        <v>216</v>
      </c>
      <c r="V13" s="101"/>
      <c r="W13" s="101"/>
      <c r="X13" s="101"/>
      <c r="Y13" s="101"/>
    </row>
    <row r="14" spans="1:25" x14ac:dyDescent="0.25">
      <c r="A14" s="101"/>
      <c r="B14" s="362"/>
      <c r="C14" s="373" t="s">
        <v>217</v>
      </c>
      <c r="D14" s="374" t="s">
        <v>18</v>
      </c>
      <c r="E14" s="375" t="s">
        <v>19</v>
      </c>
      <c r="F14" s="375" t="s">
        <v>20</v>
      </c>
      <c r="G14" s="375" t="s">
        <v>21</v>
      </c>
      <c r="H14" s="375" t="s">
        <v>218</v>
      </c>
      <c r="I14" s="375" t="s">
        <v>23</v>
      </c>
      <c r="J14" s="375" t="s">
        <v>24</v>
      </c>
      <c r="K14" s="375" t="s">
        <v>25</v>
      </c>
      <c r="L14" s="375" t="s">
        <v>26</v>
      </c>
      <c r="M14" s="376">
        <v>365</v>
      </c>
      <c r="N14" s="375" t="s">
        <v>28</v>
      </c>
      <c r="O14" s="375" t="s">
        <v>29</v>
      </c>
      <c r="P14" s="377" t="s">
        <v>219</v>
      </c>
      <c r="Q14" s="375" t="s">
        <v>31</v>
      </c>
      <c r="R14" s="378" t="s">
        <v>32</v>
      </c>
      <c r="S14" s="379">
        <v>239</v>
      </c>
      <c r="T14" s="596" t="s">
        <v>416</v>
      </c>
      <c r="U14" s="380"/>
      <c r="V14" s="101"/>
      <c r="W14" s="101"/>
      <c r="X14" s="101"/>
      <c r="Y14" s="101"/>
    </row>
    <row r="15" spans="1:25" ht="13" thickBot="1" x14ac:dyDescent="0.3">
      <c r="A15" s="101"/>
      <c r="B15" s="364"/>
      <c r="C15" s="373" t="s">
        <v>223</v>
      </c>
      <c r="D15" s="398">
        <v>22</v>
      </c>
      <c r="E15" s="399" t="str">
        <f>IFERROR(INDEX('DEQ RBC REF'!$A$5:$J$265, MATCH('Worker REER'!E4, 'DEQ RBC REF'!$A$5:$A$265, 0), 8), "")</f>
        <v/>
      </c>
      <c r="F15" s="399">
        <f>IFERROR(INDEX('DEQ RBC REF'!$A$5:$J$265, MATCH('Worker REER'!F4, 'DEQ RBC REF'!$A$5:$A$265, 0), 8), "")</f>
        <v>3.0800000000000004E-2</v>
      </c>
      <c r="G15" s="399">
        <f>IFERROR(INDEX('DEQ RBC REF'!$A$5:$J$265, MATCH('Worker REER'!G4, 'DEQ RBC REF'!$A$5:$A$265, 0), 8), "")</f>
        <v>3.6666666666666667E-2</v>
      </c>
      <c r="H15" s="399">
        <v>0.44</v>
      </c>
      <c r="I15" s="399" t="str">
        <f>IFERROR(INDEX('DEQ RBC REF'!$A$5:$J$265, MATCH('Worker REER'!I4, 'DEQ RBC REF'!$A$5:$A$265, 0), 8), "")</f>
        <v/>
      </c>
      <c r="J15" s="399">
        <v>0.88</v>
      </c>
      <c r="K15" s="399" t="str">
        <f>IFERROR(INDEX('DEQ RBC REF'!$A$5:$J$265, MATCH('Worker REER'!K4, 'DEQ RBC REF'!$A$5:$A$265, 0), 8), "")</f>
        <v>--</v>
      </c>
      <c r="L15" s="399">
        <v>0.4</v>
      </c>
      <c r="M15" s="399">
        <v>6.2E-2</v>
      </c>
      <c r="N15" s="399" t="str">
        <f>IFERROR(INDEX('DEQ RBC REF'!$A$5:$J$265, MATCH('Worker REER'!N4, 'DEQ RBC REF'!$A$5:$A$265, 0), 8), "")</f>
        <v/>
      </c>
      <c r="O15" s="399">
        <f>IFERROR(INDEX('DEQ RBC REF'!$A$5:$J$265, MATCH('Worker REER'!O4, 'DEQ RBC REF'!$A$5:$A$265, 0), 8), "")</f>
        <v>0.66</v>
      </c>
      <c r="P15" s="399">
        <v>13</v>
      </c>
      <c r="Q15" s="399">
        <v>0.44</v>
      </c>
      <c r="R15" s="401" t="str">
        <f>IFERROR(INDEX('DEQ RBC REF'!$A$5:$J$265, MATCH('Worker REER'!R4, 'DEQ RBC REF'!$A$5:$A$265, 0), 8), "")</f>
        <v/>
      </c>
      <c r="S15" s="216">
        <v>20</v>
      </c>
      <c r="T15" s="597" t="str">
        <f>IFERROR(INDEX('DEQ RBC REF'!$A$5:$K$265, MATCH('Acute REER'!T14, 'DEQ RBC REF'!$A$5:$A$265, 0), 11), "")</f>
        <v/>
      </c>
      <c r="U15" s="402"/>
      <c r="V15" s="101"/>
      <c r="W15" s="101"/>
      <c r="X15" s="101"/>
      <c r="Y15" s="101"/>
    </row>
    <row r="16" spans="1:25" x14ac:dyDescent="0.25">
      <c r="A16" s="101"/>
      <c r="B16" s="641" t="s">
        <v>225</v>
      </c>
      <c r="C16" s="307" t="s">
        <v>198</v>
      </c>
      <c r="D16" s="403">
        <f ca="1">IFERROR('Boiler Emissions'!D33/D15, "")</f>
        <v>6.4927297662788241E-5</v>
      </c>
      <c r="E16" s="386" t="str">
        <f>IFERROR('Boiler Emissions'!E33/E15, "")</f>
        <v/>
      </c>
      <c r="F16" s="386">
        <f ca="1">IFERROR('Boiler Emissions'!F33/F15, "")</f>
        <v>0</v>
      </c>
      <c r="G16" s="386">
        <f ca="1">IFERROR('Boiler Emissions'!G33/G15, "")</f>
        <v>0</v>
      </c>
      <c r="H16" s="414">
        <f ca="1">IFERROR('Boiler Emissions'!H33/H15, "")</f>
        <v>3.5573112443181856E-2</v>
      </c>
      <c r="I16" s="387" t="str">
        <f ca="1">IFERROR('Boiler Emissions'!I33/I15, "")</f>
        <v/>
      </c>
      <c r="J16" s="184">
        <f ca="1">IFERROR('Boiler Emissions'!J33/J15, "")</f>
        <v>5.2546258977272781E-4</v>
      </c>
      <c r="K16" s="387" t="str">
        <f ca="1">IFERROR('Boiler Emissions'!K33/K15, "")</f>
        <v/>
      </c>
      <c r="L16" s="387">
        <f ca="1">IFERROR('Boiler Emissions'!L33/L15, "")</f>
        <v>1.3043616637500016E-2</v>
      </c>
      <c r="M16" s="387">
        <f ca="1">IFERROR('Boiler Emissions'!M33/M15, "")</f>
        <v>0.38094019935483908</v>
      </c>
      <c r="N16" s="174" t="str">
        <f ca="1">IFERROR('Boiler Emissions'!N33/N15, "")</f>
        <v/>
      </c>
      <c r="O16" s="386">
        <f ca="1">IFERROR('Boiler Emissions'!O33/O15, "")</f>
        <v>0</v>
      </c>
      <c r="P16" s="386">
        <f ca="1">IFERROR('Boiler Emissions'!P33/P15, "")</f>
        <v>1.0787228189882128E-4</v>
      </c>
      <c r="Q16" s="386">
        <f ca="1">IFERROR('Boiler Emissions'!Q33/Q15, "")</f>
        <v>2.1611388252181841E-3</v>
      </c>
      <c r="R16" s="388" t="str">
        <f ca="1">IFERROR('Boiler Emissions'!R33/R15, "")</f>
        <v/>
      </c>
      <c r="S16" s="389">
        <f ca="1">IFERROR('Boiler Emissions'!S33/S15, "")</f>
        <v>2.4685185054342707E-6</v>
      </c>
      <c r="T16" s="598"/>
      <c r="U16" s="390">
        <f ca="1">SUM(D16:S16)</f>
        <v>0.43241879794857896</v>
      </c>
      <c r="V16" s="101"/>
      <c r="W16" s="101"/>
      <c r="X16" s="101"/>
      <c r="Y16" s="101"/>
    </row>
    <row r="17" spans="1:25" x14ac:dyDescent="0.25">
      <c r="A17" s="101"/>
      <c r="B17" s="642"/>
      <c r="C17" s="373" t="s">
        <v>199</v>
      </c>
      <c r="D17" s="300">
        <f ca="1">IFERROR('In-Shop Emissions'!D33/D15, "")</f>
        <v>2.0272540295781797E-6</v>
      </c>
      <c r="E17" s="97" t="str">
        <f>IFERROR('In-Shop Emissions'!E33/E15, "")</f>
        <v/>
      </c>
      <c r="F17" s="97">
        <f ca="1">IFERROR('In-Shop Emissions'!F33/F15, "")</f>
        <v>0</v>
      </c>
      <c r="G17" s="97">
        <f ca="1">IFERROR('In-Shop Emissions'!G33/G15, "")</f>
        <v>0</v>
      </c>
      <c r="H17" s="415">
        <f ca="1">IFERROR('In-Shop Emissions'!H33/H15, "")</f>
        <v>1.9779545454545471E-5</v>
      </c>
      <c r="I17" s="391" t="str">
        <f ca="1">IFERROR('In-Shop Emissions'!I33/I15, "")</f>
        <v/>
      </c>
      <c r="J17" s="408">
        <f ca="1">IFERROR('In-Shop Emissions'!J33/J15, "")</f>
        <v>5.6881126363636427E-4</v>
      </c>
      <c r="K17" s="391" t="str">
        <f ca="1">IFERROR('In-Shop Emissions'!K33/K15, "")</f>
        <v/>
      </c>
      <c r="L17" s="407">
        <f ca="1">IFERROR('In-Shop Emissions'!L33/L15, "")</f>
        <v>1.5185221100000012E-2</v>
      </c>
      <c r="M17" s="407">
        <f ca="1">IFERROR('In-Shop Emissions'!M33/M15, "")</f>
        <v>1.8010575483870986E-2</v>
      </c>
      <c r="N17" s="97" t="str">
        <f ca="1">IFERROR('In-Shop Emissions'!N33/N15, "")</f>
        <v/>
      </c>
      <c r="O17" s="97">
        <f ca="1">IFERROR('In-Shop Emissions'!O33/O15, "")</f>
        <v>0</v>
      </c>
      <c r="P17" s="97">
        <f ca="1">IFERROR('In-Shop Emissions'!P33/P15, "")</f>
        <v>2.1288241718864798E-4</v>
      </c>
      <c r="Q17" s="97">
        <f ca="1">IFERROR('In-Shop Emissions'!Q33/Q15, "")</f>
        <v>2.6559894545454567E-5</v>
      </c>
      <c r="R17" s="301" t="str">
        <f ca="1">IFERROR('In-Shop Emissions'!R33/R15, "")</f>
        <v/>
      </c>
      <c r="S17" s="281">
        <f ca="1">IFERROR('In-Shop Emissions'!S33/S15, "")</f>
        <v>1.9748148043474165E-5</v>
      </c>
      <c r="T17" s="599"/>
      <c r="U17" s="393">
        <f t="shared" ref="U17:U19" ca="1" si="1">SUM(D17:S17)</f>
        <v>3.4045605106769065E-2</v>
      </c>
      <c r="V17" s="101"/>
      <c r="W17" s="101"/>
      <c r="X17" s="101"/>
      <c r="Y17" s="101"/>
    </row>
    <row r="18" spans="1:25" x14ac:dyDescent="0.25">
      <c r="A18" s="101"/>
      <c r="B18" s="642"/>
      <c r="C18" s="373" t="s">
        <v>200</v>
      </c>
      <c r="D18" s="300">
        <f ca="1">IFERROR('Boiler Building Emissions'!D33/D15, "")</f>
        <v>2.5087268616029948E-5</v>
      </c>
      <c r="E18" s="97" t="str">
        <f>IFERROR('Boiler Building Emissions'!E33/E15, "")</f>
        <v/>
      </c>
      <c r="F18" s="97">
        <f ca="1">IFERROR('Boiler Building Emissions'!F33/F15, "")</f>
        <v>0</v>
      </c>
      <c r="G18" s="97">
        <f ca="1">IFERROR('Boiler Building Emissions'!G33/G15, "")</f>
        <v>0</v>
      </c>
      <c r="H18" s="408">
        <f ca="1">IFERROR('Boiler Building Emissions'!H33/H15, "")</f>
        <v>2.4477187500000005E-4</v>
      </c>
      <c r="I18" s="391" t="str">
        <f ca="1">IFERROR('Boiler Building Emissions'!I33/I15, "")</f>
        <v/>
      </c>
      <c r="J18" s="185">
        <f ca="1">IFERROR('Boiler Building Emissions'!J33/J15, "")</f>
        <v>7.1460493875000015E-3</v>
      </c>
      <c r="K18" s="391" t="str">
        <f ca="1">IFERROR('Boiler Building Emissions'!K33/K15, "")</f>
        <v/>
      </c>
      <c r="L18" s="392">
        <f ca="1">IFERROR('Boiler Building Emissions'!L33/L15, "")</f>
        <v>0.20617667111249996</v>
      </c>
      <c r="M18" s="391">
        <f ca="1">IFERROR('Boiler Building Emissions'!M33/M15, "")</f>
        <v>0.22325132322580649</v>
      </c>
      <c r="N18" s="97" t="str">
        <f ca="1">IFERROR('Boiler Building Emissions'!N33/N15, "")</f>
        <v/>
      </c>
      <c r="O18" s="97">
        <f ca="1">IFERROR('Boiler Building Emissions'!O33/O15, "")</f>
        <v>0</v>
      </c>
      <c r="P18" s="97">
        <f ca="1">IFERROR('Boiler Building Emissions'!P33/P15, "")</f>
        <v>2.7256821207313894E-3</v>
      </c>
      <c r="Q18" s="97">
        <f ca="1">IFERROR('Boiler Building Emissions'!Q33/Q15, "")</f>
        <v>3.5092591739999997E-4</v>
      </c>
      <c r="R18" s="301" t="str">
        <f ca="1">IFERROR('Boiler Building Emissions'!R33/R15, "")</f>
        <v/>
      </c>
      <c r="S18" s="281">
        <f ca="1">IFERROR('Boiler Building Emissions'!S33/S15, "")</f>
        <v>2.4438333203799262E-4</v>
      </c>
      <c r="T18" s="599"/>
      <c r="U18" s="393">
        <f t="shared" ca="1" si="1"/>
        <v>0.44016489423959182</v>
      </c>
      <c r="V18" s="101"/>
      <c r="W18" s="101"/>
      <c r="X18" s="101"/>
      <c r="Y18" s="101"/>
    </row>
    <row r="19" spans="1:25" ht="13" thickBot="1" x14ac:dyDescent="0.3">
      <c r="A19" s="101"/>
      <c r="B19" s="643"/>
      <c r="C19" s="381" t="s">
        <v>201</v>
      </c>
      <c r="D19" s="409">
        <f ca="1">IFERROR('Outside Emissions'!D33/D15, "")</f>
        <v>2.5340675369727219E-7</v>
      </c>
      <c r="E19" s="394" t="str">
        <f>IFERROR('Outside Emissions'!E33/E15, "")</f>
        <v/>
      </c>
      <c r="F19" s="394">
        <f ca="1">IFERROR('Outside Emissions'!F33/F15, "")</f>
        <v>0</v>
      </c>
      <c r="G19" s="394">
        <f ca="1">IFERROR('Outside Emissions'!G33/G15, "")</f>
        <v>0</v>
      </c>
      <c r="H19" s="410">
        <f ca="1">IFERROR('Outside Emissions'!H33/H15, "")</f>
        <v>2.4724431818181822E-6</v>
      </c>
      <c r="I19" s="395" t="str">
        <f ca="1">IFERROR('Outside Emissions'!I33/I15, "")</f>
        <v/>
      </c>
      <c r="J19" s="416">
        <f ca="1">IFERROR('Outside Emissions'!J33/J15, "")</f>
        <v>7.2182317045454554E-5</v>
      </c>
      <c r="K19" s="395" t="str">
        <f ca="1">IFERROR('Outside Emissions'!K33/K15, "")</f>
        <v/>
      </c>
      <c r="L19" s="188">
        <f ca="1">IFERROR('Outside Emissions'!L33/L15, "")</f>
        <v>2.0825926375000001E-3</v>
      </c>
      <c r="M19" s="411">
        <f ca="1">IFERROR('Outside Emissions'!M33/M15, "")</f>
        <v>2.2550638709677427E-3</v>
      </c>
      <c r="N19" s="103" t="str">
        <f ca="1">IFERROR('Outside Emissions'!N33/N15, "")</f>
        <v/>
      </c>
      <c r="O19" s="394">
        <f ca="1">IFERROR('Outside Emissions'!O33/O15, "")</f>
        <v>0</v>
      </c>
      <c r="P19" s="394">
        <f ca="1">IFERROR('Outside Emissions'!P33/P15, "")</f>
        <v>2.7532142633650398E-5</v>
      </c>
      <c r="Q19" s="394">
        <f ca="1">IFERROR('Outside Emissions'!Q33/Q15, "")</f>
        <v>3.5447062363636366E-6</v>
      </c>
      <c r="R19" s="383" t="str">
        <f ca="1">IFERROR('Outside Emissions'!R33/R15, "")</f>
        <v/>
      </c>
      <c r="S19" s="229">
        <f ca="1">IFERROR('Outside Emissions'!S33/S15, "")</f>
        <v>2.468518505434269E-6</v>
      </c>
      <c r="T19" s="600"/>
      <c r="U19" s="396">
        <f t="shared" ca="1" si="1"/>
        <v>4.4461100428241623E-3</v>
      </c>
      <c r="V19" s="101"/>
      <c r="W19" s="101"/>
      <c r="X19" s="101"/>
      <c r="Y19" s="101"/>
    </row>
    <row r="20" spans="1:25" x14ac:dyDescent="0.25">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row>
    <row r="21" spans="1:25" x14ac:dyDescent="0.25">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row>
    <row r="22" spans="1:25" x14ac:dyDescent="0.25">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row>
    <row r="23" spans="1:25" x14ac:dyDescent="0.25">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row>
    <row r="24" spans="1:25" x14ac:dyDescent="0.25">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row>
    <row r="25" spans="1:25" x14ac:dyDescent="0.25">
      <c r="A25" s="101"/>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row>
    <row r="26" spans="1:25"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row>
    <row r="27" spans="1:25"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row>
    <row r="28" spans="1:25" x14ac:dyDescent="0.25">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row>
    <row r="29" spans="1:25" x14ac:dyDescent="0.25">
      <c r="A29" s="101"/>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row>
    <row r="30" spans="1:25" x14ac:dyDescent="0.25">
      <c r="A30" s="101"/>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row>
    <row r="31" spans="1:25" x14ac:dyDescent="0.25">
      <c r="A31" s="101"/>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row>
    <row r="32" spans="1:25" x14ac:dyDescent="0.25">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row>
    <row r="33" spans="1:25" x14ac:dyDescent="0.25">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row>
    <row r="34" spans="1:25" x14ac:dyDescent="0.25">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row>
  </sheetData>
  <mergeCells count="2">
    <mergeCell ref="B16:B19"/>
    <mergeCell ref="B6:B9"/>
  </mergeCells>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9AB7F-C4DF-452E-8BF2-91FB26C9C0CF}">
  <dimension ref="B2:U18"/>
  <sheetViews>
    <sheetView workbookViewId="0">
      <selection activeCell="Q27" sqref="Q27"/>
    </sheetView>
  </sheetViews>
  <sheetFormatPr defaultColWidth="9.1796875" defaultRowHeight="12.5" x14ac:dyDescent="0.25"/>
  <cols>
    <col min="1" max="2" width="9.1796875" style="101"/>
    <col min="3" max="3" width="21.453125" style="101" customWidth="1"/>
    <col min="4" max="4" width="17.453125" style="101" customWidth="1"/>
    <col min="5" max="5" width="14.453125" style="101" customWidth="1"/>
    <col min="6" max="6" width="13" style="101" customWidth="1"/>
    <col min="7" max="7" width="12.1796875" style="101" bestFit="1" customWidth="1"/>
    <col min="8" max="8" width="12" style="101" bestFit="1" customWidth="1"/>
    <col min="9" max="9" width="12" style="101" customWidth="1"/>
    <col min="10" max="10" width="15.54296875" style="101" customWidth="1"/>
    <col min="11" max="11" width="11.54296875" style="101" customWidth="1"/>
    <col min="12" max="12" width="11.1796875" style="101" customWidth="1"/>
    <col min="13" max="13" width="12.1796875" style="101" bestFit="1" customWidth="1"/>
    <col min="14" max="14" width="12.81640625" style="101" customWidth="1"/>
    <col min="15" max="15" width="12" style="101" customWidth="1"/>
    <col min="16" max="16" width="13.1796875" style="101" customWidth="1"/>
    <col min="17" max="18" width="11.1796875" style="101" customWidth="1"/>
    <col min="19" max="19" width="12.1796875" style="101" bestFit="1" customWidth="1"/>
    <col min="20" max="20" width="12.1796875" style="101" customWidth="1"/>
    <col min="21" max="21" width="10.1796875" style="101" bestFit="1" customWidth="1"/>
    <col min="22" max="16384" width="9.1796875" style="101"/>
  </cols>
  <sheetData>
    <row r="2" spans="2:21" ht="13" thickBot="1" x14ac:dyDescent="0.3">
      <c r="C2" s="100" t="s">
        <v>227</v>
      </c>
    </row>
    <row r="3" spans="2:21" ht="25.5" thickBot="1" x14ac:dyDescent="0.3">
      <c r="C3" s="366"/>
      <c r="D3" s="233" t="s">
        <v>2</v>
      </c>
      <c r="E3" s="234" t="s">
        <v>3</v>
      </c>
      <c r="F3" s="234" t="s">
        <v>4</v>
      </c>
      <c r="G3" s="234" t="s">
        <v>5</v>
      </c>
      <c r="H3" s="234" t="s">
        <v>6</v>
      </c>
      <c r="I3" s="234" t="s">
        <v>7</v>
      </c>
      <c r="J3" s="234" t="s">
        <v>8</v>
      </c>
      <c r="K3" s="234" t="s">
        <v>9</v>
      </c>
      <c r="L3" s="234" t="s">
        <v>10</v>
      </c>
      <c r="M3" s="234" t="s">
        <v>11</v>
      </c>
      <c r="N3" s="234" t="s">
        <v>12</v>
      </c>
      <c r="O3" s="234" t="s">
        <v>13</v>
      </c>
      <c r="P3" s="235" t="s">
        <v>14</v>
      </c>
      <c r="Q3" s="234" t="s">
        <v>15</v>
      </c>
      <c r="R3" s="236" t="s">
        <v>16</v>
      </c>
      <c r="S3" s="306" t="s">
        <v>17</v>
      </c>
      <c r="T3" s="595" t="s">
        <v>889</v>
      </c>
      <c r="U3" s="372" t="s">
        <v>216</v>
      </c>
    </row>
    <row r="4" spans="2:21" x14ac:dyDescent="0.25">
      <c r="C4" s="373" t="s">
        <v>217</v>
      </c>
      <c r="D4" s="374" t="s">
        <v>18</v>
      </c>
      <c r="E4" s="375" t="s">
        <v>19</v>
      </c>
      <c r="F4" s="375" t="s">
        <v>20</v>
      </c>
      <c r="G4" s="375" t="s">
        <v>21</v>
      </c>
      <c r="H4" s="375" t="s">
        <v>218</v>
      </c>
      <c r="I4" s="375" t="s">
        <v>23</v>
      </c>
      <c r="J4" s="375" t="s">
        <v>24</v>
      </c>
      <c r="K4" s="375" t="s">
        <v>25</v>
      </c>
      <c r="L4" s="375" t="s">
        <v>26</v>
      </c>
      <c r="M4" s="376">
        <v>365</v>
      </c>
      <c r="N4" s="375" t="s">
        <v>28</v>
      </c>
      <c r="O4" s="375" t="s">
        <v>29</v>
      </c>
      <c r="P4" s="377" t="s">
        <v>219</v>
      </c>
      <c r="Q4" s="375" t="s">
        <v>31</v>
      </c>
      <c r="R4" s="378" t="s">
        <v>32</v>
      </c>
      <c r="S4" s="379">
        <v>239</v>
      </c>
      <c r="T4" s="596" t="s">
        <v>416</v>
      </c>
      <c r="U4" s="380"/>
    </row>
    <row r="5" spans="2:21" ht="13" thickBot="1" x14ac:dyDescent="0.3">
      <c r="C5" s="381" t="s">
        <v>220</v>
      </c>
      <c r="D5" s="382" t="str">
        <f>IFERROR(INDEX('DEQ RBC REF'!$A$5:$J$265, MATCH('Worker REER'!D4, 'DEQ RBC REF'!$A$5:$A$265, 0), 9), "")</f>
        <v>--</v>
      </c>
      <c r="E5" s="103" t="str">
        <f>IFERROR(INDEX('DEQ RBC REF'!$A$5:$J$265, MATCH('Worker REER'!E4, 'DEQ RBC REF'!$A$5:$A$265, 0), 9), "")</f>
        <v/>
      </c>
      <c r="F5" s="103">
        <f>IFERROR(INDEX('DEQ RBC REF'!$A$5:$J$265, MATCH('Worker REER'!F4, 'DEQ RBC REF'!$A$5:$A$265, 0), 9), "")</f>
        <v>5.0000000000000001E-3</v>
      </c>
      <c r="G5" s="103">
        <f>IFERROR(INDEX('DEQ RBC REF'!$A$5:$J$265, MATCH('Worker REER'!G4, 'DEQ RBC REF'!$A$5:$A$265, 0), 9), "")</f>
        <v>6.6666666666666662E-3</v>
      </c>
      <c r="H5" s="103" t="str">
        <f>IFERROR(INDEX('DEQ RBC REF'!$A$5:$J$265, MATCH('Worker REER'!H4, 'DEQ RBC REF'!$A$5:$A$265, 0), 9), "")</f>
        <v>--</v>
      </c>
      <c r="I5" s="103" t="str">
        <f>IFERROR(INDEX('DEQ RBC REF'!$A$5:$J$265, MATCH('Worker REER'!I4, 'DEQ RBC REF'!$A$5:$A$265, 0), 9), "")</f>
        <v/>
      </c>
      <c r="J5" s="103">
        <v>1E-3</v>
      </c>
      <c r="K5" s="103" t="str">
        <f>IFERROR(INDEX('DEQ RBC REF'!$A$5:$J$265, MATCH('Worker REER'!K4, 'DEQ RBC REF'!$A$5:$A$265, 0), 9), "")</f>
        <v>--</v>
      </c>
      <c r="L5" s="103" t="str">
        <f>IFERROR(INDEX('DEQ RBC REF'!$A$5:$J$265, MATCH('Worker REER'!L4, 'DEQ RBC REF'!$A$5:$A$265, 0), 9), "")</f>
        <v>--</v>
      </c>
      <c r="M5" s="103">
        <v>4.5999999999999999E-2</v>
      </c>
      <c r="N5" s="103" t="str">
        <f>IFERROR(INDEX('DEQ RBC REF'!$A$5:$J$265, MATCH('Worker REER'!N4, 'DEQ RBC REF'!$A$5:$A$265, 0), 9), "")</f>
        <v/>
      </c>
      <c r="O5" s="103" t="str">
        <f>IFERROR(INDEX('DEQ RBC REF'!$A$5:$J$265, MATCH('Worker REER'!O4, 'DEQ RBC REF'!$A$5:$A$265, 0), 9), "")</f>
        <v>--</v>
      </c>
      <c r="P5" s="103" t="str">
        <f>IFERROR(INDEX('DEQ RBC REF'!$A$5:$J$265, MATCH('Worker REER'!P4, 'DEQ RBC REF'!$A$5:$A$265, 0), 9), "")</f>
        <v>--</v>
      </c>
      <c r="Q5" s="103" t="str">
        <f>IFERROR(INDEX('DEQ RBC REF'!$A$5:$J$265, MATCH('Worker REER'!Q4, 'DEQ RBC REF'!$A$5:$A$265, 0), 9), "")</f>
        <v>--</v>
      </c>
      <c r="R5" s="383" t="str">
        <f>IFERROR(INDEX('DEQ RBC REF'!$A$5:$J$265, MATCH('Worker REER'!R4, 'DEQ RBC REF'!$A$5:$A$265, 0), 9), "")</f>
        <v/>
      </c>
      <c r="S5" s="229" t="str">
        <f>IFERROR(INDEX('DEQ RBC REF'!$A$5:$J$265, MATCH('Worker REER'!S4, 'DEQ RBC REF'!$A$5:$A$265, 0), 9), "")</f>
        <v>--</v>
      </c>
      <c r="T5" s="597" t="str">
        <f>IFERROR(INDEX('DEQ RBC REF'!$A$5:$K$265, MATCH('Acute REER'!T4, 'DEQ RBC REF'!$A$5:$A$265, 0), 11), "")</f>
        <v/>
      </c>
      <c r="U5" s="384"/>
    </row>
    <row r="6" spans="2:21" ht="13" thickBot="1" x14ac:dyDescent="0.3">
      <c r="B6" s="641" t="s">
        <v>225</v>
      </c>
      <c r="C6" s="307" t="s">
        <v>198</v>
      </c>
      <c r="D6" s="403" t="str">
        <f ca="1">IFERROR('Boiler Emissions'!D33/'Worker REER'!D5, "")</f>
        <v/>
      </c>
      <c r="E6" s="386" t="str">
        <f>IFERROR('Boiler Emissions'!E33/'Worker REER'!E5, "")</f>
        <v/>
      </c>
      <c r="F6" s="386">
        <f ca="1">IFERROR('Boiler Emissions'!F33/'Worker REER'!F5, "")</f>
        <v>0</v>
      </c>
      <c r="G6" s="386">
        <f ca="1">IFERROR('Boiler Emissions'!G33/'Worker REER'!G5, "")</f>
        <v>0</v>
      </c>
      <c r="H6" s="386" t="str">
        <f ca="1">IFERROR('Boiler Emissions'!H33/'Worker REER'!H5, "")</f>
        <v/>
      </c>
      <c r="I6" s="386" t="str">
        <f ca="1">IFERROR('Boiler Emissions'!I33/'Worker REER'!I5, "")</f>
        <v/>
      </c>
      <c r="J6" s="387">
        <f ca="1">IFERROR('Boiler Emissions'!J33/'Worker REER'!J5, "")</f>
        <v>0.4624070790000005</v>
      </c>
      <c r="K6" s="387" t="str">
        <f ca="1">IFERROR('Boiler Emissions'!K33/'Worker REER'!K5, "")</f>
        <v/>
      </c>
      <c r="L6" s="387" t="str">
        <f ca="1">IFERROR('Boiler Emissions'!L33/'Worker REER'!L5, "")</f>
        <v/>
      </c>
      <c r="M6" s="387">
        <f ca="1">IFERROR('Boiler Emissions'!M33/'Worker REER'!M5, "")</f>
        <v>0.51344113826087001</v>
      </c>
      <c r="N6" s="386" t="str">
        <f ca="1">IFERROR('Boiler Emissions'!N33/'Worker REER'!N5, "")</f>
        <v/>
      </c>
      <c r="O6" s="386" t="str">
        <f ca="1">IFERROR('Boiler Emissions'!O33/'Worker REER'!O5, "")</f>
        <v/>
      </c>
      <c r="P6" s="386" t="str">
        <f ca="1">IFERROR('Boiler Emissions'!P33/'Worker REER'!P5, "")</f>
        <v/>
      </c>
      <c r="Q6" s="386" t="str">
        <f ca="1">IFERROR('Boiler Emissions'!Q33/'Worker REER'!Q5, "")</f>
        <v/>
      </c>
      <c r="R6" s="405" t="str">
        <f ca="1">IFERROR('Boiler Emissions'!R33/'Worker REER'!R5, "")</f>
        <v/>
      </c>
      <c r="S6" s="278" t="str">
        <f ca="1">IFERROR('Boiler Emissions'!S33/'Worker REER'!S5, "")</f>
        <v/>
      </c>
      <c r="T6" s="598"/>
      <c r="U6" s="390">
        <f ca="1">SUM(D6:S6)</f>
        <v>0.97584821726087045</v>
      </c>
    </row>
    <row r="7" spans="2:21" x14ac:dyDescent="0.25">
      <c r="B7" s="641"/>
      <c r="C7" s="373" t="s">
        <v>199</v>
      </c>
      <c r="D7" s="300" t="str">
        <f ca="1">IFERROR('In-Shop Emissions'!D33/'Worker REER'!D5, "")</f>
        <v/>
      </c>
      <c r="E7" s="97" t="str">
        <f>IFERROR('In-Shop Emissions'!E33/'Worker REER'!E5, "")</f>
        <v/>
      </c>
      <c r="F7" s="97">
        <f ca="1">IFERROR('In-Shop Emissions'!F33/'Worker REER'!F5, "")</f>
        <v>0</v>
      </c>
      <c r="G7" s="97">
        <f ca="1">IFERROR('In-Shop Emissions'!G33/'Worker REER'!G5, "")</f>
        <v>0</v>
      </c>
      <c r="H7" s="97" t="str">
        <f ca="1">IFERROR('In-Shop Emissions'!H33/'Worker REER'!H5, "")</f>
        <v/>
      </c>
      <c r="I7" s="97" t="str">
        <f ca="1">IFERROR('In-Shop Emissions'!I33/'Worker REER'!I5, "")</f>
        <v/>
      </c>
      <c r="J7" s="392">
        <f ca="1">IFERROR('In-Shop Emissions'!J33/'Worker REER'!J5, "")</f>
        <v>0.50055391200000054</v>
      </c>
      <c r="K7" s="391" t="str">
        <f ca="1">IFERROR('In-Shop Emissions'!K33/'Worker REER'!K5, "")</f>
        <v/>
      </c>
      <c r="L7" s="391" t="str">
        <f ca="1">IFERROR('In-Shop Emissions'!L33/'Worker REER'!L5, "")</f>
        <v/>
      </c>
      <c r="M7" s="407">
        <f ca="1">IFERROR('In-Shop Emissions'!M33/'Worker REER'!M5, "")</f>
        <v>2.4275123478260895E-2</v>
      </c>
      <c r="N7" s="97" t="str">
        <f ca="1">IFERROR('In-Shop Emissions'!N33/'Worker REER'!N5, "")</f>
        <v/>
      </c>
      <c r="O7" s="97" t="str">
        <f ca="1">IFERROR('In-Shop Emissions'!O33/'Worker REER'!O5, "")</f>
        <v/>
      </c>
      <c r="P7" s="97" t="str">
        <f ca="1">IFERROR('In-Shop Emissions'!P33/'Worker REER'!P5, "")</f>
        <v/>
      </c>
      <c r="Q7" s="97" t="str">
        <f ca="1">IFERROR('In-Shop Emissions'!Q33/'Worker REER'!Q5, "")</f>
        <v/>
      </c>
      <c r="R7" s="301" t="str">
        <f ca="1">IFERROR('In-Shop Emissions'!R33/'Worker REER'!R5, "")</f>
        <v/>
      </c>
      <c r="S7" s="281" t="str">
        <f ca="1">IFERROR('In-Shop Emissions'!S33/'Worker REER'!S5, "")</f>
        <v/>
      </c>
      <c r="T7" s="599"/>
      <c r="U7" s="393">
        <f t="shared" ref="U7:U9" ca="1" si="0">SUM(D7:S7)</f>
        <v>0.52482903547826143</v>
      </c>
    </row>
    <row r="8" spans="2:21" x14ac:dyDescent="0.25">
      <c r="B8" s="642"/>
      <c r="C8" s="373" t="s">
        <v>200</v>
      </c>
      <c r="D8" s="300" t="str">
        <f ca="1">IFERROR('Boiler Building Emissions'!D33/'Worker REER'!D5, "")</f>
        <v/>
      </c>
      <c r="E8" s="97" t="str">
        <f>IFERROR('Boiler Building Emissions'!E33/'Worker REER'!E5, "")</f>
        <v/>
      </c>
      <c r="F8" s="97">
        <f ca="1">IFERROR('Boiler Building Emissions'!F33/'Worker REER'!F5, "")</f>
        <v>0</v>
      </c>
      <c r="G8" s="97">
        <f ca="1">IFERROR('Boiler Building Emissions'!G33/'Worker REER'!G5, "")</f>
        <v>0</v>
      </c>
      <c r="H8" s="97" t="str">
        <f ca="1">IFERROR('Boiler Building Emissions'!H33/'Worker REER'!H5, "")</f>
        <v/>
      </c>
      <c r="I8" s="97" t="str">
        <f ca="1">IFERROR('Boiler Building Emissions'!I33/'Worker REER'!I5, "")</f>
        <v/>
      </c>
      <c r="J8" s="391">
        <f ca="1">IFERROR('Boiler Building Emissions'!J33/'Worker REER'!J5, "")</f>
        <v>6.2885234610000005</v>
      </c>
      <c r="K8" s="391" t="str">
        <f ca="1">IFERROR('Boiler Building Emissions'!K33/'Worker REER'!K5, "")</f>
        <v/>
      </c>
      <c r="L8" s="391" t="str">
        <f ca="1">IFERROR('Boiler Building Emissions'!L33/'Worker REER'!L5, "")</f>
        <v/>
      </c>
      <c r="M8" s="391">
        <f ca="1">IFERROR('Boiler Building Emissions'!M33/'Worker REER'!M5, "")</f>
        <v>0.30090395739130438</v>
      </c>
      <c r="N8" s="97" t="str">
        <f ca="1">IFERROR('Boiler Building Emissions'!N33/'Worker REER'!N5, "")</f>
        <v/>
      </c>
      <c r="O8" s="97" t="str">
        <f ca="1">IFERROR('Boiler Building Emissions'!O33/'Worker REER'!O5, "")</f>
        <v/>
      </c>
      <c r="P8" s="97" t="str">
        <f ca="1">IFERROR('Boiler Building Emissions'!P33/'Worker REER'!P5, "")</f>
        <v/>
      </c>
      <c r="Q8" s="97" t="str">
        <f ca="1">IFERROR('Boiler Building Emissions'!Q33/'Worker REER'!Q5, "")</f>
        <v/>
      </c>
      <c r="R8" s="301" t="str">
        <f ca="1">IFERROR('Boiler Building Emissions'!R33/'Worker REER'!R5, "")</f>
        <v/>
      </c>
      <c r="S8" s="281" t="str">
        <f ca="1">IFERROR('Boiler Building Emissions'!S33/'Worker REER'!S5, "")</f>
        <v/>
      </c>
      <c r="T8" s="599"/>
      <c r="U8" s="393">
        <f t="shared" ca="1" si="0"/>
        <v>6.5894274183913044</v>
      </c>
    </row>
    <row r="9" spans="2:21" ht="13" thickBot="1" x14ac:dyDescent="0.3">
      <c r="B9" s="643"/>
      <c r="C9" s="381" t="s">
        <v>201</v>
      </c>
      <c r="D9" s="409" t="str">
        <f ca="1">IFERROR('Outside Emissions'!D33/'Worker REER'!D5, "")</f>
        <v/>
      </c>
      <c r="E9" s="394" t="str">
        <f>IFERROR('Outside Emissions'!E33/'Worker REER'!E5, "")</f>
        <v/>
      </c>
      <c r="F9" s="394">
        <f ca="1">IFERROR('Outside Emissions'!F33/'Worker REER'!F5, "")</f>
        <v>0</v>
      </c>
      <c r="G9" s="394">
        <f ca="1">IFERROR('Outside Emissions'!G33/'Worker REER'!G5, "")</f>
        <v>0</v>
      </c>
      <c r="H9" s="394" t="str">
        <f ca="1">IFERROR('Outside Emissions'!H33/'Worker REER'!H5, "")</f>
        <v/>
      </c>
      <c r="I9" s="394" t="str">
        <f ca="1">IFERROR('Outside Emissions'!I33/'Worker REER'!I5, "")</f>
        <v/>
      </c>
      <c r="J9" s="411">
        <f ca="1">IFERROR('Outside Emissions'!J33/'Worker REER'!J5, "")</f>
        <v>6.3520439000000012E-2</v>
      </c>
      <c r="K9" s="395" t="str">
        <f ca="1">IFERROR('Outside Emissions'!K33/'Worker REER'!K5, "")</f>
        <v/>
      </c>
      <c r="L9" s="395" t="str">
        <f ca="1">IFERROR('Outside Emissions'!L33/'Worker REER'!L5, "")</f>
        <v/>
      </c>
      <c r="M9" s="411">
        <f ca="1">IFERROR('Outside Emissions'!M33/'Worker REER'!M5, "")</f>
        <v>3.0394339130434792E-3</v>
      </c>
      <c r="N9" s="394" t="str">
        <f ca="1">IFERROR('Outside Emissions'!N33/'Worker REER'!N5, "")</f>
        <v/>
      </c>
      <c r="O9" s="394" t="str">
        <f ca="1">IFERROR('Outside Emissions'!O33/'Worker REER'!O5, "")</f>
        <v/>
      </c>
      <c r="P9" s="394" t="str">
        <f ca="1">IFERROR('Outside Emissions'!P33/'Worker REER'!P5, "")</f>
        <v/>
      </c>
      <c r="Q9" s="394" t="str">
        <f ca="1">IFERROR('Outside Emissions'!Q33/'Worker REER'!Q5, "")</f>
        <v/>
      </c>
      <c r="R9" s="412" t="str">
        <f ca="1">IFERROR('Outside Emissions'!R33/'Worker REER'!R5, "")</f>
        <v/>
      </c>
      <c r="S9" s="413" t="str">
        <f ca="1">IFERROR('Outside Emissions'!S33/'Worker REER'!S5, "")</f>
        <v/>
      </c>
      <c r="T9" s="600"/>
      <c r="U9" s="396">
        <f t="shared" ca="1" si="0"/>
        <v>6.6559872913043494E-2</v>
      </c>
    </row>
    <row r="10" spans="2:21" x14ac:dyDescent="0.25">
      <c r="D10" s="190"/>
      <c r="E10" s="190"/>
      <c r="F10" s="190"/>
      <c r="G10" s="190"/>
      <c r="H10" s="190"/>
      <c r="I10" s="190"/>
      <c r="J10" s="190"/>
      <c r="K10" s="190"/>
      <c r="L10" s="190"/>
      <c r="M10" s="190"/>
      <c r="N10" s="190"/>
      <c r="O10" s="190"/>
      <c r="P10" s="190"/>
      <c r="Q10" s="190"/>
      <c r="R10" s="190"/>
      <c r="S10" s="190"/>
      <c r="T10" s="190"/>
      <c r="U10" s="190"/>
    </row>
    <row r="11" spans="2:21" ht="13" thickBot="1" x14ac:dyDescent="0.3">
      <c r="C11" s="100" t="s">
        <v>228</v>
      </c>
      <c r="D11" s="190"/>
      <c r="E11" s="190"/>
      <c r="F11" s="190"/>
      <c r="G11" s="190"/>
      <c r="H11" s="190"/>
      <c r="I11" s="190"/>
      <c r="J11" s="190"/>
      <c r="K11" s="190"/>
      <c r="L11" s="190"/>
      <c r="M11" s="190"/>
      <c r="N11" s="190"/>
      <c r="O11" s="190"/>
      <c r="P11" s="190"/>
      <c r="Q11" s="190"/>
      <c r="R11" s="190"/>
      <c r="S11" s="190"/>
      <c r="T11" s="190"/>
      <c r="U11" s="190"/>
    </row>
    <row r="12" spans="2:21" ht="25.5" thickBot="1" x14ac:dyDescent="0.3">
      <c r="C12" s="493"/>
      <c r="D12" s="417" t="s">
        <v>2</v>
      </c>
      <c r="E12" s="418" t="s">
        <v>3</v>
      </c>
      <c r="F12" s="418" t="s">
        <v>4</v>
      </c>
      <c r="G12" s="418" t="s">
        <v>5</v>
      </c>
      <c r="H12" s="418" t="s">
        <v>6</v>
      </c>
      <c r="I12" s="418" t="s">
        <v>7</v>
      </c>
      <c r="J12" s="418" t="s">
        <v>8</v>
      </c>
      <c r="K12" s="418" t="s">
        <v>9</v>
      </c>
      <c r="L12" s="418" t="s">
        <v>10</v>
      </c>
      <c r="M12" s="418" t="s">
        <v>11</v>
      </c>
      <c r="N12" s="418" t="s">
        <v>12</v>
      </c>
      <c r="O12" s="418" t="s">
        <v>13</v>
      </c>
      <c r="P12" s="419" t="s">
        <v>14</v>
      </c>
      <c r="Q12" s="418" t="s">
        <v>15</v>
      </c>
      <c r="R12" s="420" t="s">
        <v>16</v>
      </c>
      <c r="S12" s="306" t="s">
        <v>17</v>
      </c>
      <c r="T12" s="595" t="s">
        <v>889</v>
      </c>
      <c r="U12" s="421" t="s">
        <v>216</v>
      </c>
    </row>
    <row r="13" spans="2:21" x14ac:dyDescent="0.25">
      <c r="B13" s="362"/>
      <c r="C13" s="432" t="s">
        <v>217</v>
      </c>
      <c r="D13" s="374" t="s">
        <v>18</v>
      </c>
      <c r="E13" s="375" t="s">
        <v>19</v>
      </c>
      <c r="F13" s="375" t="s">
        <v>20</v>
      </c>
      <c r="G13" s="375" t="s">
        <v>21</v>
      </c>
      <c r="H13" s="375" t="s">
        <v>218</v>
      </c>
      <c r="I13" s="375" t="s">
        <v>23</v>
      </c>
      <c r="J13" s="375" t="s">
        <v>24</v>
      </c>
      <c r="K13" s="375" t="s">
        <v>25</v>
      </c>
      <c r="L13" s="375" t="s">
        <v>26</v>
      </c>
      <c r="M13" s="376">
        <v>365</v>
      </c>
      <c r="N13" s="375" t="s">
        <v>28</v>
      </c>
      <c r="O13" s="375" t="s">
        <v>29</v>
      </c>
      <c r="P13" s="377" t="s">
        <v>219</v>
      </c>
      <c r="Q13" s="375" t="s">
        <v>31</v>
      </c>
      <c r="R13" s="378" t="s">
        <v>32</v>
      </c>
      <c r="S13" s="379">
        <v>239</v>
      </c>
      <c r="T13" s="596" t="s">
        <v>416</v>
      </c>
      <c r="U13" s="380"/>
    </row>
    <row r="14" spans="2:21" ht="13" thickBot="1" x14ac:dyDescent="0.3">
      <c r="B14" s="364"/>
      <c r="C14" s="433" t="s">
        <v>223</v>
      </c>
      <c r="D14" s="382">
        <v>22</v>
      </c>
      <c r="E14" s="103" t="str">
        <f>IFERROR(INDEX('DEQ RBC REF'!$A$5:$J$265, MATCH('Worker REER'!E4, 'DEQ RBC REF'!$A$5:$A$265, 0), 10), "")</f>
        <v/>
      </c>
      <c r="F14" s="103">
        <f>IFERROR(INDEX('DEQ RBC REF'!$A$5:$J$265, MATCH('Worker REER'!F4, 'DEQ RBC REF'!$A$5:$A$265, 0), 10), "")</f>
        <v>3.0800000000000004E-2</v>
      </c>
      <c r="G14" s="103">
        <f>IFERROR(INDEX('DEQ RBC REF'!$A$5:$J$265, MATCH('Worker REER'!G4, 'DEQ RBC REF'!$A$5:$A$265, 0), 10), "")</f>
        <v>3.6666666666666674E-2</v>
      </c>
      <c r="H14" s="103">
        <v>0.44</v>
      </c>
      <c r="I14" s="103" t="str">
        <f>IFERROR(INDEX('DEQ RBC REF'!$A$5:$J$265, MATCH('Worker REER'!I4, 'DEQ RBC REF'!$A$5:$A$265, 0), 10), "")</f>
        <v/>
      </c>
      <c r="J14" s="103">
        <v>0.88</v>
      </c>
      <c r="K14" s="103" t="str">
        <f>IFERROR(INDEX('DEQ RBC REF'!$A$5:$J$265, MATCH('Worker REER'!K4, 'DEQ RBC REF'!$A$5:$A$265, 0), 10), "")</f>
        <v>--</v>
      </c>
      <c r="L14" s="103">
        <v>0.4</v>
      </c>
      <c r="M14" s="103">
        <v>6.2E-2</v>
      </c>
      <c r="N14" s="103" t="str">
        <f>IFERROR(INDEX('DEQ RBC REF'!$A$5:$J$265, MATCH('Worker REER'!N4, 'DEQ RBC REF'!$A$5:$A$265, 0), 10), "")</f>
        <v/>
      </c>
      <c r="O14" s="103">
        <f>IFERROR(INDEX('DEQ RBC REF'!$A$5:$J$265, MATCH('Worker REER'!O4, 'DEQ RBC REF'!$A$5:$A$265, 0), 10), "")</f>
        <v>0.66</v>
      </c>
      <c r="P14" s="103">
        <v>13</v>
      </c>
      <c r="Q14" s="103">
        <v>0.44</v>
      </c>
      <c r="R14" s="383" t="str">
        <f>IFERROR(INDEX('DEQ RBC REF'!$A$5:$J$265, MATCH('Worker REER'!R4, 'DEQ RBC REF'!$A$5:$A$265, 0), 10), "")</f>
        <v/>
      </c>
      <c r="S14" s="229">
        <v>20</v>
      </c>
      <c r="T14" s="597" t="str">
        <f>IFERROR(INDEX('DEQ RBC REF'!$A$5:$K$265, MATCH('Acute REER'!T13, 'DEQ RBC REF'!$A$5:$A$265, 0), 11), "")</f>
        <v/>
      </c>
      <c r="U14" s="384"/>
    </row>
    <row r="15" spans="2:21" ht="13" thickBot="1" x14ac:dyDescent="0.3">
      <c r="B15" s="641" t="s">
        <v>225</v>
      </c>
      <c r="C15" s="373" t="s">
        <v>198</v>
      </c>
      <c r="D15" s="422">
        <f ca="1">IFERROR('Boiler Emissions'!D33/'Worker REER'!D14, "")</f>
        <v>6.4927297662788241E-5</v>
      </c>
      <c r="E15" s="423" t="str">
        <f>IFERROR('Boiler Emissions'!E33/'Worker REER'!E14, "")</f>
        <v/>
      </c>
      <c r="F15" s="423">
        <f ca="1">IFERROR('Boiler Emissions'!F33/'Worker REER'!F14, "")</f>
        <v>0</v>
      </c>
      <c r="G15" s="423">
        <f ca="1">IFERROR('Boiler Emissions'!G33/'Worker REER'!G14, "")</f>
        <v>0</v>
      </c>
      <c r="H15" s="424">
        <f ca="1">IFERROR('Boiler Emissions'!H33/'Worker REER'!H14, "")</f>
        <v>3.5573112443181856E-2</v>
      </c>
      <c r="I15" s="425" t="str">
        <f ca="1">IFERROR('Boiler Emissions'!I33/'Worker REER'!I14, "")</f>
        <v/>
      </c>
      <c r="J15" s="426">
        <f ca="1">IFERROR('Boiler Emissions'!J33/'Worker REER'!J14, "")</f>
        <v>5.2546258977272781E-4</v>
      </c>
      <c r="K15" s="425" t="str">
        <f ca="1">IFERROR('Boiler Emissions'!K33/'Worker REER'!K14, "")</f>
        <v/>
      </c>
      <c r="L15" s="425">
        <f ca="1">IFERROR('Boiler Emissions'!L33/'Worker REER'!L14, "")</f>
        <v>1.3043616637500016E-2</v>
      </c>
      <c r="M15" s="425">
        <f ca="1">IFERROR('Boiler Emissions'!M33/'Worker REER'!M14, "")</f>
        <v>0.38094019935483908</v>
      </c>
      <c r="N15" s="423" t="str">
        <f ca="1">IFERROR('Boiler Emissions'!N33/'Worker REER'!N14, "")</f>
        <v/>
      </c>
      <c r="O15" s="423">
        <f ca="1">IFERROR('Boiler Emissions'!O33/'Worker REER'!O14, "")</f>
        <v>0</v>
      </c>
      <c r="P15" s="423">
        <f ca="1">IFERROR('Boiler Emissions'!P33/'Worker REER'!P14, "")</f>
        <v>1.0787228189882128E-4</v>
      </c>
      <c r="Q15" s="423">
        <f ca="1">IFERROR('Boiler Emissions'!Q33/'Worker REER'!Q14, "")</f>
        <v>2.1611388252181841E-3</v>
      </c>
      <c r="R15" s="427" t="str">
        <f ca="1">IFERROR('Boiler Emissions'!R33/'Worker REER'!R14, "")</f>
        <v/>
      </c>
      <c r="S15" s="428">
        <f ca="1">IFERROR('Boiler Emissions'!S33/'Worker REER'!S14, "")</f>
        <v>2.4685185054342707E-6</v>
      </c>
      <c r="T15" s="598"/>
      <c r="U15" s="429">
        <f ca="1">SUM(D15:S15)</f>
        <v>0.43241879794857896</v>
      </c>
    </row>
    <row r="16" spans="2:21" x14ac:dyDescent="0.25">
      <c r="B16" s="641"/>
      <c r="C16" s="430" t="s">
        <v>199</v>
      </c>
      <c r="D16" s="300">
        <f ca="1">IFERROR('In-Shop Emissions'!D33/'Worker REER'!D14, "")</f>
        <v>2.0272540295781797E-6</v>
      </c>
      <c r="E16" s="97" t="str">
        <f>IFERROR('In-Shop Emissions'!E33/'Worker REER'!E14, "")</f>
        <v/>
      </c>
      <c r="F16" s="97">
        <f ca="1">IFERROR('In-Shop Emissions'!F33/'Worker REER'!F14, "")</f>
        <v>0</v>
      </c>
      <c r="G16" s="97">
        <f ca="1">IFERROR('In-Shop Emissions'!G33/'Worker REER'!G14, "")</f>
        <v>0</v>
      </c>
      <c r="H16" s="415">
        <f ca="1">IFERROR('In-Shop Emissions'!H33/'Worker REER'!H14, "")</f>
        <v>1.9779545454545471E-5</v>
      </c>
      <c r="I16" s="391" t="str">
        <f ca="1">IFERROR('In-Shop Emissions'!I33/'Worker REER'!I14, "")</f>
        <v/>
      </c>
      <c r="J16" s="408">
        <f ca="1">IFERROR('In-Shop Emissions'!J33/'Worker REER'!J14, "")</f>
        <v>5.6881126363636427E-4</v>
      </c>
      <c r="K16" s="391" t="str">
        <f ca="1">IFERROR('In-Shop Emissions'!K33/'Worker REER'!K14, "")</f>
        <v/>
      </c>
      <c r="L16" s="407">
        <f ca="1">IFERROR('In-Shop Emissions'!L33/'Worker REER'!L14, "")</f>
        <v>1.5185221100000012E-2</v>
      </c>
      <c r="M16" s="407">
        <f ca="1">IFERROR('In-Shop Emissions'!M33/'Worker REER'!M14, "")</f>
        <v>1.8010575483870986E-2</v>
      </c>
      <c r="N16" s="97" t="str">
        <f ca="1">IFERROR('In-Shop Emissions'!N33/'Worker REER'!N14, "")</f>
        <v/>
      </c>
      <c r="O16" s="97">
        <f ca="1">IFERROR('In-Shop Emissions'!O33/'Worker REER'!O14, "")</f>
        <v>0</v>
      </c>
      <c r="P16" s="97">
        <f ca="1">IFERROR('In-Shop Emissions'!P33/'Worker REER'!P14, "")</f>
        <v>2.1288241718864798E-4</v>
      </c>
      <c r="Q16" s="97">
        <f ca="1">IFERROR('In-Shop Emissions'!Q33/'Worker REER'!Q14, "")</f>
        <v>2.6559894545454567E-5</v>
      </c>
      <c r="R16" s="301" t="str">
        <f ca="1">IFERROR('In-Shop Emissions'!R33/'Worker REER'!R14, "")</f>
        <v/>
      </c>
      <c r="S16" s="281">
        <f ca="1">IFERROR('In-Shop Emissions'!S33/'Worker REER'!S14, "")</f>
        <v>1.9748148043474165E-5</v>
      </c>
      <c r="T16" s="599"/>
      <c r="U16" s="429">
        <f t="shared" ref="U16:U18" ca="1" si="1">SUM(D16:S16)</f>
        <v>3.4045605106769065E-2</v>
      </c>
    </row>
    <row r="17" spans="2:21" x14ac:dyDescent="0.25">
      <c r="B17" s="642"/>
      <c r="C17" s="373" t="s">
        <v>200</v>
      </c>
      <c r="D17" s="300">
        <f ca="1">IFERROR('Boiler Building Emissions'!D33/'Worker REER'!D14, "")</f>
        <v>2.5087268616029948E-5</v>
      </c>
      <c r="E17" s="97" t="str">
        <f>IFERROR('Boiler Building Emissions'!E33/'Worker REER'!E14, "")</f>
        <v/>
      </c>
      <c r="F17" s="97">
        <f ca="1">IFERROR('Boiler Building Emissions'!F33/'Worker REER'!F14, "")</f>
        <v>0</v>
      </c>
      <c r="G17" s="97">
        <f ca="1">IFERROR('Boiler Building Emissions'!G33/'Worker REER'!G14, "")</f>
        <v>0</v>
      </c>
      <c r="H17" s="408">
        <f ca="1">IFERROR('Boiler Building Emissions'!H33/'Worker REER'!H14, "")</f>
        <v>2.4477187500000005E-4</v>
      </c>
      <c r="I17" s="391" t="str">
        <f ca="1">IFERROR('Boiler Building Emissions'!I33/'Worker REER'!I14, "")</f>
        <v/>
      </c>
      <c r="J17" s="185">
        <f ca="1">IFERROR('Boiler Building Emissions'!J33/'Worker REER'!J14, "")</f>
        <v>7.1460493875000015E-3</v>
      </c>
      <c r="K17" s="391" t="str">
        <f ca="1">IFERROR('Boiler Building Emissions'!K33/'Worker REER'!K14, "")</f>
        <v/>
      </c>
      <c r="L17" s="392">
        <f ca="1">IFERROR('Boiler Building Emissions'!L33/'Worker REER'!L14, "")</f>
        <v>0.20617667111249996</v>
      </c>
      <c r="M17" s="391">
        <f ca="1">IFERROR('Boiler Building Emissions'!M33/'Worker REER'!M14, "")</f>
        <v>0.22325132322580649</v>
      </c>
      <c r="N17" s="97" t="str">
        <f ca="1">IFERROR('Boiler Building Emissions'!N33/'Worker REER'!N14, "")</f>
        <v/>
      </c>
      <c r="O17" s="97">
        <f ca="1">IFERROR('Boiler Building Emissions'!O33/'Worker REER'!O14, "")</f>
        <v>0</v>
      </c>
      <c r="P17" s="97">
        <f ca="1">IFERROR('Boiler Building Emissions'!P33/'Worker REER'!P14, "")</f>
        <v>2.7256821207313894E-3</v>
      </c>
      <c r="Q17" s="97">
        <f ca="1">IFERROR('Boiler Building Emissions'!Q33/'Worker REER'!Q14, "")</f>
        <v>3.5092591739999997E-4</v>
      </c>
      <c r="R17" s="301" t="str">
        <f ca="1">IFERROR('Boiler Building Emissions'!R33/'Worker REER'!R14, "")</f>
        <v/>
      </c>
      <c r="S17" s="281">
        <f ca="1">IFERROR('Boiler Building Emissions'!S33/'Worker REER'!S14, "")</f>
        <v>2.4438333203799262E-4</v>
      </c>
      <c r="T17" s="599"/>
      <c r="U17" s="429">
        <f t="shared" ca="1" si="1"/>
        <v>0.44016489423959182</v>
      </c>
    </row>
    <row r="18" spans="2:21" ht="13" thickBot="1" x14ac:dyDescent="0.3">
      <c r="B18" s="643"/>
      <c r="C18" s="381" t="s">
        <v>201</v>
      </c>
      <c r="D18" s="409">
        <f ca="1">IFERROR('Outside Emissions'!D33/'Worker REER'!D14, "")</f>
        <v>2.5340675369727219E-7</v>
      </c>
      <c r="E18" s="394" t="str">
        <f>IFERROR('Outside Emissions'!E33/'Worker REER'!E14, "")</f>
        <v/>
      </c>
      <c r="F18" s="394">
        <f ca="1">IFERROR('Outside Emissions'!F33/'Worker REER'!F14, "")</f>
        <v>0</v>
      </c>
      <c r="G18" s="394">
        <f ca="1">IFERROR('Outside Emissions'!G33/'Worker REER'!G14, "")</f>
        <v>0</v>
      </c>
      <c r="H18" s="410">
        <f ca="1">IFERROR('Outside Emissions'!H33/'Worker REER'!H14, "")</f>
        <v>2.4724431818181822E-6</v>
      </c>
      <c r="I18" s="395" t="str">
        <f ca="1">IFERROR('Outside Emissions'!I33/'Worker REER'!I14, "")</f>
        <v/>
      </c>
      <c r="J18" s="416">
        <f ca="1">IFERROR('Outside Emissions'!J33/'Worker REER'!J14, "")</f>
        <v>7.2182317045454554E-5</v>
      </c>
      <c r="K18" s="395" t="str">
        <f ca="1">IFERROR('Outside Emissions'!K33/'Worker REER'!K14, "")</f>
        <v/>
      </c>
      <c r="L18" s="188">
        <f ca="1">IFERROR('Outside Emissions'!L33/'Worker REER'!L14, "")</f>
        <v>2.0825926375000001E-3</v>
      </c>
      <c r="M18" s="411">
        <f ca="1">IFERROR('Outside Emissions'!M33/'Worker REER'!M14, "")</f>
        <v>2.2550638709677427E-3</v>
      </c>
      <c r="N18" s="394" t="str">
        <f ca="1">IFERROR('Outside Emissions'!N33/'Worker REER'!N14, "")</f>
        <v/>
      </c>
      <c r="O18" s="394">
        <f ca="1">IFERROR('Outside Emissions'!O33/'Worker REER'!O14, "")</f>
        <v>0</v>
      </c>
      <c r="P18" s="394">
        <f ca="1">IFERROR('Outside Emissions'!P33/'Worker REER'!P14, "")</f>
        <v>2.7532142633650398E-5</v>
      </c>
      <c r="Q18" s="394">
        <f ca="1">IFERROR('Outside Emissions'!Q33/'Worker REER'!Q14, "")</f>
        <v>3.5447062363636366E-6</v>
      </c>
      <c r="R18" s="383" t="str">
        <f ca="1">IFERROR('Outside Emissions'!R33/'Worker REER'!R14, "")</f>
        <v/>
      </c>
      <c r="S18" s="229">
        <f ca="1">IFERROR('Outside Emissions'!S33/'Worker REER'!S14, "")</f>
        <v>2.468518505434269E-6</v>
      </c>
      <c r="T18" s="600"/>
      <c r="U18" s="431">
        <f t="shared" ca="1" si="1"/>
        <v>4.4461100428241623E-3</v>
      </c>
    </row>
  </sheetData>
  <mergeCells count="2">
    <mergeCell ref="B15:B18"/>
    <mergeCell ref="B6:B9"/>
  </mergeCells>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6B99E-88AF-452F-BECA-BCCD232D56B2}">
  <dimension ref="B2:W20"/>
  <sheetViews>
    <sheetView workbookViewId="0">
      <selection activeCell="K23" sqref="K23"/>
    </sheetView>
  </sheetViews>
  <sheetFormatPr defaultColWidth="9.1796875" defaultRowHeight="12.5" x14ac:dyDescent="0.25"/>
  <cols>
    <col min="1" max="2" width="9.1796875" style="290"/>
    <col min="3" max="3" width="21.453125" style="290" customWidth="1"/>
    <col min="4" max="4" width="11.1796875" style="290" customWidth="1"/>
    <col min="5" max="5" width="12.1796875" style="290" customWidth="1"/>
    <col min="6" max="6" width="11.81640625" style="290" customWidth="1"/>
    <col min="7" max="7" width="12.453125" style="290" customWidth="1"/>
    <col min="8" max="8" width="10.81640625" style="290" customWidth="1"/>
    <col min="9" max="9" width="11.1796875" style="290" customWidth="1"/>
    <col min="10" max="10" width="13.453125" style="290" customWidth="1"/>
    <col min="11" max="11" width="11.54296875" style="290" bestFit="1" customWidth="1"/>
    <col min="12" max="12" width="12.54296875" style="290" customWidth="1"/>
    <col min="13" max="13" width="9.1796875" style="290" bestFit="1" customWidth="1"/>
    <col min="14" max="14" width="11.54296875" style="290" customWidth="1"/>
    <col min="15" max="15" width="12.1796875" style="290" customWidth="1"/>
    <col min="16" max="16" width="12.6328125" style="290" customWidth="1"/>
    <col min="17" max="17" width="12.1796875" style="290" customWidth="1"/>
    <col min="18" max="18" width="12" style="290" customWidth="1"/>
    <col min="19" max="19" width="10.1796875" style="294" customWidth="1"/>
    <col min="20" max="20" width="11.81640625" style="294" customWidth="1"/>
    <col min="21" max="21" width="10.81640625" style="290" customWidth="1"/>
    <col min="22" max="16384" width="9.1796875" style="290"/>
  </cols>
  <sheetData>
    <row r="2" spans="2:23" ht="13" thickBot="1" x14ac:dyDescent="0.3">
      <c r="B2" s="101"/>
      <c r="C2" s="100" t="s">
        <v>229</v>
      </c>
      <c r="D2" s="101"/>
      <c r="E2" s="101"/>
      <c r="F2" s="101"/>
      <c r="G2" s="101"/>
      <c r="H2" s="101"/>
      <c r="I2" s="101"/>
      <c r="J2" s="101"/>
      <c r="K2" s="101"/>
      <c r="L2" s="101"/>
      <c r="M2" s="101"/>
      <c r="N2" s="101"/>
      <c r="O2" s="101"/>
      <c r="P2" s="101"/>
      <c r="Q2" s="101"/>
      <c r="R2" s="101"/>
      <c r="S2" s="101"/>
      <c r="T2" s="101"/>
      <c r="U2" s="101"/>
      <c r="V2" s="101"/>
      <c r="W2" s="101"/>
    </row>
    <row r="3" spans="2:23" ht="25.5" thickBot="1" x14ac:dyDescent="0.3">
      <c r="B3" s="101"/>
      <c r="C3" s="364"/>
      <c r="D3" s="367" t="s">
        <v>2</v>
      </c>
      <c r="E3" s="368" t="s">
        <v>3</v>
      </c>
      <c r="F3" s="368" t="s">
        <v>4</v>
      </c>
      <c r="G3" s="368" t="s">
        <v>5</v>
      </c>
      <c r="H3" s="368" t="s">
        <v>6</v>
      </c>
      <c r="I3" s="368" t="s">
        <v>7</v>
      </c>
      <c r="J3" s="368" t="s">
        <v>8</v>
      </c>
      <c r="K3" s="368" t="s">
        <v>9</v>
      </c>
      <c r="L3" s="368" t="s">
        <v>10</v>
      </c>
      <c r="M3" s="368" t="s">
        <v>11</v>
      </c>
      <c r="N3" s="368" t="s">
        <v>12</v>
      </c>
      <c r="O3" s="368" t="s">
        <v>13</v>
      </c>
      <c r="P3" s="369" t="s">
        <v>14</v>
      </c>
      <c r="Q3" s="368" t="s">
        <v>15</v>
      </c>
      <c r="R3" s="370" t="s">
        <v>16</v>
      </c>
      <c r="S3" s="371" t="s">
        <v>17</v>
      </c>
      <c r="T3" s="595" t="s">
        <v>889</v>
      </c>
      <c r="U3" s="434" t="s">
        <v>216</v>
      </c>
      <c r="V3" s="590"/>
      <c r="W3" s="101"/>
    </row>
    <row r="4" spans="2:23" ht="15" customHeight="1" x14ac:dyDescent="0.25">
      <c r="B4" s="362"/>
      <c r="C4" s="373" t="s">
        <v>217</v>
      </c>
      <c r="D4" s="374" t="s">
        <v>18</v>
      </c>
      <c r="E4" s="375" t="s">
        <v>19</v>
      </c>
      <c r="F4" s="375" t="s">
        <v>20</v>
      </c>
      <c r="G4" s="375" t="s">
        <v>21</v>
      </c>
      <c r="H4" s="375" t="s">
        <v>218</v>
      </c>
      <c r="I4" s="375" t="s">
        <v>23</v>
      </c>
      <c r="J4" s="375" t="s">
        <v>24</v>
      </c>
      <c r="K4" s="375" t="s">
        <v>25</v>
      </c>
      <c r="L4" s="375" t="s">
        <v>26</v>
      </c>
      <c r="M4" s="376">
        <v>365</v>
      </c>
      <c r="N4" s="375" t="s">
        <v>28</v>
      </c>
      <c r="O4" s="375" t="s">
        <v>29</v>
      </c>
      <c r="P4" s="377" t="s">
        <v>219</v>
      </c>
      <c r="Q4" s="375" t="s">
        <v>31</v>
      </c>
      <c r="R4" s="378" t="s">
        <v>32</v>
      </c>
      <c r="S4" s="379">
        <v>239</v>
      </c>
      <c r="T4" s="596" t="s">
        <v>416</v>
      </c>
      <c r="U4" s="380"/>
      <c r="V4" s="101"/>
      <c r="W4" s="101"/>
    </row>
    <row r="5" spans="2:23" ht="13" thickBot="1" x14ac:dyDescent="0.3">
      <c r="B5" s="364"/>
      <c r="C5" s="381" t="s">
        <v>223</v>
      </c>
      <c r="D5" s="382" t="str">
        <f>IFERROR(INDEX('DEQ RBC REF'!$A$5:$K$265, MATCH('Acute REER'!D4, 'DEQ RBC REF'!$A$5:$A$265, 0), 11), "")</f>
        <v>--</v>
      </c>
      <c r="E5" s="103" t="str">
        <f>IFERROR(INDEX('DEQ RBC REF'!$A$5:$K$265, MATCH('Acute REER'!E4, 'DEQ RBC REF'!$A$5:$A$265, 0), 11), "")</f>
        <v/>
      </c>
      <c r="F5" s="103">
        <f>IFERROR(INDEX('DEQ RBC REF'!$A$5:$K$265, MATCH('Acute REER'!F4, 'DEQ RBC REF'!$A$5:$A$265, 0), 11), "")</f>
        <v>0.02</v>
      </c>
      <c r="G5" s="103">
        <f>IFERROR(INDEX('DEQ RBC REF'!$A$5:$K$265, MATCH('Acute REER'!G4, 'DEQ RBC REF'!$A$5:$A$265, 0), 11), "")</f>
        <v>0.03</v>
      </c>
      <c r="H5" s="103" t="str">
        <f>IFERROR(INDEX('DEQ RBC REF'!$A$5:$K$265, MATCH('Acute REER'!H4, 'DEQ RBC REF'!$A$5:$A$265, 0), 11), "")</f>
        <v>--</v>
      </c>
      <c r="I5" s="103" t="str">
        <f>IFERROR(INDEX('DEQ RBC REF'!$A$5:$K$265, MATCH('Acute REER'!I4, 'DEQ RBC REF'!$A$5:$A$265, 0), 11), "")</f>
        <v/>
      </c>
      <c r="J5" s="103">
        <v>0.3</v>
      </c>
      <c r="K5" s="103">
        <v>100</v>
      </c>
      <c r="L5" s="103">
        <v>0.3</v>
      </c>
      <c r="M5" s="103">
        <v>0.2</v>
      </c>
      <c r="N5" s="103" t="str">
        <f>IFERROR(INDEX('DEQ RBC REF'!$A$5:$K$265, MATCH('Acute REER'!N4, 'DEQ RBC REF'!$A$5:$A$265, 0), 11), "")</f>
        <v/>
      </c>
      <c r="O5" s="103">
        <f>IFERROR(INDEX('DEQ RBC REF'!$A$5:$K$265, MATCH('Acute REER'!O4, 'DEQ RBC REF'!$A$5:$A$265, 0), 11), "")</f>
        <v>0.15</v>
      </c>
      <c r="P5" s="103" t="str">
        <f>IFERROR(INDEX('DEQ RBC REF'!$A$5:$K$265, MATCH('Acute REER'!P4, 'DEQ RBC REF'!$A$5:$A$265, 0), 11), "")</f>
        <v>--</v>
      </c>
      <c r="Q5" s="103">
        <v>0.8</v>
      </c>
      <c r="R5" s="383" t="str">
        <f>IFERROR(INDEX('DEQ RBC REF'!$A$5:$K$265, MATCH('Acute REER'!R4, 'DEQ RBC REF'!$A$5:$A$265, 0), 11), "")</f>
        <v/>
      </c>
      <c r="S5" s="229">
        <v>240</v>
      </c>
      <c r="T5" s="597" t="str">
        <f>IFERROR(INDEX('DEQ RBC REF'!$A$5:$K$265, MATCH('Acute REER'!T4, 'DEQ RBC REF'!$A$5:$A$265, 0), 11), "")</f>
        <v/>
      </c>
      <c r="U5" s="384"/>
      <c r="V5" s="101"/>
      <c r="W5" s="101"/>
    </row>
    <row r="6" spans="2:23" x14ac:dyDescent="0.25">
      <c r="B6" s="641" t="s">
        <v>225</v>
      </c>
      <c r="C6" s="307" t="s">
        <v>198</v>
      </c>
      <c r="D6" s="385" t="str">
        <f ca="1">IFERROR('Boiler Emissions'!D33/D5/30, "")</f>
        <v/>
      </c>
      <c r="E6" s="174" t="str">
        <f>IFERROR('Boiler Emissions'!E33/E5/30, "")</f>
        <v/>
      </c>
      <c r="F6" s="386">
        <f ca="1">IFERROR('Boiler Emissions'!F33/F5/30, "")</f>
        <v>0</v>
      </c>
      <c r="G6" s="386">
        <f ca="1">IFERROR('Boiler Emissions'!G33/G5/30, "")</f>
        <v>0</v>
      </c>
      <c r="H6" s="386" t="str">
        <f ca="1">IFERROR('Boiler Emissions'!H33/H5/30, "")</f>
        <v/>
      </c>
      <c r="I6" s="386" t="str">
        <f ca="1">IFERROR('Boiler Emissions'!I33/I5/30, "")</f>
        <v/>
      </c>
      <c r="J6" s="386">
        <f ca="1">IFERROR('Boiler Emissions'!J33/J5/30, "")</f>
        <v>5.1378564333333389E-5</v>
      </c>
      <c r="K6" s="386">
        <f ca="1">IFERROR('Boiler Emissions'!K33/K5/30, "")</f>
        <v>6.0275442162000063E-6</v>
      </c>
      <c r="L6" s="414">
        <f ca="1">IFERROR('Boiler Emissions'!L33/L5/30, "")</f>
        <v>5.7971629500000075E-4</v>
      </c>
      <c r="M6" s="386">
        <f ca="1">IFERROR('Boiler Emissions'!M33/M5/30, "")</f>
        <v>3.9363820600000037E-3</v>
      </c>
      <c r="N6" s="386" t="str">
        <f ca="1">IFERROR('Boiler Emissions'!N33/N5/30, "")</f>
        <v/>
      </c>
      <c r="O6" s="386">
        <f ca="1">IFERROR('Boiler Emissions'!O33/O5/30, "")</f>
        <v>0</v>
      </c>
      <c r="P6" s="386" t="str">
        <f ca="1">IFERROR('Boiler Emissions'!P33/P5/30, "")</f>
        <v/>
      </c>
      <c r="Q6" s="386">
        <f ca="1">IFERROR('Boiler Emissions'!Q33/Q5/30, "")</f>
        <v>3.962087846233337E-5</v>
      </c>
      <c r="R6" s="405" t="str">
        <f ca="1">IFERROR('Boiler Emissions'!R33/R5/30, "")</f>
        <v/>
      </c>
      <c r="S6" s="278">
        <f ca="1">IFERROR('Boiler Emissions'!S33/S5/30, "")</f>
        <v>6.8569958484285298E-9</v>
      </c>
      <c r="T6" s="598"/>
      <c r="U6" s="435">
        <f ca="1">SUM(D6:S6)</f>
        <v>4.6131321990077198E-3</v>
      </c>
      <c r="V6" s="101"/>
      <c r="W6" s="101"/>
    </row>
    <row r="7" spans="2:23" x14ac:dyDescent="0.25">
      <c r="B7" s="642"/>
      <c r="C7" s="373" t="s">
        <v>199</v>
      </c>
      <c r="D7" s="300" t="str">
        <f ca="1">IFERROR('In-Shop Emissions'!D33/D5/200, "")</f>
        <v/>
      </c>
      <c r="E7" s="97" t="str">
        <f>IFERROR('In-Shop Emissions'!E33/E5/200, "")</f>
        <v/>
      </c>
      <c r="F7" s="97">
        <f ca="1">IFERROR('In-Shop Emissions'!F33/F5/200, "")</f>
        <v>0</v>
      </c>
      <c r="G7" s="97">
        <f ca="1">IFERROR('In-Shop Emissions'!G33/G5/200, "")</f>
        <v>0</v>
      </c>
      <c r="H7" s="97" t="str">
        <f ca="1">IFERROR('In-Shop Emissions'!H33/H5/200, "")</f>
        <v/>
      </c>
      <c r="I7" s="97" t="str">
        <f ca="1">IFERROR('In-Shop Emissions'!I33/I5/200, "")</f>
        <v/>
      </c>
      <c r="J7" s="97">
        <f ca="1">IFERROR('In-Shop Emissions'!J33/J5/200, "")</f>
        <v>8.342565200000008E-6</v>
      </c>
      <c r="K7" s="97">
        <f ca="1">IFERROR('In-Shop Emissions'!K33/K5/200, "")</f>
        <v>4.002049106800004E-6</v>
      </c>
      <c r="L7" s="97">
        <f ca="1">IFERROR('In-Shop Emissions'!L33/L5/200, "")</f>
        <v>1.0123480733333343E-4</v>
      </c>
      <c r="M7" s="97">
        <f ca="1">IFERROR('In-Shop Emissions'!M33/M5/200, "")</f>
        <v>2.7916392000000028E-5</v>
      </c>
      <c r="N7" s="97" t="str">
        <f ca="1">IFERROR('In-Shop Emissions'!N33/N5/200, "")</f>
        <v/>
      </c>
      <c r="O7" s="97">
        <f ca="1">IFERROR('In-Shop Emissions'!O33/O5/200, "")</f>
        <v>0</v>
      </c>
      <c r="P7" s="97" t="str">
        <f ca="1">IFERROR('In-Shop Emissions'!P33/P5/200, "")</f>
        <v/>
      </c>
      <c r="Q7" s="97">
        <f ca="1">IFERROR('In-Shop Emissions'!Q33/Q5/200, "")</f>
        <v>7.3039710000000057E-8</v>
      </c>
      <c r="R7" s="301" t="str">
        <f ca="1">IFERROR('In-Shop Emissions'!R33/R5/200, "")</f>
        <v/>
      </c>
      <c r="S7" s="281">
        <f ca="1">IFERROR('In-Shop Emissions'!S33/S5/200, "")</f>
        <v>8.2283950181142358E-9</v>
      </c>
      <c r="T7" s="599"/>
      <c r="U7" s="429">
        <f t="shared" ref="U7:U9" ca="1" si="0">SUM(D7:S7)</f>
        <v>1.4157708174515157E-4</v>
      </c>
      <c r="V7" s="101"/>
      <c r="W7" s="101"/>
    </row>
    <row r="8" spans="2:23" x14ac:dyDescent="0.25">
      <c r="B8" s="642"/>
      <c r="C8" s="373" t="s">
        <v>200</v>
      </c>
      <c r="D8" s="300" t="str">
        <f ca="1">IFERROR('Boiler Building Emissions'!D33/D5/200, "")</f>
        <v/>
      </c>
      <c r="E8" s="97" t="str">
        <f>IFERROR('Boiler Building Emissions'!E33/E5/200, "")</f>
        <v/>
      </c>
      <c r="F8" s="97">
        <f ca="1">IFERROR('Boiler Building Emissions'!F33/F5/200, "")</f>
        <v>0</v>
      </c>
      <c r="G8" s="97">
        <f ca="1">IFERROR('Boiler Building Emissions'!G33/G5/200, "")</f>
        <v>0</v>
      </c>
      <c r="H8" s="97" t="str">
        <f ca="1">IFERROR('Boiler Building Emissions'!H33/H5/200, "")</f>
        <v/>
      </c>
      <c r="I8" s="97" t="str">
        <f ca="1">IFERROR('Boiler Building Emissions'!I33/I5/200, "")</f>
        <v/>
      </c>
      <c r="J8" s="97">
        <f ca="1">IFERROR('Boiler Building Emissions'!J33/J5/200, "")</f>
        <v>1.0480872435000001E-4</v>
      </c>
      <c r="K8" s="97">
        <f ca="1">IFERROR('Boiler Building Emissions'!K33/K5/200, "")</f>
        <v>4.9533515011530013E-5</v>
      </c>
      <c r="L8" s="97">
        <f ca="1">IFERROR('Boiler Building Emissions'!L33/L5/200, "")</f>
        <v>1.3745111407499999E-3</v>
      </c>
      <c r="M8" s="97">
        <f ca="1">IFERROR('Boiler Building Emissions'!M33/M5/200, "")</f>
        <v>3.4603955099999999E-4</v>
      </c>
      <c r="N8" s="97" t="str">
        <f ca="1">IFERROR('Boiler Building Emissions'!N33/N5/200, "")</f>
        <v/>
      </c>
      <c r="O8" s="97">
        <f ca="1">IFERROR('Boiler Building Emissions'!O33/O5/200, "")</f>
        <v>0</v>
      </c>
      <c r="P8" s="97" t="str">
        <f ca="1">IFERROR('Boiler Building Emissions'!P33/P5/200, "")</f>
        <v/>
      </c>
      <c r="Q8" s="97">
        <f ca="1">IFERROR('Boiler Building Emissions'!Q33/Q5/200, "")</f>
        <v>9.650462728499999E-7</v>
      </c>
      <c r="R8" s="301" t="str">
        <f ca="1">IFERROR('Boiler Building Emissions'!R33/R5/200, "")</f>
        <v/>
      </c>
      <c r="S8" s="281">
        <f ca="1">IFERROR('Boiler Building Emissions'!S33/S5/200, "")</f>
        <v>1.0182638834916358E-7</v>
      </c>
      <c r="T8" s="599"/>
      <c r="U8" s="429">
        <f t="shared" ca="1" si="0"/>
        <v>1.8759598037727291E-3</v>
      </c>
      <c r="V8" s="101"/>
      <c r="W8" s="101"/>
    </row>
    <row r="9" spans="2:23" ht="13" thickBot="1" x14ac:dyDescent="0.3">
      <c r="B9" s="643"/>
      <c r="C9" s="381" t="s">
        <v>201</v>
      </c>
      <c r="D9" s="382" t="str">
        <f ca="1">IFERROR('Outside Emissions'!D33/D5/200, "")</f>
        <v/>
      </c>
      <c r="E9" s="103" t="str">
        <f>IFERROR('Outside Emissions'!E33/E5/200, "")</f>
        <v/>
      </c>
      <c r="F9" s="394">
        <f ca="1">IFERROR('Outside Emissions'!F33/F5/200, "")</f>
        <v>0</v>
      </c>
      <c r="G9" s="394">
        <f ca="1">IFERROR('Outside Emissions'!G33/G5/200, "")</f>
        <v>0</v>
      </c>
      <c r="H9" s="394" t="str">
        <f ca="1">IFERROR('Outside Emissions'!H33/H5/200, "")</f>
        <v/>
      </c>
      <c r="I9" s="394" t="str">
        <f ca="1">IFERROR('Outside Emissions'!I33/I5/200, "")</f>
        <v/>
      </c>
      <c r="J9" s="394">
        <f ca="1">IFERROR('Outside Emissions'!J33/J5/200, "")</f>
        <v>1.0586739833333336E-6</v>
      </c>
      <c r="K9" s="394">
        <f ca="1">IFERROR('Outside Emissions'!K33/K5/200, "")</f>
        <v>5.0033853547000018E-7</v>
      </c>
      <c r="L9" s="394">
        <f ca="1">IFERROR('Outside Emissions'!L33/L5/200, "")</f>
        <v>1.3883950916666668E-5</v>
      </c>
      <c r="M9" s="394">
        <f ca="1">IFERROR('Outside Emissions'!M33/M5/200, "")</f>
        <v>3.4953490000000005E-6</v>
      </c>
      <c r="N9" s="394" t="str">
        <f ca="1">IFERROR('Outside Emissions'!N33/N5/200, "")</f>
        <v/>
      </c>
      <c r="O9" s="394">
        <f ca="1">IFERROR('Outside Emissions'!O33/O5/200, "")</f>
        <v>0</v>
      </c>
      <c r="P9" s="394" t="str">
        <f ca="1">IFERROR('Outside Emissions'!P33/P5/200, "")</f>
        <v/>
      </c>
      <c r="Q9" s="394">
        <f ca="1">IFERROR('Outside Emissions'!Q33/Q5/200, "")</f>
        <v>9.7479421500000013E-9</v>
      </c>
      <c r="R9" s="412" t="str">
        <f ca="1">IFERROR('Outside Emissions'!R33/R5/200, "")</f>
        <v/>
      </c>
      <c r="S9" s="413">
        <f ca="1">IFERROR('Outside Emissions'!S33/S5/200, "")</f>
        <v>1.0285493772642789E-9</v>
      </c>
      <c r="T9" s="600"/>
      <c r="U9" s="431">
        <f t="shared" ca="1" si="0"/>
        <v>1.8949088926997267E-5</v>
      </c>
      <c r="V9" s="101"/>
      <c r="W9" s="101"/>
    </row>
    <row r="10" spans="2:23" x14ac:dyDescent="0.25">
      <c r="B10" s="101"/>
      <c r="C10" s="102" t="s">
        <v>230</v>
      </c>
      <c r="D10" s="101"/>
      <c r="E10" s="101"/>
      <c r="F10" s="101"/>
      <c r="G10" s="101"/>
      <c r="H10" s="101"/>
      <c r="I10" s="101"/>
      <c r="J10" s="101"/>
      <c r="K10" s="101"/>
      <c r="L10" s="101"/>
      <c r="M10" s="101"/>
      <c r="N10" s="101"/>
      <c r="O10" s="101"/>
      <c r="P10" s="101"/>
      <c r="Q10" s="101"/>
      <c r="R10" s="101"/>
      <c r="S10" s="101"/>
      <c r="T10" s="101"/>
      <c r="U10" s="101"/>
      <c r="V10" s="101"/>
      <c r="W10" s="101"/>
    </row>
    <row r="11" spans="2:23" x14ac:dyDescent="0.25">
      <c r="B11" s="101"/>
      <c r="C11" s="102" t="s">
        <v>231</v>
      </c>
      <c r="D11" s="101"/>
      <c r="E11" s="101"/>
      <c r="F11" s="101"/>
      <c r="G11" s="101"/>
      <c r="H11" s="101"/>
      <c r="I11" s="101"/>
      <c r="J11" s="101"/>
      <c r="K11" s="101"/>
      <c r="L11" s="101"/>
      <c r="M11" s="101"/>
      <c r="N11" s="101"/>
      <c r="O11" s="101"/>
      <c r="P11" s="101"/>
      <c r="Q11" s="101"/>
      <c r="R11" s="101"/>
      <c r="S11" s="101"/>
      <c r="T11" s="101"/>
      <c r="U11" s="101"/>
      <c r="V11" s="101"/>
      <c r="W11" s="101"/>
    </row>
    <row r="12" spans="2:23" x14ac:dyDescent="0.25">
      <c r="B12" s="101"/>
      <c r="C12" s="101"/>
      <c r="D12" s="101"/>
      <c r="E12" s="101"/>
      <c r="F12" s="101"/>
      <c r="G12" s="101"/>
      <c r="H12" s="101"/>
      <c r="I12" s="101"/>
      <c r="J12" s="101"/>
      <c r="K12" s="101"/>
      <c r="L12" s="101"/>
      <c r="M12" s="101"/>
      <c r="N12" s="101"/>
      <c r="O12" s="101"/>
      <c r="P12" s="101"/>
      <c r="Q12" s="101"/>
      <c r="R12" s="101"/>
      <c r="S12" s="101"/>
      <c r="T12" s="101"/>
      <c r="U12" s="101"/>
      <c r="V12" s="101"/>
      <c r="W12" s="101"/>
    </row>
    <row r="13" spans="2:23" x14ac:dyDescent="0.25">
      <c r="B13" s="101"/>
      <c r="C13" s="101"/>
      <c r="D13" s="101"/>
      <c r="E13" s="101"/>
      <c r="F13" s="101"/>
      <c r="G13" s="101"/>
      <c r="H13" s="101"/>
      <c r="I13" s="101"/>
      <c r="J13" s="101"/>
      <c r="K13" s="101"/>
      <c r="L13" s="101"/>
      <c r="M13" s="101"/>
      <c r="N13" s="101"/>
      <c r="O13" s="101"/>
      <c r="P13" s="101"/>
      <c r="Q13" s="101"/>
      <c r="R13" s="101"/>
      <c r="S13" s="101"/>
      <c r="T13" s="101"/>
      <c r="U13" s="101"/>
      <c r="V13" s="101"/>
      <c r="W13" s="101"/>
    </row>
    <row r="14" spans="2:23" x14ac:dyDescent="0.25">
      <c r="B14" s="101"/>
      <c r="C14" s="101"/>
      <c r="D14" s="101"/>
      <c r="E14" s="101"/>
      <c r="F14" s="101"/>
      <c r="G14" s="101"/>
      <c r="H14" s="101"/>
      <c r="I14" s="101"/>
      <c r="J14" s="101"/>
      <c r="K14" s="101"/>
      <c r="L14" s="101"/>
      <c r="M14" s="101"/>
      <c r="N14" s="101"/>
      <c r="O14" s="101"/>
      <c r="P14" s="101"/>
      <c r="Q14" s="101"/>
      <c r="R14" s="101"/>
      <c r="S14" s="101"/>
      <c r="T14" s="101"/>
      <c r="U14" s="101"/>
      <c r="V14" s="101"/>
      <c r="W14" s="101"/>
    </row>
    <row r="15" spans="2:23" x14ac:dyDescent="0.25">
      <c r="B15" s="101"/>
      <c r="C15" s="101"/>
      <c r="D15" s="101"/>
      <c r="E15" s="101"/>
      <c r="F15" s="101"/>
      <c r="G15" s="101"/>
      <c r="H15" s="101"/>
      <c r="I15" s="101"/>
      <c r="J15" s="101"/>
      <c r="K15" s="101"/>
      <c r="L15" s="101"/>
      <c r="M15" s="101"/>
      <c r="N15" s="101"/>
      <c r="O15" s="101"/>
      <c r="P15" s="101"/>
      <c r="Q15" s="101"/>
      <c r="R15" s="101"/>
      <c r="S15" s="101"/>
      <c r="T15" s="101"/>
      <c r="U15" s="101"/>
      <c r="V15" s="101"/>
      <c r="W15" s="101"/>
    </row>
    <row r="16" spans="2:23" x14ac:dyDescent="0.25">
      <c r="B16" s="101"/>
      <c r="C16" s="101"/>
      <c r="D16" s="101"/>
      <c r="E16" s="101"/>
      <c r="F16" s="101"/>
      <c r="G16" s="101"/>
      <c r="H16" s="101"/>
      <c r="I16" s="101"/>
      <c r="J16" s="101"/>
      <c r="K16" s="101"/>
      <c r="L16" s="101"/>
      <c r="M16" s="101"/>
      <c r="N16" s="101"/>
      <c r="O16" s="101"/>
      <c r="P16" s="101"/>
      <c r="Q16" s="101"/>
      <c r="R16" s="101"/>
      <c r="S16" s="101"/>
      <c r="T16" s="101"/>
      <c r="U16" s="101"/>
      <c r="V16" s="101"/>
      <c r="W16" s="101"/>
    </row>
    <row r="17" spans="2:23" x14ac:dyDescent="0.25">
      <c r="B17" s="101"/>
      <c r="C17" s="101"/>
      <c r="D17" s="101"/>
      <c r="E17" s="101"/>
      <c r="F17" s="101"/>
      <c r="G17" s="101"/>
      <c r="H17" s="101"/>
      <c r="I17" s="101"/>
      <c r="J17" s="101"/>
      <c r="K17" s="101"/>
      <c r="L17" s="101"/>
      <c r="M17" s="101"/>
      <c r="N17" s="101"/>
      <c r="O17" s="101"/>
      <c r="P17" s="101"/>
      <c r="Q17" s="101"/>
      <c r="R17" s="101"/>
      <c r="S17" s="101"/>
      <c r="T17" s="101"/>
      <c r="U17" s="101"/>
      <c r="V17" s="101"/>
      <c r="W17" s="101"/>
    </row>
    <row r="18" spans="2:23" x14ac:dyDescent="0.25">
      <c r="B18" s="101"/>
      <c r="C18" s="101"/>
      <c r="D18" s="101"/>
      <c r="E18" s="101"/>
      <c r="F18" s="101"/>
      <c r="G18" s="101"/>
      <c r="H18" s="101"/>
      <c r="I18" s="101"/>
      <c r="J18" s="101"/>
      <c r="K18" s="101"/>
      <c r="L18" s="101"/>
      <c r="M18" s="101"/>
      <c r="N18" s="101"/>
      <c r="O18" s="101"/>
      <c r="P18" s="101"/>
      <c r="Q18" s="101"/>
      <c r="R18" s="101"/>
      <c r="S18" s="101"/>
      <c r="T18" s="101"/>
      <c r="U18" s="101"/>
      <c r="V18" s="101"/>
      <c r="W18" s="101"/>
    </row>
    <row r="19" spans="2:23" x14ac:dyDescent="0.25">
      <c r="B19" s="101"/>
      <c r="C19" s="101"/>
      <c r="D19" s="101"/>
      <c r="E19" s="101"/>
      <c r="F19" s="101"/>
      <c r="G19" s="101"/>
      <c r="H19" s="101"/>
      <c r="I19" s="101"/>
      <c r="J19" s="101"/>
      <c r="K19" s="101"/>
      <c r="L19" s="101"/>
      <c r="M19" s="101"/>
      <c r="N19" s="101"/>
      <c r="O19" s="101"/>
      <c r="P19" s="101"/>
      <c r="Q19" s="101"/>
      <c r="R19" s="101"/>
      <c r="S19" s="101"/>
      <c r="T19" s="101"/>
      <c r="U19" s="101"/>
      <c r="V19" s="101"/>
      <c r="W19" s="101"/>
    </row>
    <row r="20" spans="2:23" x14ac:dyDescent="0.25">
      <c r="B20" s="101"/>
      <c r="C20" s="101"/>
      <c r="D20" s="101"/>
      <c r="E20" s="101"/>
      <c r="F20" s="101"/>
      <c r="G20" s="101"/>
      <c r="H20" s="101"/>
      <c r="I20" s="101"/>
      <c r="J20" s="101"/>
      <c r="K20" s="101"/>
      <c r="L20" s="101"/>
      <c r="M20" s="101"/>
      <c r="N20" s="101"/>
      <c r="O20" s="101"/>
      <c r="P20" s="101"/>
      <c r="Q20" s="101"/>
      <c r="R20" s="101"/>
      <c r="S20" s="101"/>
      <c r="T20" s="101"/>
      <c r="U20" s="101"/>
      <c r="V20" s="101"/>
      <c r="W20" s="101"/>
    </row>
  </sheetData>
  <mergeCells count="1">
    <mergeCell ref="B6:B9"/>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AC5F2-1AE5-4689-A6B9-BACB370C2714}">
  <sheetPr>
    <tabColor theme="1"/>
  </sheetPr>
  <dimension ref="A1"/>
  <sheetViews>
    <sheetView workbookViewId="0"/>
  </sheetViews>
  <sheetFormatPr defaultRowHeight="14.5" x14ac:dyDescent="0.3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FAC04-56A7-4E51-8B84-703519F7C8A0}">
  <sheetPr>
    <tabColor rgb="FFFFFF00"/>
  </sheetPr>
  <dimension ref="A2:P9"/>
  <sheetViews>
    <sheetView zoomScale="80" zoomScaleNormal="80" workbookViewId="0">
      <selection activeCell="J14" sqref="J14"/>
    </sheetView>
  </sheetViews>
  <sheetFormatPr defaultColWidth="9.1796875" defaultRowHeight="12.5" x14ac:dyDescent="0.25"/>
  <cols>
    <col min="1" max="1" width="2.81640625" style="101" customWidth="1"/>
    <col min="2" max="2" width="14.453125" style="101" customWidth="1"/>
    <col min="3" max="3" width="16.1796875" style="101" bestFit="1" customWidth="1"/>
    <col min="4" max="4" width="8" style="101" bestFit="1" customWidth="1"/>
    <col min="5" max="5" width="9.54296875" style="101" bestFit="1" customWidth="1"/>
    <col min="6" max="6" width="13.453125" style="101" bestFit="1" customWidth="1"/>
    <col min="7" max="7" width="10.1796875" style="101" bestFit="1" customWidth="1"/>
    <col min="8" max="8" width="9.90625" style="101" customWidth="1"/>
    <col min="9" max="10" width="14.1796875" style="101" bestFit="1" customWidth="1"/>
    <col min="11" max="11" width="14.1796875" style="101" customWidth="1"/>
    <col min="12" max="12" width="14.1796875" style="101" bestFit="1" customWidth="1"/>
    <col min="13" max="13" width="11.81640625" style="101" bestFit="1" customWidth="1"/>
    <col min="14" max="16" width="11" style="101" bestFit="1" customWidth="1"/>
    <col min="17" max="16384" width="9.1796875" style="101"/>
  </cols>
  <sheetData>
    <row r="2" spans="1:16" ht="13" thickBot="1" x14ac:dyDescent="0.3">
      <c r="B2" s="100" t="s">
        <v>232</v>
      </c>
    </row>
    <row r="3" spans="1:16" ht="54.75" customHeight="1" thickBot="1" x14ac:dyDescent="0.3">
      <c r="B3" s="170" t="s">
        <v>233</v>
      </c>
      <c r="C3" s="171" t="s">
        <v>234</v>
      </c>
      <c r="D3" s="172" t="s">
        <v>235</v>
      </c>
      <c r="E3" s="172" t="s">
        <v>236</v>
      </c>
      <c r="F3" s="172" t="s">
        <v>237</v>
      </c>
      <c r="G3" s="172" t="s">
        <v>238</v>
      </c>
      <c r="H3" s="172" t="s">
        <v>239</v>
      </c>
      <c r="I3" s="529" t="s">
        <v>240</v>
      </c>
      <c r="J3" s="529" t="s">
        <v>241</v>
      </c>
      <c r="K3" s="529" t="s">
        <v>242</v>
      </c>
      <c r="L3" s="172" t="s">
        <v>243</v>
      </c>
      <c r="M3" s="172" t="s">
        <v>244</v>
      </c>
      <c r="N3" s="172" t="s">
        <v>245</v>
      </c>
      <c r="O3" s="172" t="s">
        <v>246</v>
      </c>
      <c r="P3" s="173" t="s">
        <v>247</v>
      </c>
    </row>
    <row r="4" spans="1:16" ht="14.5" x14ac:dyDescent="0.35">
      <c r="B4" s="183" t="s">
        <v>198</v>
      </c>
      <c r="C4" s="174" t="s">
        <v>248</v>
      </c>
      <c r="D4" s="175">
        <f>CONVERT(F4, "m", "ft")</f>
        <v>164.04199475065616</v>
      </c>
      <c r="E4" s="176">
        <v>78</v>
      </c>
      <c r="F4" s="175">
        <v>50</v>
      </c>
      <c r="G4" s="175"/>
      <c r="H4" s="177"/>
      <c r="I4" s="526">
        <v>100</v>
      </c>
      <c r="J4" s="526">
        <v>190</v>
      </c>
      <c r="K4" s="526">
        <v>100</v>
      </c>
      <c r="L4" s="175">
        <f>J4</f>
        <v>190</v>
      </c>
      <c r="M4" s="530">
        <f>'Stack Disp Factors'!$D$92</f>
        <v>2.5999999999999998E-5</v>
      </c>
      <c r="N4" s="530">
        <f>'Stack Disp Factors'!$H$35</f>
        <v>6.7999999999999999E-5</v>
      </c>
      <c r="O4" s="530">
        <f>$M$4</f>
        <v>2.5999999999999998E-5</v>
      </c>
      <c r="P4" s="604">
        <f>'Stack Disp Factors'!H107</f>
        <v>0.15</v>
      </c>
    </row>
    <row r="5" spans="1:16" ht="14.5" x14ac:dyDescent="0.35">
      <c r="B5" s="168" t="s">
        <v>199</v>
      </c>
      <c r="C5" s="95" t="s">
        <v>249</v>
      </c>
      <c r="D5" s="178"/>
      <c r="E5" s="179"/>
      <c r="F5" s="178">
        <f t="shared" ref="F5:F7" si="0">ROUNDDOWN(E5,-1)</f>
        <v>0</v>
      </c>
      <c r="G5" s="180">
        <v>533</v>
      </c>
      <c r="H5" s="178">
        <v>50</v>
      </c>
      <c r="I5" s="527">
        <v>90</v>
      </c>
      <c r="J5" s="527">
        <v>245</v>
      </c>
      <c r="K5" s="527">
        <v>135</v>
      </c>
      <c r="L5" s="178">
        <f t="shared" ref="L5:L7" si="1">J5</f>
        <v>245</v>
      </c>
      <c r="M5" s="531">
        <f>'Fugitive Disp Factors'!$F$83</f>
        <v>4.2000000000000002E-4</v>
      </c>
      <c r="N5" s="531">
        <f>'Fugitive Disp Factors'!$L$26</f>
        <v>8.8999999999999995E-4</v>
      </c>
      <c r="O5" s="531">
        <f>$M$5</f>
        <v>4.2000000000000002E-4</v>
      </c>
      <c r="P5" s="605">
        <f>'Fugitive Disp Factors'!H98</f>
        <v>2</v>
      </c>
    </row>
    <row r="6" spans="1:16" ht="14.5" x14ac:dyDescent="0.35">
      <c r="B6" s="168" t="s">
        <v>200</v>
      </c>
      <c r="C6" s="95" t="s">
        <v>249</v>
      </c>
      <c r="D6" s="178"/>
      <c r="E6" s="179"/>
      <c r="F6" s="178">
        <f t="shared" si="0"/>
        <v>0</v>
      </c>
      <c r="G6" s="180">
        <v>17664</v>
      </c>
      <c r="H6" s="178">
        <v>70</v>
      </c>
      <c r="I6" s="527">
        <v>70</v>
      </c>
      <c r="J6" s="527">
        <v>220</v>
      </c>
      <c r="K6" s="527">
        <v>130</v>
      </c>
      <c r="L6" s="178">
        <f t="shared" si="1"/>
        <v>220</v>
      </c>
      <c r="M6" s="531">
        <f>'Fugitive Disp Factors'!$F$91</f>
        <v>4.0000000000000002E-4</v>
      </c>
      <c r="N6" s="531">
        <f>'Fugitive Disp Factors'!$L$34</f>
        <v>8.1999999999999998E-4</v>
      </c>
      <c r="O6" s="531">
        <f>$M$6</f>
        <v>4.0000000000000002E-4</v>
      </c>
      <c r="P6" s="605">
        <f>'Fugitive Disp Factors'!F106</f>
        <v>1.9</v>
      </c>
    </row>
    <row r="7" spans="1:16" ht="15" thickBot="1" x14ac:dyDescent="0.4">
      <c r="B7" s="169" t="s">
        <v>201</v>
      </c>
      <c r="C7" s="103" t="s">
        <v>249</v>
      </c>
      <c r="D7" s="181"/>
      <c r="E7" s="182"/>
      <c r="F7" s="181">
        <f t="shared" si="0"/>
        <v>0</v>
      </c>
      <c r="G7" s="186" t="s">
        <v>250</v>
      </c>
      <c r="H7" s="181">
        <v>20</v>
      </c>
      <c r="I7" s="181">
        <v>50</v>
      </c>
      <c r="J7" s="528">
        <v>140</v>
      </c>
      <c r="K7" s="528">
        <v>50</v>
      </c>
      <c r="L7" s="181">
        <f t="shared" si="1"/>
        <v>140</v>
      </c>
      <c r="M7" s="532">
        <f>'Fugitive Disp Factors'!$M$26</f>
        <v>7.7999999999999999E-4</v>
      </c>
      <c r="N7" s="533">
        <f>'Fugitive Disp Factors'!$D$26</f>
        <v>4.4999999999999997E-3</v>
      </c>
      <c r="O7" s="532">
        <f>$M$7</f>
        <v>7.7999999999999999E-4</v>
      </c>
      <c r="P7" s="189">
        <f>'Fugitive Disp Factors'!D98</f>
        <v>4.8</v>
      </c>
    </row>
    <row r="8" spans="1:16" x14ac:dyDescent="0.25">
      <c r="A8" s="102"/>
      <c r="B8" s="102" t="s">
        <v>251</v>
      </c>
      <c r="C8" s="102"/>
      <c r="D8" s="102"/>
      <c r="E8" s="102"/>
      <c r="F8" s="102"/>
      <c r="G8" s="102"/>
      <c r="H8" s="102"/>
      <c r="I8" s="102"/>
      <c r="J8" s="102"/>
      <c r="K8" s="102"/>
      <c r="L8" s="102"/>
      <c r="M8" s="102"/>
      <c r="N8" s="102"/>
      <c r="O8" s="102"/>
    </row>
    <row r="9" spans="1:16" s="102" customFormat="1" ht="10" x14ac:dyDescent="0.2">
      <c r="B9" s="102" t="s">
        <v>252</v>
      </c>
    </row>
  </sheetData>
  <pageMargins left="0.7" right="0.7" top="0.75" bottom="0.75" header="0.3" footer="0.3"/>
  <pageSetup orientation="portrait" horizontalDpi="1200" verticalDpi="1200"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5DFEF-5B9D-4AF5-83BE-868DCC64C30E}">
  <sheetPr>
    <tabColor theme="1"/>
  </sheetPr>
  <dimension ref="A1"/>
  <sheetViews>
    <sheetView workbookViewId="0"/>
  </sheetViews>
  <sheetFormatPr defaultRowHeight="14.5" x14ac:dyDescent="0.3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647B9-E815-44BB-91A2-7CBD2B15E8EE}">
  <sheetPr>
    <tabColor theme="7" tint="0.59999389629810485"/>
  </sheetPr>
  <dimension ref="A2:T29"/>
  <sheetViews>
    <sheetView workbookViewId="0"/>
  </sheetViews>
  <sheetFormatPr defaultColWidth="9.1796875" defaultRowHeight="12.5" x14ac:dyDescent="0.25"/>
  <cols>
    <col min="1" max="1" width="2.81640625" style="290" customWidth="1"/>
    <col min="2" max="2" width="22.81640625" style="290" customWidth="1"/>
    <col min="3" max="4" width="9.1796875" style="290"/>
    <col min="5" max="5" width="10.1796875" style="290" bestFit="1" customWidth="1"/>
    <col min="6" max="6" width="9.1796875" style="290"/>
    <col min="7" max="13" width="9.1796875" style="290" bestFit="1" customWidth="1"/>
    <col min="14" max="14" width="9.1796875" style="290"/>
    <col min="15" max="15" width="10.1796875" style="290" customWidth="1"/>
    <col min="16" max="16384" width="9.1796875" style="290"/>
  </cols>
  <sheetData>
    <row r="2" spans="2:20" x14ac:dyDescent="0.25">
      <c r="B2" s="100" t="s">
        <v>253</v>
      </c>
      <c r="C2" s="101"/>
      <c r="D2" s="101"/>
      <c r="E2" s="101"/>
      <c r="F2" s="101"/>
      <c r="G2" s="101"/>
      <c r="H2" s="101"/>
      <c r="I2" s="101"/>
      <c r="J2" s="101"/>
      <c r="K2" s="101"/>
      <c r="L2" s="101"/>
      <c r="M2" s="101"/>
      <c r="N2" s="101"/>
      <c r="O2" s="101"/>
      <c r="P2" s="101"/>
      <c r="Q2" s="101"/>
      <c r="R2" s="101"/>
      <c r="S2" s="101"/>
      <c r="T2" s="101"/>
    </row>
    <row r="3" spans="2:20" ht="7" customHeight="1" thickBot="1" x14ac:dyDescent="0.3">
      <c r="B3" s="101"/>
      <c r="C3" s="101"/>
      <c r="D3" s="101"/>
      <c r="E3" s="101"/>
      <c r="F3" s="101"/>
      <c r="G3" s="101"/>
      <c r="H3" s="101"/>
      <c r="I3" s="101"/>
      <c r="J3" s="101"/>
      <c r="K3" s="101"/>
      <c r="L3" s="101"/>
      <c r="M3" s="101"/>
      <c r="N3" s="101"/>
      <c r="O3" s="101"/>
      <c r="P3" s="101"/>
      <c r="Q3" s="101"/>
      <c r="R3" s="101"/>
      <c r="S3" s="101"/>
      <c r="T3" s="101"/>
    </row>
    <row r="4" spans="2:20" ht="14.5" thickBot="1" x14ac:dyDescent="0.3">
      <c r="B4" s="101"/>
      <c r="C4" s="611" t="s">
        <v>34</v>
      </c>
      <c r="D4" s="612"/>
      <c r="E4" s="612"/>
      <c r="F4" s="612"/>
      <c r="G4" s="612"/>
      <c r="H4" s="612"/>
      <c r="I4" s="612"/>
      <c r="J4" s="612"/>
      <c r="K4" s="612"/>
      <c r="L4" s="612"/>
      <c r="M4" s="612"/>
      <c r="N4" s="612"/>
      <c r="O4" s="612"/>
      <c r="P4" s="612"/>
      <c r="Q4" s="613"/>
      <c r="R4" s="101"/>
      <c r="S4" s="101"/>
      <c r="T4" s="101"/>
    </row>
    <row r="5" spans="2:20" ht="25.5" thickBot="1" x14ac:dyDescent="0.3">
      <c r="B5" s="436"/>
      <c r="C5" s="242" t="s">
        <v>2</v>
      </c>
      <c r="D5" s="243" t="s">
        <v>3</v>
      </c>
      <c r="E5" s="243" t="s">
        <v>4</v>
      </c>
      <c r="F5" s="243" t="s">
        <v>5</v>
      </c>
      <c r="G5" s="243" t="s">
        <v>6</v>
      </c>
      <c r="H5" s="243" t="s">
        <v>7</v>
      </c>
      <c r="I5" s="243" t="s">
        <v>8</v>
      </c>
      <c r="J5" s="243" t="s">
        <v>9</v>
      </c>
      <c r="K5" s="243" t="s">
        <v>10</v>
      </c>
      <c r="L5" s="243" t="s">
        <v>11</v>
      </c>
      <c r="M5" s="243" t="s">
        <v>12</v>
      </c>
      <c r="N5" s="243" t="s">
        <v>13</v>
      </c>
      <c r="O5" s="244" t="s">
        <v>14</v>
      </c>
      <c r="P5" s="243" t="s">
        <v>15</v>
      </c>
      <c r="Q5" s="194" t="s">
        <v>16</v>
      </c>
      <c r="R5" s="101"/>
      <c r="S5" s="101"/>
      <c r="T5" s="101"/>
    </row>
    <row r="6" spans="2:20" ht="14.5" thickBot="1" x14ac:dyDescent="0.3">
      <c r="B6" s="311" t="s">
        <v>35</v>
      </c>
      <c r="C6" s="100"/>
      <c r="D6" s="100"/>
      <c r="E6" s="100"/>
      <c r="F6" s="100"/>
      <c r="G6" s="100"/>
      <c r="H6" s="100"/>
      <c r="I6" s="100"/>
      <c r="J6" s="100"/>
      <c r="K6" s="100"/>
      <c r="L6" s="100"/>
      <c r="M6" s="100"/>
      <c r="N6" s="100"/>
      <c r="O6" s="100"/>
      <c r="P6" s="100"/>
      <c r="Q6" s="437"/>
      <c r="R6" s="101"/>
      <c r="S6" s="101"/>
      <c r="T6" s="101"/>
    </row>
    <row r="7" spans="2:20" x14ac:dyDescent="0.25">
      <c r="B7" s="196" t="s">
        <v>36</v>
      </c>
      <c r="C7" s="438" t="s">
        <v>37</v>
      </c>
      <c r="D7" s="438" t="s">
        <v>37</v>
      </c>
      <c r="E7" s="438" t="s">
        <v>37</v>
      </c>
      <c r="F7" s="438" t="s">
        <v>37</v>
      </c>
      <c r="G7" s="386">
        <v>9.9999999999999995E-7</v>
      </c>
      <c r="H7" s="386">
        <v>8.0099999999999995E-5</v>
      </c>
      <c r="I7" s="386">
        <v>4.0999999999999997E-6</v>
      </c>
      <c r="J7" s="438" t="s">
        <v>37</v>
      </c>
      <c r="K7" s="386">
        <v>3.1799999999999998E-4</v>
      </c>
      <c r="L7" s="386">
        <v>9.9999999999999995E-7</v>
      </c>
      <c r="M7" s="438" t="s">
        <v>37</v>
      </c>
      <c r="N7" s="438" t="s">
        <v>37</v>
      </c>
      <c r="O7" s="438" t="s">
        <v>37</v>
      </c>
      <c r="P7" s="438" t="s">
        <v>37</v>
      </c>
      <c r="Q7" s="439" t="s">
        <v>37</v>
      </c>
      <c r="R7" s="101"/>
      <c r="S7" s="101"/>
      <c r="T7" s="101"/>
    </row>
    <row r="8" spans="2:20" x14ac:dyDescent="0.25">
      <c r="B8" s="203" t="s">
        <v>38</v>
      </c>
      <c r="C8" s="204" t="s">
        <v>37</v>
      </c>
      <c r="D8" s="204" t="s">
        <v>37</v>
      </c>
      <c r="E8" s="204" t="s">
        <v>37</v>
      </c>
      <c r="F8" s="204" t="s">
        <v>37</v>
      </c>
      <c r="G8" s="204" t="s">
        <v>37</v>
      </c>
      <c r="H8" s="204" t="s">
        <v>37</v>
      </c>
      <c r="I8" s="204" t="s">
        <v>37</v>
      </c>
      <c r="J8" s="97">
        <v>5.4600000000000002E-6</v>
      </c>
      <c r="K8" s="97">
        <v>1.07E-4</v>
      </c>
      <c r="L8" s="97">
        <v>1.0899999999999999E-6</v>
      </c>
      <c r="M8" s="97">
        <v>6.5600000000000005E-7</v>
      </c>
      <c r="N8" s="204" t="s">
        <v>37</v>
      </c>
      <c r="O8" s="204" t="s">
        <v>37</v>
      </c>
      <c r="P8" s="204" t="s">
        <v>37</v>
      </c>
      <c r="Q8" s="440" t="s">
        <v>37</v>
      </c>
      <c r="R8" s="101"/>
      <c r="S8" s="101"/>
      <c r="T8" s="101"/>
    </row>
    <row r="9" spans="2:20" x14ac:dyDescent="0.25">
      <c r="B9" s="203" t="s">
        <v>39</v>
      </c>
      <c r="C9" s="204" t="s">
        <v>37</v>
      </c>
      <c r="D9" s="204" t="s">
        <v>37</v>
      </c>
      <c r="E9" s="204" t="s">
        <v>37</v>
      </c>
      <c r="F9" s="204" t="s">
        <v>37</v>
      </c>
      <c r="G9" s="204" t="s">
        <v>37</v>
      </c>
      <c r="H9" s="97">
        <v>1.3100000000000001E-4</v>
      </c>
      <c r="I9" s="97">
        <v>6.5599999999999999E-6</v>
      </c>
      <c r="J9" s="97">
        <v>4.3699999999999997E-6</v>
      </c>
      <c r="K9" s="97">
        <v>3.1699999999999998E-5</v>
      </c>
      <c r="L9" s="97">
        <v>2.1900000000000002E-6</v>
      </c>
      <c r="M9" s="97">
        <v>2.7300000000000002E-7</v>
      </c>
      <c r="N9" s="204" t="s">
        <v>37</v>
      </c>
      <c r="O9" s="204" t="s">
        <v>37</v>
      </c>
      <c r="P9" s="204" t="s">
        <v>37</v>
      </c>
      <c r="Q9" s="440" t="s">
        <v>37</v>
      </c>
      <c r="R9" s="101"/>
      <c r="S9" s="101"/>
      <c r="T9" s="101"/>
    </row>
    <row r="10" spans="2:20" x14ac:dyDescent="0.25">
      <c r="B10" s="203" t="s">
        <v>40</v>
      </c>
      <c r="C10" s="204" t="s">
        <v>37</v>
      </c>
      <c r="D10" s="204" t="s">
        <v>37</v>
      </c>
      <c r="E10" s="204" t="s">
        <v>37</v>
      </c>
      <c r="F10" s="204" t="s">
        <v>37</v>
      </c>
      <c r="G10" s="204" t="s">
        <v>37</v>
      </c>
      <c r="H10" s="97">
        <v>7.6099999999999996E-3</v>
      </c>
      <c r="I10" s="97">
        <v>8.0099999999999995E-5</v>
      </c>
      <c r="J10" s="97">
        <v>3.8199999999999998E-6</v>
      </c>
      <c r="K10" s="97">
        <v>8.7399999999999997E-5</v>
      </c>
      <c r="L10" s="97">
        <v>7.4299999999999995E-4</v>
      </c>
      <c r="M10" s="97">
        <v>1.0899999999999999E-6</v>
      </c>
      <c r="N10" s="204" t="s">
        <v>37</v>
      </c>
      <c r="O10" s="204" t="s">
        <v>37</v>
      </c>
      <c r="P10" s="204" t="s">
        <v>37</v>
      </c>
      <c r="Q10" s="440" t="s">
        <v>37</v>
      </c>
      <c r="R10" s="101"/>
      <c r="S10" s="101"/>
      <c r="T10" s="101"/>
    </row>
    <row r="11" spans="2:20" x14ac:dyDescent="0.25">
      <c r="B11" s="203" t="s">
        <v>41</v>
      </c>
      <c r="C11" s="204" t="s">
        <v>37</v>
      </c>
      <c r="D11" s="204" t="s">
        <v>37</v>
      </c>
      <c r="E11" s="204" t="s">
        <v>37</v>
      </c>
      <c r="F11" s="204" t="s">
        <v>37</v>
      </c>
      <c r="G11" s="204" t="s">
        <v>37</v>
      </c>
      <c r="H11" s="97">
        <v>7.7200000000000003E-3</v>
      </c>
      <c r="I11" s="97">
        <v>2.8399999999999999E-5</v>
      </c>
      <c r="J11" s="204" t="s">
        <v>37</v>
      </c>
      <c r="K11" s="97">
        <v>2.4499999999999999E-4</v>
      </c>
      <c r="L11" s="97">
        <v>2.2599999999999999E-4</v>
      </c>
      <c r="M11" s="204" t="s">
        <v>37</v>
      </c>
      <c r="N11" s="204" t="s">
        <v>37</v>
      </c>
      <c r="O11" s="204" t="s">
        <v>37</v>
      </c>
      <c r="P11" s="204" t="s">
        <v>37</v>
      </c>
      <c r="Q11" s="440" t="s">
        <v>37</v>
      </c>
      <c r="R11" s="101"/>
      <c r="S11" s="101"/>
      <c r="T11" s="101"/>
    </row>
    <row r="12" spans="2:20" x14ac:dyDescent="0.25">
      <c r="B12" s="209" t="s">
        <v>42</v>
      </c>
      <c r="C12" s="207" t="s">
        <v>37</v>
      </c>
      <c r="D12" s="207" t="s">
        <v>37</v>
      </c>
      <c r="E12" s="207" t="s">
        <v>37</v>
      </c>
      <c r="F12" s="207" t="s">
        <v>37</v>
      </c>
      <c r="G12" s="207" t="s">
        <v>37</v>
      </c>
      <c r="H12" s="211">
        <v>9.2900000000000003E-4</v>
      </c>
      <c r="I12" s="211">
        <v>4.6400000000000003E-5</v>
      </c>
      <c r="J12" s="211">
        <v>2.73E-5</v>
      </c>
      <c r="K12" s="211">
        <v>5.4599999999999999E-5</v>
      </c>
      <c r="L12" s="211">
        <v>3.82E-3</v>
      </c>
      <c r="M12" s="211">
        <v>1.64E-6</v>
      </c>
      <c r="N12" s="207" t="s">
        <v>37</v>
      </c>
      <c r="O12" s="207" t="s">
        <v>37</v>
      </c>
      <c r="P12" s="207" t="s">
        <v>37</v>
      </c>
      <c r="Q12" s="441" t="s">
        <v>37</v>
      </c>
      <c r="R12" s="101"/>
      <c r="S12" s="101"/>
      <c r="T12" s="101"/>
    </row>
    <row r="13" spans="2:20" x14ac:dyDescent="0.25">
      <c r="B13" s="209" t="s">
        <v>45</v>
      </c>
      <c r="C13" s="207" t="s">
        <v>37</v>
      </c>
      <c r="D13" s="207" t="s">
        <v>37</v>
      </c>
      <c r="E13" s="207" t="s">
        <v>37</v>
      </c>
      <c r="F13" s="207" t="s">
        <v>37</v>
      </c>
      <c r="G13" s="207" t="s">
        <v>37</v>
      </c>
      <c r="H13" s="211">
        <v>9.2900000000000003E-4</v>
      </c>
      <c r="I13" s="211">
        <v>4.6400000000000003E-5</v>
      </c>
      <c r="J13" s="211">
        <v>2.73E-5</v>
      </c>
      <c r="K13" s="211">
        <v>5.4599999999999999E-5</v>
      </c>
      <c r="L13" s="211">
        <v>3.82E-3</v>
      </c>
      <c r="M13" s="211">
        <v>1.64E-6</v>
      </c>
      <c r="N13" s="207" t="s">
        <v>37</v>
      </c>
      <c r="O13" s="207" t="s">
        <v>37</v>
      </c>
      <c r="P13" s="207" t="s">
        <v>37</v>
      </c>
      <c r="Q13" s="441" t="s">
        <v>37</v>
      </c>
      <c r="R13" s="101"/>
      <c r="S13" s="101"/>
      <c r="T13" s="101"/>
    </row>
    <row r="14" spans="2:20" ht="13" thickBot="1" x14ac:dyDescent="0.3">
      <c r="B14" s="442" t="s">
        <v>43</v>
      </c>
      <c r="C14" s="228" t="s">
        <v>37</v>
      </c>
      <c r="D14" s="228" t="s">
        <v>37</v>
      </c>
      <c r="E14" s="228" t="s">
        <v>37</v>
      </c>
      <c r="F14" s="228" t="s">
        <v>37</v>
      </c>
      <c r="G14" s="228" t="s">
        <v>37</v>
      </c>
      <c r="H14" s="443" t="s">
        <v>37</v>
      </c>
      <c r="I14" s="443" t="s">
        <v>37</v>
      </c>
      <c r="J14" s="443" t="s">
        <v>37</v>
      </c>
      <c r="K14" s="443" t="s">
        <v>37</v>
      </c>
      <c r="L14" s="443" t="s">
        <v>37</v>
      </c>
      <c r="M14" s="443" t="s">
        <v>37</v>
      </c>
      <c r="N14" s="228" t="s">
        <v>37</v>
      </c>
      <c r="O14" s="228" t="s">
        <v>37</v>
      </c>
      <c r="P14" s="228" t="s">
        <v>37</v>
      </c>
      <c r="Q14" s="444" t="s">
        <v>37</v>
      </c>
      <c r="R14" s="101"/>
      <c r="S14" s="101"/>
      <c r="T14" s="101"/>
    </row>
    <row r="15" spans="2:20" ht="14.5" thickBot="1" x14ac:dyDescent="0.3">
      <c r="B15" s="445" t="s">
        <v>44</v>
      </c>
      <c r="C15" s="100"/>
      <c r="D15" s="100"/>
      <c r="E15" s="100"/>
      <c r="F15" s="100"/>
      <c r="G15" s="100"/>
      <c r="H15" s="100"/>
      <c r="I15" s="100"/>
      <c r="J15" s="100"/>
      <c r="K15" s="100"/>
      <c r="L15" s="100"/>
      <c r="M15" s="100"/>
      <c r="N15" s="100"/>
      <c r="O15" s="100"/>
      <c r="P15" s="100"/>
      <c r="Q15" s="437"/>
      <c r="R15" s="101"/>
      <c r="S15" s="101"/>
      <c r="T15" s="101"/>
    </row>
    <row r="16" spans="2:20" x14ac:dyDescent="0.25">
      <c r="B16" s="446" t="s">
        <v>47</v>
      </c>
      <c r="C16" s="438" t="s">
        <v>37</v>
      </c>
      <c r="D16" s="438" t="s">
        <v>37</v>
      </c>
      <c r="E16" s="438" t="s">
        <v>37</v>
      </c>
      <c r="F16" s="438" t="s">
        <v>37</v>
      </c>
      <c r="G16" s="438" t="s">
        <v>37</v>
      </c>
      <c r="H16" s="447">
        <v>8.03E-4</v>
      </c>
      <c r="I16" s="447">
        <v>1.4100000000000001E-4</v>
      </c>
      <c r="J16" s="447">
        <v>4.0099999999999997E-6</v>
      </c>
      <c r="K16" s="447">
        <v>9.1700000000000006E-5</v>
      </c>
      <c r="L16" s="447">
        <v>7.7899999999999996E-4</v>
      </c>
      <c r="M16" s="447">
        <v>1.15E-6</v>
      </c>
      <c r="N16" s="438" t="s">
        <v>37</v>
      </c>
      <c r="O16" s="438" t="s">
        <v>37</v>
      </c>
      <c r="P16" s="438" t="s">
        <v>37</v>
      </c>
      <c r="Q16" s="439" t="s">
        <v>37</v>
      </c>
      <c r="R16" s="101"/>
      <c r="S16" s="101"/>
      <c r="T16" s="101"/>
    </row>
    <row r="17" spans="1:20" x14ac:dyDescent="0.25">
      <c r="B17" s="203" t="s">
        <v>48</v>
      </c>
      <c r="C17" s="204" t="s">
        <v>37</v>
      </c>
      <c r="D17" s="204" t="s">
        <v>37</v>
      </c>
      <c r="E17" s="204" t="s">
        <v>37</v>
      </c>
      <c r="F17" s="204" t="s">
        <v>37</v>
      </c>
      <c r="G17" s="204" t="s">
        <v>37</v>
      </c>
      <c r="H17" s="448">
        <v>8.83E-4</v>
      </c>
      <c r="I17" s="448">
        <v>2.0000000000000001E-4</v>
      </c>
      <c r="J17" s="204" t="s">
        <v>37</v>
      </c>
      <c r="K17" s="448">
        <v>5.44E-4</v>
      </c>
      <c r="L17" s="448">
        <v>5.5000000000000002E-5</v>
      </c>
      <c r="M17" s="204" t="s">
        <v>37</v>
      </c>
      <c r="N17" s="204" t="s">
        <v>37</v>
      </c>
      <c r="O17" s="204" t="s">
        <v>37</v>
      </c>
      <c r="P17" s="204" t="s">
        <v>37</v>
      </c>
      <c r="Q17" s="440" t="s">
        <v>37</v>
      </c>
      <c r="R17" s="101"/>
      <c r="S17" s="101"/>
      <c r="T17" s="101"/>
    </row>
    <row r="18" spans="1:20" x14ac:dyDescent="0.25">
      <c r="B18" s="203">
        <v>6010</v>
      </c>
      <c r="C18" s="204" t="s">
        <v>37</v>
      </c>
      <c r="D18" s="204" t="s">
        <v>37</v>
      </c>
      <c r="E18" s="204" t="s">
        <v>37</v>
      </c>
      <c r="F18" s="204" t="s">
        <v>37</v>
      </c>
      <c r="G18" s="204" t="s">
        <v>37</v>
      </c>
      <c r="H18" s="448">
        <v>3.0000000000000001E-6</v>
      </c>
      <c r="I18" s="448">
        <v>9.9999999999999995E-7</v>
      </c>
      <c r="J18" s="204" t="s">
        <v>37</v>
      </c>
      <c r="K18" s="448">
        <v>9.9099999999999991E-4</v>
      </c>
      <c r="L18" s="448">
        <v>3.9999999999999998E-6</v>
      </c>
      <c r="M18" s="204" t="s">
        <v>37</v>
      </c>
      <c r="N18" s="204" t="s">
        <v>37</v>
      </c>
      <c r="O18" s="204" t="s">
        <v>37</v>
      </c>
      <c r="P18" s="204" t="s">
        <v>37</v>
      </c>
      <c r="Q18" s="440" t="s">
        <v>37</v>
      </c>
      <c r="R18" s="101"/>
      <c r="S18" s="101"/>
      <c r="T18" s="101"/>
    </row>
    <row r="19" spans="1:20" x14ac:dyDescent="0.25">
      <c r="B19" s="203">
        <v>6011</v>
      </c>
      <c r="C19" s="204" t="s">
        <v>37</v>
      </c>
      <c r="D19" s="204" t="s">
        <v>37</v>
      </c>
      <c r="E19" s="204" t="s">
        <v>37</v>
      </c>
      <c r="F19" s="204" t="s">
        <v>37</v>
      </c>
      <c r="G19" s="448">
        <v>9.9999999999999995E-7</v>
      </c>
      <c r="H19" s="448">
        <v>5.0000000000000004E-6</v>
      </c>
      <c r="I19" s="448">
        <v>2.7499999999999999E-6</v>
      </c>
      <c r="J19" s="204" t="s">
        <v>37</v>
      </c>
      <c r="K19" s="448">
        <v>9.9799999999999997E-4</v>
      </c>
      <c r="L19" s="448">
        <v>5.0000000000000004E-6</v>
      </c>
      <c r="M19" s="204" t="s">
        <v>37</v>
      </c>
      <c r="N19" s="204" t="s">
        <v>37</v>
      </c>
      <c r="O19" s="204" t="s">
        <v>37</v>
      </c>
      <c r="P19" s="204" t="s">
        <v>37</v>
      </c>
      <c r="Q19" s="440" t="s">
        <v>37</v>
      </c>
      <c r="R19" s="101"/>
      <c r="S19" s="101"/>
      <c r="T19" s="101"/>
    </row>
    <row r="20" spans="1:20" x14ac:dyDescent="0.25">
      <c r="B20" s="209" t="s">
        <v>49</v>
      </c>
      <c r="C20" s="204" t="s">
        <v>37</v>
      </c>
      <c r="D20" s="204" t="s">
        <v>37</v>
      </c>
      <c r="E20" s="204" t="s">
        <v>37</v>
      </c>
      <c r="F20" s="204" t="s">
        <v>37</v>
      </c>
      <c r="G20" s="204" t="s">
        <v>37</v>
      </c>
      <c r="H20" s="448">
        <v>8.83E-4</v>
      </c>
      <c r="I20" s="448">
        <v>2.0000000000000001E-4</v>
      </c>
      <c r="J20" s="204" t="s">
        <v>37</v>
      </c>
      <c r="K20" s="448">
        <v>5.44E-4</v>
      </c>
      <c r="L20" s="448">
        <v>5.5000000000000002E-5</v>
      </c>
      <c r="M20" s="204" t="s">
        <v>37</v>
      </c>
      <c r="N20" s="204" t="s">
        <v>37</v>
      </c>
      <c r="O20" s="204" t="s">
        <v>37</v>
      </c>
      <c r="P20" s="204" t="s">
        <v>37</v>
      </c>
      <c r="Q20" s="440" t="s">
        <v>37</v>
      </c>
      <c r="R20" s="101"/>
      <c r="S20" s="101"/>
      <c r="T20" s="101"/>
    </row>
    <row r="21" spans="1:20" ht="13" thickBot="1" x14ac:dyDescent="0.3">
      <c r="B21" s="442">
        <v>7018</v>
      </c>
      <c r="C21" s="228" t="s">
        <v>37</v>
      </c>
      <c r="D21" s="228" t="s">
        <v>37</v>
      </c>
      <c r="E21" s="228" t="s">
        <v>37</v>
      </c>
      <c r="F21" s="228" t="s">
        <v>37</v>
      </c>
      <c r="G21" s="449">
        <v>9.9999999999999995E-7</v>
      </c>
      <c r="H21" s="449">
        <v>1.17E-5</v>
      </c>
      <c r="I21" s="449">
        <v>6.4300000000000003E-6</v>
      </c>
      <c r="J21" s="228" t="s">
        <v>37</v>
      </c>
      <c r="K21" s="449">
        <v>1.0300000000000001E-3</v>
      </c>
      <c r="L21" s="449">
        <v>1.9999999999999999E-6</v>
      </c>
      <c r="M21" s="228" t="s">
        <v>37</v>
      </c>
      <c r="N21" s="228" t="s">
        <v>37</v>
      </c>
      <c r="O21" s="228" t="s">
        <v>37</v>
      </c>
      <c r="P21" s="228" t="s">
        <v>37</v>
      </c>
      <c r="Q21" s="444" t="s">
        <v>37</v>
      </c>
      <c r="R21" s="101"/>
      <c r="S21" s="101"/>
      <c r="T21" s="101"/>
    </row>
    <row r="22" spans="1:20" s="450" customFormat="1" ht="10" x14ac:dyDescent="0.2">
      <c r="A22" s="450">
        <v>1</v>
      </c>
      <c r="B22" s="102" t="s">
        <v>52</v>
      </c>
      <c r="C22" s="102"/>
      <c r="D22" s="102"/>
      <c r="E22" s="102"/>
      <c r="F22" s="102"/>
      <c r="G22" s="102"/>
      <c r="H22" s="102"/>
      <c r="I22" s="102"/>
      <c r="J22" s="102"/>
      <c r="K22" s="102"/>
      <c r="L22" s="102"/>
      <c r="M22" s="102"/>
      <c r="N22" s="102"/>
      <c r="O22" s="102"/>
      <c r="P22" s="102"/>
      <c r="Q22" s="102"/>
      <c r="R22" s="102"/>
      <c r="S22" s="102"/>
      <c r="T22" s="102"/>
    </row>
    <row r="23" spans="1:20" s="450" customFormat="1" ht="27" customHeight="1" x14ac:dyDescent="0.2">
      <c r="A23" s="451">
        <v>2</v>
      </c>
      <c r="B23" s="623" t="s">
        <v>53</v>
      </c>
      <c r="C23" s="623"/>
      <c r="D23" s="623"/>
      <c r="E23" s="623"/>
      <c r="F23" s="623"/>
      <c r="G23" s="623"/>
      <c r="H23" s="623"/>
      <c r="I23" s="623"/>
      <c r="J23" s="623"/>
      <c r="K23" s="623"/>
      <c r="L23" s="623"/>
      <c r="M23" s="623"/>
      <c r="N23" s="623"/>
      <c r="O23" s="623"/>
      <c r="P23" s="623"/>
      <c r="Q23" s="623"/>
      <c r="R23" s="102"/>
      <c r="S23" s="102"/>
      <c r="T23" s="102"/>
    </row>
    <row r="24" spans="1:20" s="450" customFormat="1" ht="30.65" customHeight="1" x14ac:dyDescent="0.2">
      <c r="A24" s="452">
        <v>3</v>
      </c>
      <c r="B24" s="623" t="s">
        <v>254</v>
      </c>
      <c r="C24" s="623"/>
      <c r="D24" s="623"/>
      <c r="E24" s="623"/>
      <c r="F24" s="623"/>
      <c r="G24" s="623"/>
      <c r="H24" s="623"/>
      <c r="I24" s="623"/>
      <c r="J24" s="623"/>
      <c r="K24" s="623"/>
      <c r="L24" s="623"/>
      <c r="M24" s="623"/>
      <c r="N24" s="623"/>
      <c r="O24" s="623"/>
      <c r="P24" s="623"/>
      <c r="Q24" s="623"/>
      <c r="R24" s="102"/>
      <c r="S24" s="102"/>
      <c r="T24" s="102"/>
    </row>
    <row r="25" spans="1:20" s="450" customFormat="1" ht="10.5" thickBot="1" x14ac:dyDescent="0.25">
      <c r="A25" s="450">
        <v>4</v>
      </c>
      <c r="B25" s="232" t="s">
        <v>54</v>
      </c>
      <c r="C25" s="102"/>
      <c r="D25" s="102"/>
      <c r="E25" s="102"/>
      <c r="F25" s="102"/>
      <c r="G25" s="102"/>
      <c r="H25" s="102"/>
      <c r="I25" s="102"/>
      <c r="J25" s="102"/>
      <c r="K25" s="102"/>
      <c r="L25" s="102"/>
      <c r="M25" s="102"/>
      <c r="N25" s="102"/>
      <c r="O25" s="102"/>
      <c r="P25" s="102"/>
      <c r="Q25" s="102"/>
      <c r="R25" s="102"/>
      <c r="S25" s="102"/>
      <c r="T25" s="102"/>
    </row>
    <row r="26" spans="1:20" ht="13" thickBot="1" x14ac:dyDescent="0.3">
      <c r="B26" s="195" t="s">
        <v>55</v>
      </c>
      <c r="C26" s="218"/>
      <c r="D26" s="219"/>
      <c r="E26" s="220">
        <v>0.99</v>
      </c>
      <c r="F26" s="101"/>
      <c r="G26" s="101"/>
      <c r="H26" s="101"/>
      <c r="I26" s="101"/>
      <c r="J26" s="101"/>
      <c r="K26" s="101"/>
      <c r="L26" s="101"/>
      <c r="M26" s="101"/>
      <c r="N26" s="101"/>
      <c r="O26" s="101"/>
      <c r="P26" s="101"/>
      <c r="Q26" s="101"/>
      <c r="R26" s="101"/>
      <c r="S26" s="101"/>
      <c r="T26" s="101"/>
    </row>
    <row r="27" spans="1:20" ht="13" thickBot="1" x14ac:dyDescent="0.3">
      <c r="B27" s="195" t="s">
        <v>56</v>
      </c>
      <c r="C27" s="218"/>
      <c r="D27" s="219"/>
      <c r="E27" s="220">
        <v>0</v>
      </c>
      <c r="F27" s="101"/>
      <c r="G27" s="101"/>
      <c r="H27" s="101"/>
      <c r="I27" s="101"/>
      <c r="J27" s="101"/>
      <c r="K27" s="101"/>
      <c r="L27" s="101"/>
      <c r="M27" s="101"/>
      <c r="N27" s="101"/>
      <c r="O27" s="101"/>
      <c r="P27" s="101"/>
      <c r="Q27" s="101"/>
      <c r="R27" s="101"/>
      <c r="S27" s="101"/>
      <c r="T27" s="101"/>
    </row>
    <row r="28" spans="1:20" ht="13" thickBot="1" x14ac:dyDescent="0.3">
      <c r="B28" s="195" t="s">
        <v>57</v>
      </c>
      <c r="C28" s="218"/>
      <c r="D28" s="219"/>
      <c r="E28" s="220">
        <v>0.35</v>
      </c>
      <c r="F28" s="101"/>
      <c r="G28" s="101"/>
      <c r="H28" s="101"/>
      <c r="I28" s="101"/>
      <c r="J28" s="101"/>
      <c r="K28" s="101"/>
      <c r="L28" s="101"/>
      <c r="M28" s="101"/>
      <c r="N28" s="101"/>
      <c r="O28" s="101"/>
      <c r="P28" s="101"/>
      <c r="Q28" s="101"/>
      <c r="R28" s="101"/>
      <c r="S28" s="101"/>
      <c r="T28" s="101"/>
    </row>
    <row r="29" spans="1:20" s="450" customFormat="1" ht="10" x14ac:dyDescent="0.2">
      <c r="A29" s="450">
        <v>5</v>
      </c>
      <c r="B29" s="450" t="s">
        <v>58</v>
      </c>
    </row>
  </sheetData>
  <mergeCells count="3">
    <mergeCell ref="C4:Q4"/>
    <mergeCell ref="B24:Q24"/>
    <mergeCell ref="B23:Q23"/>
  </mergeCells>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DD448-4392-4BA2-88BF-6C82D2E1F781}">
  <sheetPr>
    <tabColor theme="7" tint="0.59999389629810485"/>
  </sheetPr>
  <dimension ref="A1:AC46"/>
  <sheetViews>
    <sheetView workbookViewId="0"/>
  </sheetViews>
  <sheetFormatPr defaultColWidth="9.1796875" defaultRowHeight="12.5" x14ac:dyDescent="0.25"/>
  <cols>
    <col min="1" max="1" width="9.1796875" style="290"/>
    <col min="2" max="2" width="21.1796875" style="290" customWidth="1"/>
    <col min="3" max="3" width="31" style="290" customWidth="1"/>
    <col min="4" max="15" width="12.1796875" style="290" customWidth="1"/>
    <col min="16" max="16" width="14.81640625" style="290" customWidth="1"/>
    <col min="17" max="17" width="12.1796875" style="290" customWidth="1"/>
    <col min="18" max="18" width="12.54296875" style="290" customWidth="1"/>
    <col min="19" max="19" width="15.453125" style="290" customWidth="1"/>
    <col min="20" max="16384" width="9.1796875" style="290"/>
  </cols>
  <sheetData>
    <row r="1" spans="1:29" x14ac:dyDescent="0.25">
      <c r="A1" s="101"/>
      <c r="B1" s="101"/>
      <c r="C1" s="101"/>
      <c r="D1" s="101"/>
      <c r="E1" s="101"/>
      <c r="F1" s="101"/>
      <c r="G1" s="101"/>
      <c r="H1" s="101"/>
      <c r="I1" s="101"/>
      <c r="J1" s="101"/>
      <c r="K1" s="101"/>
      <c r="L1" s="101"/>
      <c r="M1" s="101"/>
      <c r="N1" s="101"/>
      <c r="O1" s="101"/>
      <c r="P1" s="101"/>
      <c r="Q1" s="101"/>
      <c r="R1" s="101"/>
      <c r="S1" s="101"/>
      <c r="T1" s="101"/>
      <c r="U1" s="101"/>
      <c r="V1" s="101"/>
      <c r="W1" s="101"/>
      <c r="X1" s="101"/>
      <c r="Y1" s="101"/>
      <c r="Z1" s="101"/>
      <c r="AA1" s="101"/>
      <c r="AB1" s="101"/>
      <c r="AC1" s="101"/>
    </row>
    <row r="2" spans="1:29" x14ac:dyDescent="0.25">
      <c r="A2" s="101"/>
      <c r="B2" s="101"/>
      <c r="C2" s="100" t="s">
        <v>255</v>
      </c>
      <c r="D2" s="101"/>
      <c r="E2" s="101"/>
      <c r="F2" s="101"/>
      <c r="G2" s="101"/>
      <c r="H2" s="101"/>
      <c r="I2" s="101" t="s">
        <v>256</v>
      </c>
      <c r="J2" s="101"/>
      <c r="K2" s="101"/>
      <c r="L2" s="101"/>
      <c r="M2" s="101"/>
      <c r="N2" s="101"/>
      <c r="O2" s="101"/>
      <c r="P2" s="101"/>
      <c r="Q2" s="101"/>
      <c r="R2" s="101"/>
      <c r="S2" s="101"/>
      <c r="T2" s="101"/>
      <c r="U2" s="101"/>
      <c r="V2" s="101"/>
      <c r="W2" s="101"/>
      <c r="X2" s="101"/>
      <c r="Y2" s="101"/>
      <c r="Z2" s="101"/>
      <c r="AA2" s="101"/>
      <c r="AB2" s="101"/>
      <c r="AC2" s="101"/>
    </row>
    <row r="3" spans="1:29" ht="7" customHeight="1" x14ac:dyDescent="0.25">
      <c r="A3" s="101"/>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row>
    <row r="4" spans="1:29" ht="7" customHeight="1" thickBot="1" x14ac:dyDescent="0.3">
      <c r="A4" s="101"/>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row>
    <row r="5" spans="1:29" ht="13" thickBot="1" x14ac:dyDescent="0.3">
      <c r="A5" s="101"/>
      <c r="B5" s="101"/>
      <c r="C5" s="101"/>
      <c r="D5" s="611" t="s">
        <v>95</v>
      </c>
      <c r="E5" s="612"/>
      <c r="F5" s="612"/>
      <c r="G5" s="612"/>
      <c r="H5" s="612"/>
      <c r="I5" s="612"/>
      <c r="J5" s="612"/>
      <c r="K5" s="612"/>
      <c r="L5" s="612"/>
      <c r="M5" s="612"/>
      <c r="N5" s="612"/>
      <c r="O5" s="612"/>
      <c r="P5" s="612"/>
      <c r="Q5" s="612"/>
      <c r="R5" s="612"/>
      <c r="S5" s="613"/>
      <c r="T5" s="101"/>
      <c r="U5" s="101"/>
      <c r="V5" s="101"/>
      <c r="W5" s="101"/>
      <c r="X5" s="101"/>
      <c r="Y5" s="101"/>
      <c r="Z5" s="101"/>
      <c r="AA5" s="101"/>
      <c r="AB5" s="101"/>
      <c r="AC5" s="101"/>
    </row>
    <row r="6" spans="1:29" s="455" customFormat="1" ht="38.25" customHeight="1" thickBot="1" x14ac:dyDescent="0.3">
      <c r="A6" s="190"/>
      <c r="B6" s="221" t="s">
        <v>137</v>
      </c>
      <c r="C6" s="190"/>
      <c r="D6" s="453" t="s">
        <v>2</v>
      </c>
      <c r="E6" s="273" t="s">
        <v>3</v>
      </c>
      <c r="F6" s="273" t="s">
        <v>4</v>
      </c>
      <c r="G6" s="273" t="s">
        <v>5</v>
      </c>
      <c r="H6" s="273" t="s">
        <v>6</v>
      </c>
      <c r="I6" s="273" t="s">
        <v>7</v>
      </c>
      <c r="J6" s="273" t="s">
        <v>8</v>
      </c>
      <c r="K6" s="273" t="s">
        <v>9</v>
      </c>
      <c r="L6" s="273" t="s">
        <v>10</v>
      </c>
      <c r="M6" s="273" t="s">
        <v>11</v>
      </c>
      <c r="N6" s="273" t="s">
        <v>12</v>
      </c>
      <c r="O6" s="273" t="s">
        <v>13</v>
      </c>
      <c r="P6" s="315" t="s">
        <v>14</v>
      </c>
      <c r="Q6" s="273" t="s">
        <v>15</v>
      </c>
      <c r="R6" s="243" t="s">
        <v>16</v>
      </c>
      <c r="S6" s="454" t="s">
        <v>17</v>
      </c>
      <c r="T6" s="190"/>
      <c r="U6" s="190"/>
      <c r="V6" s="190"/>
      <c r="W6" s="190"/>
      <c r="X6" s="190"/>
      <c r="Y6" s="190"/>
      <c r="Z6" s="190"/>
      <c r="AA6" s="190"/>
      <c r="AB6" s="190"/>
      <c r="AC6" s="190"/>
    </row>
    <row r="7" spans="1:29" s="460" customFormat="1" x14ac:dyDescent="0.25">
      <c r="A7" s="252"/>
      <c r="B7" s="224" t="s">
        <v>36</v>
      </c>
      <c r="C7" s="456" t="s">
        <v>64</v>
      </c>
      <c r="D7" s="457"/>
      <c r="E7" s="458"/>
      <c r="F7" s="458"/>
      <c r="G7" s="458"/>
      <c r="H7" s="458"/>
      <c r="I7" s="458"/>
      <c r="J7" s="458"/>
      <c r="K7" s="458"/>
      <c r="L7" s="458"/>
      <c r="M7" s="458"/>
      <c r="N7" s="458"/>
      <c r="O7" s="458"/>
      <c r="P7" s="458"/>
      <c r="Q7" s="458"/>
      <c r="R7" s="458"/>
      <c r="S7" s="459"/>
      <c r="T7" s="252"/>
      <c r="U7" s="252"/>
      <c r="V7" s="252"/>
      <c r="W7" s="252"/>
      <c r="X7" s="252"/>
      <c r="Y7" s="252"/>
      <c r="Z7" s="252"/>
      <c r="AA7" s="252"/>
      <c r="AB7" s="252"/>
      <c r="AC7" s="252"/>
    </row>
    <row r="8" spans="1:29" s="465" customFormat="1" x14ac:dyDescent="0.25">
      <c r="A8" s="101"/>
      <c r="B8" s="190" t="s">
        <v>66</v>
      </c>
      <c r="C8" s="299" t="s">
        <v>67</v>
      </c>
      <c r="D8" s="461"/>
      <c r="E8" s="462"/>
      <c r="F8" s="462"/>
      <c r="G8" s="462"/>
      <c r="H8" s="462"/>
      <c r="I8" s="462">
        <v>0.17</v>
      </c>
      <c r="J8" s="462">
        <v>0.05</v>
      </c>
      <c r="K8" s="463">
        <v>5.0000000000000001E-3</v>
      </c>
      <c r="L8" s="462">
        <v>0.01</v>
      </c>
      <c r="M8" s="462">
        <v>0.7</v>
      </c>
      <c r="N8" s="464">
        <v>2.9999999999999997E-4</v>
      </c>
      <c r="O8" s="462"/>
      <c r="P8" s="462"/>
      <c r="Q8" s="462"/>
      <c r="R8" s="178"/>
      <c r="S8" s="323"/>
      <c r="T8" s="101"/>
      <c r="U8" s="101"/>
      <c r="V8" s="101"/>
      <c r="W8" s="101"/>
      <c r="X8" s="101"/>
      <c r="Y8" s="101"/>
      <c r="Z8" s="101"/>
      <c r="AA8" s="101"/>
      <c r="AB8" s="101"/>
      <c r="AC8" s="101"/>
    </row>
    <row r="9" spans="1:29" s="465" customFormat="1" x14ac:dyDescent="0.25">
      <c r="A9" s="101"/>
      <c r="B9" s="190" t="s">
        <v>36</v>
      </c>
      <c r="C9" s="299" t="s">
        <v>68</v>
      </c>
      <c r="D9" s="461"/>
      <c r="E9" s="462"/>
      <c r="F9" s="462"/>
      <c r="G9" s="462"/>
      <c r="H9" s="462"/>
      <c r="I9" s="462"/>
      <c r="J9" s="462"/>
      <c r="K9" s="462"/>
      <c r="L9" s="462"/>
      <c r="M9" s="462"/>
      <c r="N9" s="462"/>
      <c r="O9" s="462"/>
      <c r="P9" s="462"/>
      <c r="Q9" s="462"/>
      <c r="R9" s="462"/>
      <c r="S9" s="323"/>
      <c r="T9" s="101"/>
      <c r="U9" s="101"/>
      <c r="V9" s="101"/>
      <c r="W9" s="101"/>
      <c r="X9" s="101"/>
      <c r="Y9" s="101"/>
      <c r="Z9" s="101"/>
      <c r="AA9" s="101"/>
      <c r="AB9" s="101"/>
      <c r="AC9" s="101"/>
    </row>
    <row r="10" spans="1:29" s="465" customFormat="1" x14ac:dyDescent="0.25">
      <c r="A10" s="101"/>
      <c r="B10" s="190" t="s">
        <v>41</v>
      </c>
      <c r="C10" s="299" t="s">
        <v>69</v>
      </c>
      <c r="D10" s="461"/>
      <c r="E10" s="462"/>
      <c r="F10" s="462"/>
      <c r="G10" s="462"/>
      <c r="H10" s="462"/>
      <c r="I10" s="462"/>
      <c r="J10" s="462"/>
      <c r="K10" s="462"/>
      <c r="L10" s="462"/>
      <c r="M10" s="462"/>
      <c r="N10" s="462"/>
      <c r="O10" s="462"/>
      <c r="P10" s="462"/>
      <c r="Q10" s="462"/>
      <c r="R10" s="462"/>
      <c r="S10" s="323"/>
      <c r="T10" s="101"/>
      <c r="U10" s="101"/>
      <c r="V10" s="101"/>
      <c r="W10" s="101"/>
      <c r="X10" s="101"/>
      <c r="Y10" s="101"/>
      <c r="Z10" s="101"/>
      <c r="AA10" s="101"/>
      <c r="AB10" s="101"/>
      <c r="AC10" s="101"/>
    </row>
    <row r="11" spans="1:29" s="465" customFormat="1" x14ac:dyDescent="0.25">
      <c r="A11" s="101"/>
      <c r="B11" s="190" t="s">
        <v>41</v>
      </c>
      <c r="C11" s="299" t="s">
        <v>70</v>
      </c>
      <c r="D11" s="461"/>
      <c r="E11" s="462"/>
      <c r="F11" s="462"/>
      <c r="G11" s="462"/>
      <c r="H11" s="462"/>
      <c r="I11" s="462"/>
      <c r="J11" s="462"/>
      <c r="K11" s="462"/>
      <c r="L11" s="462"/>
      <c r="M11" s="462"/>
      <c r="N11" s="462"/>
      <c r="O11" s="462"/>
      <c r="P11" s="462"/>
      <c r="Q11" s="462"/>
      <c r="R11" s="462"/>
      <c r="S11" s="466"/>
      <c r="T11" s="101"/>
      <c r="U11" s="101"/>
      <c r="V11" s="101"/>
      <c r="W11" s="101"/>
      <c r="X11" s="101"/>
      <c r="Y11" s="101"/>
      <c r="Z11" s="101"/>
      <c r="AA11" s="101"/>
      <c r="AB11" s="101"/>
      <c r="AC11" s="101"/>
    </row>
    <row r="12" spans="1:29" s="465" customFormat="1" x14ac:dyDescent="0.25">
      <c r="A12" s="101"/>
      <c r="B12" s="190" t="s">
        <v>40</v>
      </c>
      <c r="C12" s="299" t="s">
        <v>71</v>
      </c>
      <c r="D12" s="461"/>
      <c r="E12" s="462"/>
      <c r="F12" s="462"/>
      <c r="G12" s="462"/>
      <c r="H12" s="462"/>
      <c r="I12" s="462"/>
      <c r="J12" s="462"/>
      <c r="K12" s="464">
        <v>6.9999999999999999E-4</v>
      </c>
      <c r="L12" s="463">
        <v>1.6E-2</v>
      </c>
      <c r="M12" s="463">
        <v>0.13600000000000001</v>
      </c>
      <c r="N12" s="464">
        <v>2.0000000000000001E-4</v>
      </c>
      <c r="O12" s="462"/>
      <c r="P12" s="462"/>
      <c r="Q12" s="462"/>
      <c r="R12" s="462"/>
      <c r="S12" s="466"/>
      <c r="T12" s="101"/>
      <c r="U12" s="101"/>
      <c r="V12" s="101"/>
      <c r="W12" s="101"/>
      <c r="X12" s="101"/>
      <c r="Y12" s="101"/>
      <c r="Z12" s="101"/>
      <c r="AA12" s="101"/>
      <c r="AB12" s="101"/>
      <c r="AC12" s="101"/>
    </row>
    <row r="13" spans="1:29" s="465" customFormat="1" x14ac:dyDescent="0.25">
      <c r="A13" s="101"/>
      <c r="B13" s="190" t="s">
        <v>40</v>
      </c>
      <c r="C13" s="299" t="s">
        <v>72</v>
      </c>
      <c r="D13" s="461"/>
      <c r="E13" s="462"/>
      <c r="F13" s="462"/>
      <c r="G13" s="462"/>
      <c r="H13" s="462"/>
      <c r="I13" s="462"/>
      <c r="J13" s="462"/>
      <c r="K13" s="464">
        <v>6.9999999999999999E-4</v>
      </c>
      <c r="L13" s="463">
        <v>1.6E-2</v>
      </c>
      <c r="M13" s="463">
        <v>0.13600000000000001</v>
      </c>
      <c r="N13" s="464">
        <v>2.0000000000000001E-4</v>
      </c>
      <c r="O13" s="462"/>
      <c r="P13" s="462"/>
      <c r="Q13" s="462"/>
      <c r="R13" s="462"/>
      <c r="S13" s="466"/>
      <c r="T13" s="101"/>
      <c r="U13" s="101"/>
      <c r="V13" s="101"/>
      <c r="W13" s="101"/>
      <c r="X13" s="101"/>
      <c r="Y13" s="101"/>
      <c r="Z13" s="101"/>
      <c r="AA13" s="101"/>
      <c r="AB13" s="101"/>
      <c r="AC13" s="101"/>
    </row>
    <row r="14" spans="1:29" s="465" customFormat="1" x14ac:dyDescent="0.25">
      <c r="A14" s="101"/>
      <c r="B14" s="190">
        <v>6010</v>
      </c>
      <c r="C14" s="299" t="s">
        <v>73</v>
      </c>
      <c r="D14" s="461"/>
      <c r="E14" s="462"/>
      <c r="F14" s="462"/>
      <c r="G14" s="462"/>
      <c r="H14" s="462"/>
      <c r="I14" s="462"/>
      <c r="J14" s="462"/>
      <c r="K14" s="462"/>
      <c r="L14" s="462"/>
      <c r="M14" s="462"/>
      <c r="N14" s="462"/>
      <c r="O14" s="462"/>
      <c r="P14" s="462"/>
      <c r="Q14" s="462"/>
      <c r="R14" s="462"/>
      <c r="S14" s="466"/>
      <c r="T14" s="101"/>
      <c r="U14" s="101"/>
      <c r="V14" s="101"/>
      <c r="W14" s="101"/>
      <c r="X14" s="101"/>
      <c r="Y14" s="101"/>
      <c r="Z14" s="101"/>
      <c r="AA14" s="101"/>
      <c r="AB14" s="101"/>
      <c r="AC14" s="101"/>
    </row>
    <row r="15" spans="1:29" s="465" customFormat="1" x14ac:dyDescent="0.25">
      <c r="A15" s="101"/>
      <c r="B15" s="190" t="s">
        <v>38</v>
      </c>
      <c r="C15" s="299" t="s">
        <v>75</v>
      </c>
      <c r="D15" s="461"/>
      <c r="E15" s="462"/>
      <c r="F15" s="462"/>
      <c r="G15" s="462"/>
      <c r="H15" s="462"/>
      <c r="I15" s="462"/>
      <c r="J15" s="462"/>
      <c r="K15" s="463">
        <v>1E-3</v>
      </c>
      <c r="L15" s="464">
        <v>1.95E-2</v>
      </c>
      <c r="M15" s="464">
        <v>2.0000000000000001E-4</v>
      </c>
      <c r="N15" s="467">
        <v>1.2E-4</v>
      </c>
      <c r="O15" s="462"/>
      <c r="P15" s="462"/>
      <c r="Q15" s="462"/>
      <c r="R15" s="462"/>
      <c r="S15" s="466"/>
      <c r="T15" s="101"/>
      <c r="U15" s="101"/>
      <c r="V15" s="101"/>
      <c r="W15" s="101"/>
      <c r="X15" s="101"/>
      <c r="Y15" s="101"/>
      <c r="Z15" s="101"/>
      <c r="AA15" s="101"/>
      <c r="AB15" s="101"/>
      <c r="AC15" s="101"/>
    </row>
    <row r="16" spans="1:29" s="465" customFormat="1" x14ac:dyDescent="0.25">
      <c r="A16" s="101"/>
      <c r="B16" s="190" t="s">
        <v>36</v>
      </c>
      <c r="C16" s="299" t="s">
        <v>76</v>
      </c>
      <c r="D16" s="461"/>
      <c r="E16" s="462"/>
      <c r="F16" s="462"/>
      <c r="G16" s="462"/>
      <c r="H16" s="462"/>
      <c r="I16" s="462"/>
      <c r="J16" s="462"/>
      <c r="K16" s="462"/>
      <c r="L16" s="462"/>
      <c r="M16" s="462"/>
      <c r="N16" s="462"/>
      <c r="O16" s="462"/>
      <c r="P16" s="462"/>
      <c r="Q16" s="462"/>
      <c r="R16" s="462"/>
      <c r="S16" s="466"/>
      <c r="T16" s="101"/>
      <c r="U16" s="101"/>
      <c r="V16" s="101"/>
      <c r="W16" s="101"/>
      <c r="X16" s="101"/>
      <c r="Y16" s="101"/>
      <c r="Z16" s="101"/>
      <c r="AA16" s="101"/>
      <c r="AB16" s="101"/>
      <c r="AC16" s="101"/>
    </row>
    <row r="17" spans="1:29" s="465" customFormat="1" x14ac:dyDescent="0.25">
      <c r="A17" s="101"/>
      <c r="B17" s="190" t="s">
        <v>39</v>
      </c>
      <c r="C17" s="299" t="s">
        <v>77</v>
      </c>
      <c r="D17" s="461"/>
      <c r="E17" s="462"/>
      <c r="F17" s="462"/>
      <c r="G17" s="462"/>
      <c r="H17" s="462"/>
      <c r="I17" s="463">
        <v>2.4E-2</v>
      </c>
      <c r="J17" s="463">
        <v>0.05</v>
      </c>
      <c r="K17" s="464">
        <v>8.0000000000000004E-4</v>
      </c>
      <c r="L17" s="464">
        <v>5.7999999999999996E-3</v>
      </c>
      <c r="M17" s="464">
        <v>4.0000000000000002E-4</v>
      </c>
      <c r="N17" s="467">
        <v>5.0000000000000002E-5</v>
      </c>
      <c r="O17" s="462"/>
      <c r="P17" s="462"/>
      <c r="Q17" s="462"/>
      <c r="R17" s="462"/>
      <c r="S17" s="466"/>
      <c r="T17" s="101"/>
      <c r="U17" s="101"/>
      <c r="V17" s="101"/>
      <c r="W17" s="101"/>
      <c r="X17" s="101"/>
      <c r="Y17" s="101"/>
      <c r="Z17" s="101"/>
      <c r="AA17" s="101"/>
      <c r="AB17" s="101"/>
      <c r="AC17" s="101"/>
    </row>
    <row r="18" spans="1:29" s="465" customFormat="1" x14ac:dyDescent="0.25">
      <c r="A18" s="101"/>
      <c r="B18" s="190">
        <v>6010</v>
      </c>
      <c r="C18" s="299" t="s">
        <v>78</v>
      </c>
      <c r="D18" s="461"/>
      <c r="E18" s="462"/>
      <c r="F18" s="462"/>
      <c r="G18" s="462"/>
      <c r="H18" s="462"/>
      <c r="I18" s="462"/>
      <c r="J18" s="462"/>
      <c r="K18" s="462"/>
      <c r="L18" s="462"/>
      <c r="M18" s="462"/>
      <c r="N18" s="462"/>
      <c r="O18" s="462"/>
      <c r="P18" s="462"/>
      <c r="Q18" s="462"/>
      <c r="R18" s="462"/>
      <c r="S18" s="466"/>
      <c r="T18" s="101"/>
      <c r="U18" s="101"/>
      <c r="V18" s="101"/>
      <c r="W18" s="101"/>
      <c r="X18" s="101"/>
      <c r="Y18" s="101"/>
      <c r="Z18" s="101"/>
      <c r="AA18" s="101"/>
      <c r="AB18" s="101"/>
      <c r="AC18" s="101"/>
    </row>
    <row r="19" spans="1:29" s="465" customFormat="1" x14ac:dyDescent="0.25">
      <c r="A19" s="101"/>
      <c r="B19" s="190">
        <v>6010</v>
      </c>
      <c r="C19" s="299" t="s">
        <v>79</v>
      </c>
      <c r="D19" s="461"/>
      <c r="E19" s="462"/>
      <c r="F19" s="462"/>
      <c r="G19" s="462"/>
      <c r="H19" s="462"/>
      <c r="I19" s="462"/>
      <c r="J19" s="462"/>
      <c r="K19" s="462"/>
      <c r="L19" s="462"/>
      <c r="M19" s="462"/>
      <c r="N19" s="462"/>
      <c r="O19" s="462"/>
      <c r="P19" s="462"/>
      <c r="Q19" s="462"/>
      <c r="R19" s="462"/>
      <c r="S19" s="466"/>
      <c r="T19" s="101"/>
      <c r="U19" s="101"/>
      <c r="V19" s="101"/>
      <c r="W19" s="101"/>
      <c r="X19" s="101"/>
      <c r="Y19" s="101"/>
      <c r="Z19" s="101"/>
      <c r="AA19" s="101"/>
      <c r="AB19" s="101"/>
      <c r="AC19" s="101"/>
    </row>
    <row r="20" spans="1:29" s="465" customFormat="1" x14ac:dyDescent="0.25">
      <c r="A20" s="101"/>
      <c r="B20" s="190">
        <v>6010</v>
      </c>
      <c r="C20" s="299" t="s">
        <v>80</v>
      </c>
      <c r="D20" s="461"/>
      <c r="E20" s="462"/>
      <c r="F20" s="462"/>
      <c r="G20" s="462"/>
      <c r="H20" s="462"/>
      <c r="I20" s="462"/>
      <c r="J20" s="462"/>
      <c r="K20" s="462"/>
      <c r="L20" s="462"/>
      <c r="M20" s="462"/>
      <c r="N20" s="462"/>
      <c r="O20" s="462"/>
      <c r="P20" s="462"/>
      <c r="Q20" s="462"/>
      <c r="R20" s="462"/>
      <c r="S20" s="466"/>
      <c r="T20" s="101"/>
      <c r="U20" s="101"/>
      <c r="V20" s="101"/>
      <c r="W20" s="101"/>
      <c r="X20" s="101"/>
      <c r="Y20" s="101"/>
      <c r="Z20" s="101"/>
      <c r="AA20" s="101"/>
      <c r="AB20" s="101"/>
      <c r="AC20" s="101"/>
    </row>
    <row r="21" spans="1:29" s="465" customFormat="1" x14ac:dyDescent="0.25">
      <c r="A21" s="101"/>
      <c r="B21" s="190">
        <v>6011</v>
      </c>
      <c r="C21" s="299" t="s">
        <v>81</v>
      </c>
      <c r="D21" s="461"/>
      <c r="E21" s="462"/>
      <c r="F21" s="462"/>
      <c r="G21" s="462"/>
      <c r="H21" s="462"/>
      <c r="I21" s="462"/>
      <c r="J21" s="462">
        <v>0.55000000000000004</v>
      </c>
      <c r="K21" s="462"/>
      <c r="L21" s="462"/>
      <c r="M21" s="462"/>
      <c r="N21" s="462"/>
      <c r="O21" s="462"/>
      <c r="P21" s="462"/>
      <c r="Q21" s="462"/>
      <c r="R21" s="462"/>
      <c r="S21" s="466"/>
      <c r="T21" s="101"/>
      <c r="U21" s="101"/>
      <c r="V21" s="101"/>
      <c r="W21" s="101"/>
      <c r="X21" s="101"/>
      <c r="Y21" s="101"/>
      <c r="Z21" s="101"/>
      <c r="AA21" s="101"/>
      <c r="AB21" s="101"/>
      <c r="AC21" s="101"/>
    </row>
    <row r="22" spans="1:29" s="465" customFormat="1" x14ac:dyDescent="0.25">
      <c r="A22" s="101"/>
      <c r="B22" s="190" t="s">
        <v>45</v>
      </c>
      <c r="C22" s="299" t="s">
        <v>82</v>
      </c>
      <c r="D22" s="461"/>
      <c r="E22" s="462"/>
      <c r="F22" s="462"/>
      <c r="G22" s="462"/>
      <c r="H22" s="462"/>
      <c r="I22" s="462">
        <v>0.17</v>
      </c>
      <c r="J22" s="462">
        <v>0.05</v>
      </c>
      <c r="K22" s="463">
        <v>5.0000000000000001E-3</v>
      </c>
      <c r="L22" s="462">
        <v>0.01</v>
      </c>
      <c r="M22" s="462">
        <v>0.7</v>
      </c>
      <c r="N22" s="464">
        <v>2.9999999999999997E-4</v>
      </c>
      <c r="O22" s="462"/>
      <c r="P22" s="462"/>
      <c r="Q22" s="462"/>
      <c r="R22" s="462"/>
      <c r="S22" s="466"/>
      <c r="T22" s="101"/>
      <c r="U22" s="101"/>
      <c r="V22" s="101"/>
      <c r="W22" s="101"/>
      <c r="X22" s="101"/>
      <c r="Y22" s="101"/>
      <c r="Z22" s="101"/>
      <c r="AA22" s="101"/>
      <c r="AB22" s="101"/>
      <c r="AC22" s="101"/>
    </row>
    <row r="23" spans="1:29" s="465" customFormat="1" x14ac:dyDescent="0.25">
      <c r="A23" s="101"/>
      <c r="B23" s="190" t="s">
        <v>49</v>
      </c>
      <c r="C23" s="299" t="s">
        <v>83</v>
      </c>
      <c r="D23" s="461"/>
      <c r="E23" s="462"/>
      <c r="F23" s="462"/>
      <c r="G23" s="462"/>
      <c r="H23" s="462"/>
      <c r="I23" s="462"/>
      <c r="J23" s="462"/>
      <c r="K23" s="178"/>
      <c r="L23" s="462"/>
      <c r="M23" s="462"/>
      <c r="N23" s="462"/>
      <c r="O23" s="462"/>
      <c r="P23" s="462"/>
      <c r="Q23" s="462"/>
      <c r="R23" s="462"/>
      <c r="S23" s="466"/>
      <c r="T23" s="101"/>
      <c r="U23" s="101"/>
      <c r="V23" s="101"/>
      <c r="W23" s="101"/>
      <c r="X23" s="101"/>
      <c r="Y23" s="101"/>
      <c r="Z23" s="101"/>
      <c r="AA23" s="101"/>
      <c r="AB23" s="101"/>
      <c r="AC23" s="101"/>
    </row>
    <row r="24" spans="1:29" s="465" customFormat="1" x14ac:dyDescent="0.25">
      <c r="A24" s="101"/>
      <c r="B24" s="190" t="s">
        <v>66</v>
      </c>
      <c r="C24" s="299" t="s">
        <v>84</v>
      </c>
      <c r="D24" s="461"/>
      <c r="E24" s="462"/>
      <c r="F24" s="462"/>
      <c r="G24" s="462"/>
      <c r="H24" s="462"/>
      <c r="I24" s="462">
        <v>0.17</v>
      </c>
      <c r="J24" s="462">
        <v>0.05</v>
      </c>
      <c r="K24" s="463">
        <v>5.0000000000000001E-3</v>
      </c>
      <c r="L24" s="462">
        <v>0.01</v>
      </c>
      <c r="M24" s="462">
        <v>0.7</v>
      </c>
      <c r="N24" s="464">
        <v>2.9999999999999997E-4</v>
      </c>
      <c r="O24" s="462"/>
      <c r="P24" s="462"/>
      <c r="Q24" s="462"/>
      <c r="R24" s="462"/>
      <c r="S24" s="466"/>
      <c r="T24" s="101"/>
      <c r="U24" s="101"/>
      <c r="V24" s="101"/>
      <c r="W24" s="101"/>
      <c r="X24" s="101"/>
      <c r="Y24" s="101"/>
      <c r="Z24" s="101"/>
      <c r="AA24" s="101"/>
      <c r="AB24" s="101"/>
      <c r="AC24" s="101"/>
    </row>
    <row r="25" spans="1:29" s="465" customFormat="1" x14ac:dyDescent="0.25">
      <c r="A25" s="101"/>
      <c r="B25" s="190" t="s">
        <v>43</v>
      </c>
      <c r="C25" s="299" t="s">
        <v>85</v>
      </c>
      <c r="D25" s="461"/>
      <c r="E25" s="462"/>
      <c r="F25" s="462"/>
      <c r="G25" s="462"/>
      <c r="H25" s="462"/>
      <c r="I25" s="462"/>
      <c r="J25" s="462"/>
      <c r="K25" s="462"/>
      <c r="L25" s="462"/>
      <c r="M25" s="462"/>
      <c r="N25" s="462"/>
      <c r="O25" s="462"/>
      <c r="P25" s="462"/>
      <c r="Q25" s="462"/>
      <c r="R25" s="462"/>
      <c r="S25" s="466"/>
      <c r="T25" s="101"/>
      <c r="U25" s="101"/>
      <c r="V25" s="101"/>
      <c r="W25" s="101"/>
      <c r="X25" s="101"/>
      <c r="Y25" s="101"/>
      <c r="Z25" s="101"/>
      <c r="AA25" s="101"/>
      <c r="AB25" s="101"/>
      <c r="AC25" s="101"/>
    </row>
    <row r="26" spans="1:29" s="465" customFormat="1" x14ac:dyDescent="0.25">
      <c r="A26" s="101"/>
      <c r="B26" s="190">
        <v>7018</v>
      </c>
      <c r="C26" s="299" t="s">
        <v>86</v>
      </c>
      <c r="D26" s="461"/>
      <c r="E26" s="462"/>
      <c r="F26" s="462"/>
      <c r="G26" s="462"/>
      <c r="H26" s="462"/>
      <c r="I26" s="462"/>
      <c r="J26" s="462"/>
      <c r="K26" s="462"/>
      <c r="L26" s="462"/>
      <c r="M26" s="462"/>
      <c r="N26" s="462"/>
      <c r="O26" s="462"/>
      <c r="P26" s="462"/>
      <c r="Q26" s="462"/>
      <c r="R26" s="462"/>
      <c r="S26" s="466"/>
      <c r="T26" s="101"/>
      <c r="U26" s="101"/>
      <c r="V26" s="101"/>
      <c r="W26" s="101"/>
      <c r="X26" s="101"/>
      <c r="Y26" s="101"/>
      <c r="Z26" s="101"/>
      <c r="AA26" s="101"/>
      <c r="AB26" s="101"/>
      <c r="AC26" s="101"/>
    </row>
    <row r="27" spans="1:29" s="465" customFormat="1" x14ac:dyDescent="0.25">
      <c r="A27" s="101"/>
      <c r="B27" s="190">
        <v>7018</v>
      </c>
      <c r="C27" s="299" t="s">
        <v>87</v>
      </c>
      <c r="D27" s="461"/>
      <c r="E27" s="462"/>
      <c r="F27" s="462"/>
      <c r="G27" s="462"/>
      <c r="H27" s="462"/>
      <c r="I27" s="462"/>
      <c r="J27" s="462"/>
      <c r="K27" s="462"/>
      <c r="L27" s="462"/>
      <c r="M27" s="462"/>
      <c r="N27" s="462"/>
      <c r="O27" s="462"/>
      <c r="P27" s="462"/>
      <c r="Q27" s="462"/>
      <c r="R27" s="462"/>
      <c r="S27" s="466"/>
      <c r="T27" s="101"/>
      <c r="U27" s="101"/>
      <c r="V27" s="101"/>
      <c r="W27" s="101"/>
      <c r="X27" s="101"/>
      <c r="Y27" s="101"/>
      <c r="Z27" s="101"/>
      <c r="AA27" s="101"/>
      <c r="AB27" s="101"/>
      <c r="AC27" s="101"/>
    </row>
    <row r="28" spans="1:29" s="465" customFormat="1" x14ac:dyDescent="0.25">
      <c r="A28" s="101"/>
      <c r="B28" s="190">
        <v>7018</v>
      </c>
      <c r="C28" s="299" t="s">
        <v>88</v>
      </c>
      <c r="D28" s="461"/>
      <c r="E28" s="462"/>
      <c r="F28" s="462"/>
      <c r="G28" s="462"/>
      <c r="H28" s="462"/>
      <c r="I28" s="462"/>
      <c r="J28" s="462"/>
      <c r="K28" s="462"/>
      <c r="L28" s="462"/>
      <c r="M28" s="462"/>
      <c r="N28" s="462"/>
      <c r="O28" s="462"/>
      <c r="P28" s="462"/>
      <c r="Q28" s="462"/>
      <c r="R28" s="462"/>
      <c r="S28" s="466"/>
      <c r="T28" s="101"/>
      <c r="U28" s="101"/>
      <c r="V28" s="101"/>
      <c r="W28" s="101"/>
      <c r="X28" s="101"/>
      <c r="Y28" s="101"/>
      <c r="Z28" s="101"/>
      <c r="AA28" s="101"/>
      <c r="AB28" s="101"/>
      <c r="AC28" s="101"/>
    </row>
    <row r="29" spans="1:29" s="465" customFormat="1" x14ac:dyDescent="0.25">
      <c r="A29" s="101"/>
      <c r="B29" s="190" t="s">
        <v>48</v>
      </c>
      <c r="C29" s="299" t="s">
        <v>89</v>
      </c>
      <c r="D29" s="461"/>
      <c r="E29" s="462"/>
      <c r="F29" s="462"/>
      <c r="G29" s="462"/>
      <c r="H29" s="462"/>
      <c r="I29" s="462"/>
      <c r="J29" s="462"/>
      <c r="K29" s="178"/>
      <c r="L29" s="462"/>
      <c r="M29" s="462"/>
      <c r="N29" s="462"/>
      <c r="O29" s="462"/>
      <c r="P29" s="462"/>
      <c r="Q29" s="462"/>
      <c r="R29" s="462"/>
      <c r="S29" s="466"/>
      <c r="T29" s="101"/>
      <c r="U29" s="101"/>
      <c r="V29" s="101"/>
      <c r="W29" s="101"/>
      <c r="X29" s="101"/>
      <c r="Y29" s="101"/>
      <c r="Z29" s="101"/>
      <c r="AA29" s="101"/>
      <c r="AB29" s="101"/>
      <c r="AC29" s="101"/>
    </row>
    <row r="30" spans="1:29" s="465" customFormat="1" x14ac:dyDescent="0.25">
      <c r="A30" s="101"/>
      <c r="B30" s="190" t="s">
        <v>47</v>
      </c>
      <c r="C30" s="299" t="s">
        <v>90</v>
      </c>
      <c r="D30" s="461"/>
      <c r="E30" s="462"/>
      <c r="F30" s="462"/>
      <c r="G30" s="462"/>
      <c r="H30" s="462"/>
      <c r="I30" s="462"/>
      <c r="J30" s="462"/>
      <c r="K30" s="464">
        <v>6.9999999999999999E-4</v>
      </c>
      <c r="L30" s="463">
        <v>1.6E-2</v>
      </c>
      <c r="M30" s="463">
        <v>0.13600000000000001</v>
      </c>
      <c r="N30" s="464">
        <v>2.0000000000000001E-4</v>
      </c>
      <c r="O30" s="462"/>
      <c r="P30" s="462"/>
      <c r="Q30" s="462"/>
      <c r="R30" s="462"/>
      <c r="S30" s="466"/>
      <c r="T30" s="101"/>
      <c r="U30" s="101"/>
      <c r="V30" s="101"/>
      <c r="W30" s="101"/>
      <c r="X30" s="101"/>
      <c r="Y30" s="101"/>
      <c r="Z30" s="101"/>
      <c r="AA30" s="101"/>
      <c r="AB30" s="101"/>
      <c r="AC30" s="101"/>
    </row>
    <row r="31" spans="1:29" s="294" customFormat="1" hidden="1" x14ac:dyDescent="0.25">
      <c r="A31" s="101"/>
      <c r="B31" s="190"/>
      <c r="C31" s="302" t="s">
        <v>157</v>
      </c>
      <c r="D31" s="461"/>
      <c r="E31" s="462"/>
      <c r="F31" s="462"/>
      <c r="G31" s="462"/>
      <c r="H31" s="462"/>
      <c r="I31" s="462"/>
      <c r="J31" s="462"/>
      <c r="K31" s="462"/>
      <c r="L31" s="462"/>
      <c r="M31" s="462"/>
      <c r="N31" s="462"/>
      <c r="O31" s="462"/>
      <c r="P31" s="462"/>
      <c r="Q31" s="462"/>
      <c r="R31" s="462"/>
      <c r="S31" s="466"/>
      <c r="T31" s="101"/>
      <c r="U31" s="101"/>
      <c r="V31" s="101"/>
      <c r="W31" s="101"/>
      <c r="X31" s="101"/>
      <c r="Y31" s="101"/>
      <c r="Z31" s="101"/>
      <c r="AA31" s="101"/>
      <c r="AB31" s="101"/>
      <c r="AC31" s="101"/>
    </row>
    <row r="32" spans="1:29" s="465" customFormat="1" x14ac:dyDescent="0.25">
      <c r="A32" s="101"/>
      <c r="B32" s="190" t="s">
        <v>66</v>
      </c>
      <c r="C32" s="302" t="s">
        <v>91</v>
      </c>
      <c r="D32" s="468"/>
      <c r="E32" s="469"/>
      <c r="F32" s="469"/>
      <c r="G32" s="469"/>
      <c r="H32" s="469"/>
      <c r="I32" s="469">
        <v>0.17</v>
      </c>
      <c r="J32" s="469">
        <v>0.05</v>
      </c>
      <c r="K32" s="470">
        <v>5.0000000000000001E-3</v>
      </c>
      <c r="L32" s="469">
        <v>0.01</v>
      </c>
      <c r="M32" s="469">
        <v>0.7</v>
      </c>
      <c r="N32" s="471">
        <v>2.9999999999999997E-4</v>
      </c>
      <c r="O32" s="469"/>
      <c r="P32" s="469"/>
      <c r="Q32" s="469"/>
      <c r="R32" s="462"/>
      <c r="S32" s="466"/>
      <c r="T32" s="101"/>
      <c r="U32" s="101"/>
      <c r="V32" s="101"/>
      <c r="W32" s="101"/>
      <c r="X32" s="101"/>
      <c r="Y32" s="101"/>
      <c r="Z32" s="101"/>
      <c r="AA32" s="101"/>
      <c r="AB32" s="101"/>
      <c r="AC32" s="101"/>
    </row>
    <row r="33" spans="1:29" s="465" customFormat="1" x14ac:dyDescent="0.25">
      <c r="A33" s="101"/>
      <c r="B33" s="190" t="s">
        <v>46</v>
      </c>
      <c r="C33" s="299" t="s">
        <v>164</v>
      </c>
      <c r="D33" s="461"/>
      <c r="E33" s="462"/>
      <c r="F33" s="462"/>
      <c r="G33" s="462"/>
      <c r="H33" s="462"/>
      <c r="I33" s="462"/>
      <c r="J33" s="462"/>
      <c r="K33" s="463"/>
      <c r="L33" s="462"/>
      <c r="M33" s="462"/>
      <c r="N33" s="464"/>
      <c r="O33" s="462"/>
      <c r="P33" s="462"/>
      <c r="Q33" s="462"/>
      <c r="R33" s="462"/>
      <c r="S33" s="466"/>
      <c r="T33" s="101"/>
      <c r="U33" s="101"/>
      <c r="V33" s="101"/>
      <c r="W33" s="101"/>
      <c r="X33" s="101"/>
      <c r="Y33" s="101"/>
      <c r="Z33" s="101"/>
      <c r="AA33" s="101"/>
      <c r="AB33" s="101"/>
      <c r="AC33" s="101"/>
    </row>
    <row r="34" spans="1:29" s="465" customFormat="1" ht="13" thickBot="1" x14ac:dyDescent="0.3">
      <c r="A34" s="101"/>
      <c r="B34" s="190" t="s">
        <v>51</v>
      </c>
      <c r="C34" s="302" t="s">
        <v>165</v>
      </c>
      <c r="D34" s="468"/>
      <c r="E34" s="469"/>
      <c r="F34" s="469"/>
      <c r="G34" s="469"/>
      <c r="H34" s="469"/>
      <c r="I34" s="469"/>
      <c r="J34" s="469"/>
      <c r="K34" s="470"/>
      <c r="L34" s="469"/>
      <c r="M34" s="469"/>
      <c r="N34" s="471"/>
      <c r="O34" s="469"/>
      <c r="P34" s="469"/>
      <c r="Q34" s="469"/>
      <c r="R34" s="472"/>
      <c r="S34" s="473"/>
      <c r="T34" s="101"/>
      <c r="U34" s="101"/>
      <c r="V34" s="101"/>
      <c r="W34" s="101"/>
      <c r="X34" s="101"/>
      <c r="Y34" s="101"/>
      <c r="Z34" s="101"/>
      <c r="AA34" s="101"/>
      <c r="AB34" s="101"/>
      <c r="AC34" s="101"/>
    </row>
    <row r="35" spans="1:29" ht="13" thickBot="1" x14ac:dyDescent="0.3">
      <c r="A35" s="101"/>
      <c r="B35" s="101"/>
      <c r="C35" s="311" t="s">
        <v>158</v>
      </c>
      <c r="D35" s="474"/>
      <c r="E35" s="475"/>
      <c r="F35" s="475"/>
      <c r="G35" s="475"/>
      <c r="H35" s="475"/>
      <c r="I35" s="475"/>
      <c r="J35" s="475"/>
      <c r="K35" s="475"/>
      <c r="L35" s="475"/>
      <c r="M35" s="475"/>
      <c r="N35" s="475"/>
      <c r="O35" s="475"/>
      <c r="P35" s="475"/>
      <c r="Q35" s="475"/>
      <c r="R35" s="475"/>
      <c r="S35" s="476"/>
      <c r="T35" s="101"/>
      <c r="U35" s="101"/>
      <c r="V35" s="101"/>
      <c r="W35" s="101"/>
      <c r="X35" s="101"/>
      <c r="Y35" s="101"/>
      <c r="Z35" s="101"/>
      <c r="AA35" s="101"/>
      <c r="AB35" s="101"/>
      <c r="AC35" s="101"/>
    </row>
    <row r="36" spans="1:29" s="450" customFormat="1" ht="10" x14ac:dyDescent="0.2">
      <c r="A36" s="102"/>
      <c r="B36" s="102">
        <v>1</v>
      </c>
      <c r="C36" s="102" t="s">
        <v>52</v>
      </c>
      <c r="D36" s="102"/>
      <c r="E36" s="102"/>
      <c r="F36" s="102"/>
      <c r="G36" s="102"/>
      <c r="H36" s="102"/>
      <c r="I36" s="102"/>
      <c r="J36" s="102"/>
      <c r="K36" s="102"/>
      <c r="L36" s="102"/>
      <c r="M36" s="102"/>
      <c r="N36" s="102"/>
      <c r="O36" s="102"/>
      <c r="P36" s="102"/>
      <c r="Q36" s="102"/>
      <c r="R36" s="102"/>
      <c r="S36" s="477"/>
      <c r="T36" s="102"/>
      <c r="U36" s="102"/>
      <c r="V36" s="102"/>
      <c r="W36" s="102"/>
      <c r="X36" s="102"/>
      <c r="Y36" s="102"/>
      <c r="Z36" s="102"/>
      <c r="AA36" s="102"/>
      <c r="AB36" s="102"/>
      <c r="AC36" s="102"/>
    </row>
    <row r="37" spans="1:29" s="450" customFormat="1" ht="10" x14ac:dyDescent="0.2">
      <c r="A37" s="102"/>
      <c r="B37" s="102">
        <v>2</v>
      </c>
      <c r="C37" s="102" t="s">
        <v>53</v>
      </c>
      <c r="D37" s="102"/>
      <c r="E37" s="102"/>
      <c r="F37" s="102"/>
      <c r="G37" s="102"/>
      <c r="H37" s="102"/>
      <c r="I37" s="102"/>
      <c r="J37" s="102"/>
      <c r="K37" s="102"/>
      <c r="L37" s="102"/>
      <c r="M37" s="102"/>
      <c r="N37" s="102"/>
      <c r="O37" s="102"/>
      <c r="P37" s="102"/>
      <c r="Q37" s="102"/>
      <c r="R37" s="102"/>
      <c r="S37" s="477"/>
      <c r="T37" s="102"/>
      <c r="U37" s="102"/>
      <c r="V37" s="102"/>
      <c r="W37" s="102"/>
      <c r="X37" s="102"/>
      <c r="Y37" s="102"/>
      <c r="Z37" s="102"/>
      <c r="AA37" s="102"/>
      <c r="AB37" s="102"/>
      <c r="AC37" s="102"/>
    </row>
    <row r="38" spans="1:29" s="450" customFormat="1" ht="10" x14ac:dyDescent="0.2">
      <c r="A38" s="102"/>
      <c r="B38" s="102">
        <v>3</v>
      </c>
      <c r="C38" s="623" t="s">
        <v>254</v>
      </c>
      <c r="D38" s="623"/>
      <c r="E38" s="623"/>
      <c r="F38" s="623"/>
      <c r="G38" s="623"/>
      <c r="H38" s="623"/>
      <c r="I38" s="623"/>
      <c r="J38" s="623"/>
      <c r="K38" s="623"/>
      <c r="L38" s="623"/>
      <c r="M38" s="623"/>
      <c r="N38" s="623"/>
      <c r="O38" s="623"/>
      <c r="P38" s="623"/>
      <c r="Q38" s="623"/>
      <c r="R38" s="623"/>
      <c r="S38" s="477"/>
      <c r="T38" s="102"/>
      <c r="U38" s="102"/>
      <c r="V38" s="102"/>
      <c r="W38" s="102"/>
      <c r="X38" s="102"/>
      <c r="Y38" s="102"/>
      <c r="Z38" s="102"/>
      <c r="AA38" s="102"/>
      <c r="AB38" s="102"/>
      <c r="AC38" s="102"/>
    </row>
    <row r="39" spans="1:29" s="450" customFormat="1" ht="10" x14ac:dyDescent="0.2">
      <c r="A39" s="102"/>
      <c r="B39" s="102">
        <v>4</v>
      </c>
      <c r="C39" s="232" t="s">
        <v>54</v>
      </c>
      <c r="D39" s="102"/>
      <c r="E39" s="102"/>
      <c r="F39" s="102"/>
      <c r="G39" s="102"/>
      <c r="H39" s="102"/>
      <c r="I39" s="102"/>
      <c r="J39" s="102"/>
      <c r="K39" s="102"/>
      <c r="L39" s="102"/>
      <c r="M39" s="102"/>
      <c r="N39" s="102"/>
      <c r="O39" s="102"/>
      <c r="P39" s="102"/>
      <c r="Q39" s="102"/>
      <c r="R39" s="102"/>
      <c r="S39" s="477"/>
      <c r="T39" s="102"/>
      <c r="U39" s="102"/>
      <c r="V39" s="102"/>
      <c r="W39" s="102"/>
      <c r="X39" s="102"/>
      <c r="Y39" s="102"/>
      <c r="Z39" s="102"/>
      <c r="AA39" s="102"/>
      <c r="AB39" s="102"/>
      <c r="AC39" s="102"/>
    </row>
    <row r="40" spans="1:29" x14ac:dyDescent="0.25">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row>
    <row r="41" spans="1:29" x14ac:dyDescent="0.25">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row>
    <row r="42" spans="1:29" x14ac:dyDescent="0.25">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row>
    <row r="43" spans="1:29" x14ac:dyDescent="0.25">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row>
    <row r="44" spans="1:29" x14ac:dyDescent="0.25">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row>
    <row r="45" spans="1:29" x14ac:dyDescent="0.25">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row>
    <row r="46" spans="1:29" x14ac:dyDescent="0.25">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row>
  </sheetData>
  <mergeCells count="2">
    <mergeCell ref="C38:R38"/>
    <mergeCell ref="D5:S5"/>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998CE-D633-4CF6-B2D9-F44BBD1CC02F}">
  <sheetPr>
    <tabColor theme="7" tint="0.59999389629810485"/>
  </sheetPr>
  <dimension ref="B1:O124"/>
  <sheetViews>
    <sheetView topLeftCell="B20" workbookViewId="0">
      <selection activeCell="C92" sqref="C92"/>
    </sheetView>
  </sheetViews>
  <sheetFormatPr defaultRowHeight="14.5" x14ac:dyDescent="0.35"/>
  <cols>
    <col min="1" max="1" width="0" hidden="1" customWidth="1"/>
    <col min="2" max="2" width="4.54296875" customWidth="1"/>
    <col min="3" max="3" width="7.81640625" customWidth="1"/>
    <col min="4" max="4" width="8" customWidth="1"/>
    <col min="5" max="13" width="7.81640625" customWidth="1"/>
    <col min="14" max="15" width="8" customWidth="1"/>
  </cols>
  <sheetData>
    <row r="1" spans="2:13" ht="10.4" hidden="1" customHeight="1" x14ac:dyDescent="0.35"/>
    <row r="2" spans="2:13" ht="10.4" hidden="1" customHeight="1" x14ac:dyDescent="0.35"/>
    <row r="3" spans="2:13" ht="10.4" hidden="1" customHeight="1" x14ac:dyDescent="0.35">
      <c r="B3" s="7"/>
      <c r="C3" s="653"/>
      <c r="D3" s="653"/>
      <c r="E3" s="653"/>
      <c r="F3" s="653"/>
      <c r="G3" s="653"/>
      <c r="H3" s="653"/>
      <c r="I3" s="653"/>
      <c r="J3" s="653"/>
      <c r="K3" s="653"/>
      <c r="L3" s="653"/>
      <c r="M3" s="653"/>
    </row>
    <row r="4" spans="2:13" ht="10.4" hidden="1" customHeight="1" x14ac:dyDescent="0.35">
      <c r="B4" s="8"/>
      <c r="C4" s="9"/>
      <c r="D4" s="9"/>
      <c r="E4" s="9"/>
      <c r="F4" s="9"/>
      <c r="G4" s="9"/>
      <c r="H4" s="9"/>
      <c r="I4" s="9"/>
      <c r="J4" s="9"/>
      <c r="K4" s="9"/>
      <c r="L4" s="9"/>
      <c r="M4" s="9"/>
    </row>
    <row r="5" spans="2:13" ht="10.4" hidden="1" customHeight="1" x14ac:dyDescent="0.35">
      <c r="B5" s="10" t="s">
        <v>257</v>
      </c>
      <c r="C5" s="654"/>
      <c r="D5" s="654"/>
      <c r="E5" s="654"/>
      <c r="F5" s="654"/>
      <c r="G5" s="654"/>
      <c r="H5" s="654"/>
      <c r="I5" s="654"/>
      <c r="J5" s="654"/>
      <c r="K5" s="654"/>
      <c r="L5" s="654"/>
      <c r="M5" s="654"/>
    </row>
    <row r="6" spans="2:13" ht="10.4" hidden="1" customHeight="1" x14ac:dyDescent="0.35">
      <c r="B6" s="10" t="s">
        <v>258</v>
      </c>
      <c r="C6" s="11">
        <v>50</v>
      </c>
      <c r="D6" s="11">
        <v>60</v>
      </c>
      <c r="E6" s="11">
        <v>70</v>
      </c>
      <c r="F6" s="11">
        <v>80</v>
      </c>
      <c r="G6" s="11">
        <v>90</v>
      </c>
      <c r="H6" s="11">
        <v>100</v>
      </c>
      <c r="I6" s="12">
        <v>110</v>
      </c>
      <c r="J6" s="12">
        <v>120</v>
      </c>
      <c r="K6" s="12">
        <v>130</v>
      </c>
      <c r="L6" s="12">
        <v>140</v>
      </c>
      <c r="M6" s="12">
        <v>150</v>
      </c>
    </row>
    <row r="7" spans="2:13" ht="10.4" hidden="1" customHeight="1" x14ac:dyDescent="0.35">
      <c r="B7" s="13" t="s">
        <v>259</v>
      </c>
      <c r="C7" s="14" t="s">
        <v>259</v>
      </c>
      <c r="D7" s="14" t="s">
        <v>259</v>
      </c>
      <c r="E7" s="14"/>
      <c r="F7" s="14" t="s">
        <v>259</v>
      </c>
      <c r="G7" s="14"/>
      <c r="H7" s="14" t="s">
        <v>259</v>
      </c>
      <c r="I7" s="14" t="s">
        <v>259</v>
      </c>
      <c r="J7" s="14" t="s">
        <v>259</v>
      </c>
      <c r="K7" s="14" t="s">
        <v>259</v>
      </c>
      <c r="L7" s="14" t="s">
        <v>259</v>
      </c>
      <c r="M7" s="14" t="s">
        <v>259</v>
      </c>
    </row>
    <row r="8" spans="2:13" ht="10.4" hidden="1" customHeight="1" x14ac:dyDescent="0.35">
      <c r="B8" s="15">
        <v>5</v>
      </c>
      <c r="C8" s="16">
        <v>230</v>
      </c>
      <c r="D8" s="17">
        <v>180</v>
      </c>
      <c r="E8" s="17">
        <v>150</v>
      </c>
      <c r="F8" s="17">
        <v>120</v>
      </c>
      <c r="G8" s="17">
        <v>100</v>
      </c>
      <c r="H8" s="17">
        <v>84</v>
      </c>
      <c r="I8" s="17">
        <v>72</v>
      </c>
      <c r="J8" s="17">
        <v>61</v>
      </c>
      <c r="K8" s="17">
        <v>53</v>
      </c>
      <c r="L8" s="17">
        <v>46</v>
      </c>
      <c r="M8" s="17">
        <v>40</v>
      </c>
    </row>
    <row r="9" spans="2:13" ht="10.4" hidden="1" customHeight="1" x14ac:dyDescent="0.35">
      <c r="B9" s="15">
        <v>10</v>
      </c>
      <c r="C9" s="17">
        <v>96</v>
      </c>
      <c r="D9" s="17">
        <v>84</v>
      </c>
      <c r="E9" s="17">
        <v>74</v>
      </c>
      <c r="F9" s="17">
        <v>65</v>
      </c>
      <c r="G9" s="17">
        <v>58</v>
      </c>
      <c r="H9" s="17">
        <v>52</v>
      </c>
      <c r="I9" s="17">
        <v>47</v>
      </c>
      <c r="J9" s="17">
        <v>43</v>
      </c>
      <c r="K9" s="17">
        <v>39</v>
      </c>
      <c r="L9" s="17">
        <v>36</v>
      </c>
      <c r="M9" s="17">
        <v>33</v>
      </c>
    </row>
    <row r="10" spans="2:13" ht="10.4" hidden="1" customHeight="1" x14ac:dyDescent="0.35">
      <c r="B10" s="15">
        <v>15</v>
      </c>
      <c r="C10" s="17">
        <v>52</v>
      </c>
      <c r="D10" s="17">
        <v>43</v>
      </c>
      <c r="E10" s="17">
        <v>38</v>
      </c>
      <c r="F10" s="17">
        <v>34</v>
      </c>
      <c r="G10" s="17">
        <v>30</v>
      </c>
      <c r="H10" s="17">
        <v>28</v>
      </c>
      <c r="I10" s="17">
        <v>25</v>
      </c>
      <c r="J10" s="17">
        <v>23</v>
      </c>
      <c r="K10" s="17">
        <v>22</v>
      </c>
      <c r="L10" s="17">
        <v>20</v>
      </c>
      <c r="M10" s="17">
        <v>19</v>
      </c>
    </row>
    <row r="11" spans="2:13" ht="10.4" hidden="1" customHeight="1" x14ac:dyDescent="0.35">
      <c r="B11" s="15">
        <v>20</v>
      </c>
      <c r="C11" s="17">
        <v>50</v>
      </c>
      <c r="D11" s="17">
        <v>37</v>
      </c>
      <c r="E11" s="17">
        <v>24</v>
      </c>
      <c r="F11" s="17">
        <v>21</v>
      </c>
      <c r="G11" s="17">
        <v>20</v>
      </c>
      <c r="H11" s="17">
        <v>18</v>
      </c>
      <c r="I11" s="17">
        <v>16</v>
      </c>
      <c r="J11" s="17">
        <v>15</v>
      </c>
      <c r="K11" s="17">
        <v>14</v>
      </c>
      <c r="L11" s="17">
        <v>13</v>
      </c>
      <c r="M11" s="17">
        <v>12</v>
      </c>
    </row>
    <row r="12" spans="2:13" ht="10.4" hidden="1" customHeight="1" x14ac:dyDescent="0.35">
      <c r="B12" s="15">
        <v>25</v>
      </c>
      <c r="C12" s="17">
        <v>34</v>
      </c>
      <c r="D12" s="17">
        <v>29</v>
      </c>
      <c r="E12" s="17">
        <v>24</v>
      </c>
      <c r="F12" s="17">
        <v>17</v>
      </c>
      <c r="G12" s="17">
        <v>13</v>
      </c>
      <c r="H12" s="17">
        <v>12</v>
      </c>
      <c r="I12" s="17">
        <v>11</v>
      </c>
      <c r="J12" s="17">
        <v>11</v>
      </c>
      <c r="K12" s="18">
        <v>9.8000000000000007</v>
      </c>
      <c r="L12" s="18">
        <v>9.1</v>
      </c>
      <c r="M12" s="18">
        <v>8.5</v>
      </c>
    </row>
    <row r="13" spans="2:13" ht="10.4" hidden="1" customHeight="1" x14ac:dyDescent="0.35">
      <c r="B13" s="15">
        <v>30</v>
      </c>
      <c r="C13" s="17">
        <v>26</v>
      </c>
      <c r="D13" s="17">
        <v>21</v>
      </c>
      <c r="E13" s="17">
        <v>18</v>
      </c>
      <c r="F13" s="17">
        <v>16</v>
      </c>
      <c r="G13" s="17">
        <v>13</v>
      </c>
      <c r="H13" s="18">
        <v>9.3000000000000007</v>
      </c>
      <c r="I13" s="18">
        <v>8.1</v>
      </c>
      <c r="J13" s="18">
        <v>7.5</v>
      </c>
      <c r="K13" s="18">
        <v>7.1</v>
      </c>
      <c r="L13" s="18">
        <v>6.7</v>
      </c>
      <c r="M13" s="18">
        <v>6.3</v>
      </c>
    </row>
    <row r="14" spans="2:13" ht="10.4" hidden="1" customHeight="1" x14ac:dyDescent="0.35">
      <c r="B14" s="15">
        <v>35</v>
      </c>
      <c r="C14" s="17">
        <v>21</v>
      </c>
      <c r="D14" s="17">
        <v>16</v>
      </c>
      <c r="E14" s="17">
        <v>13</v>
      </c>
      <c r="F14" s="17">
        <v>12</v>
      </c>
      <c r="G14" s="17">
        <v>11</v>
      </c>
      <c r="H14" s="18">
        <v>9.1999999999999993</v>
      </c>
      <c r="I14" s="18">
        <v>7.3</v>
      </c>
      <c r="J14" s="18">
        <v>5.7</v>
      </c>
      <c r="K14" s="18">
        <v>5.2</v>
      </c>
      <c r="L14" s="18">
        <v>5</v>
      </c>
      <c r="M14" s="18">
        <v>4.7</v>
      </c>
    </row>
    <row r="15" spans="2:13" ht="10.4" hidden="1" customHeight="1" x14ac:dyDescent="0.35">
      <c r="B15" s="15">
        <v>40</v>
      </c>
      <c r="C15" s="17">
        <v>16</v>
      </c>
      <c r="D15" s="17">
        <v>13</v>
      </c>
      <c r="E15" s="17">
        <v>11</v>
      </c>
      <c r="F15" s="18">
        <v>9.1</v>
      </c>
      <c r="G15" s="18">
        <v>8.1</v>
      </c>
      <c r="H15" s="18">
        <v>7.4</v>
      </c>
      <c r="I15" s="18">
        <v>6.7</v>
      </c>
      <c r="J15" s="18">
        <v>5.6</v>
      </c>
      <c r="K15" s="18">
        <v>4.4000000000000004</v>
      </c>
      <c r="L15" s="18">
        <v>3.8</v>
      </c>
      <c r="M15" s="18">
        <v>3.6</v>
      </c>
    </row>
    <row r="16" spans="2:13" ht="10.4" hidden="1" customHeight="1" x14ac:dyDescent="0.35">
      <c r="B16" s="15">
        <v>45</v>
      </c>
      <c r="C16" s="17">
        <v>13</v>
      </c>
      <c r="D16" s="17">
        <v>11</v>
      </c>
      <c r="E16" s="18">
        <v>9.1999999999999993</v>
      </c>
      <c r="F16" s="18">
        <v>7.5</v>
      </c>
      <c r="G16" s="18">
        <v>6.6</v>
      </c>
      <c r="H16" s="18">
        <v>5.9</v>
      </c>
      <c r="I16" s="18">
        <v>5.4</v>
      </c>
      <c r="J16" s="18">
        <v>5</v>
      </c>
      <c r="K16" s="18">
        <v>4.4000000000000004</v>
      </c>
      <c r="L16" s="18">
        <v>3.7</v>
      </c>
      <c r="M16" s="18">
        <v>3</v>
      </c>
    </row>
    <row r="17" spans="2:15" ht="10.4" hidden="1" customHeight="1" x14ac:dyDescent="0.35">
      <c r="B17" s="15">
        <v>50</v>
      </c>
      <c r="C17" s="19">
        <v>9.8432074074074087</v>
      </c>
      <c r="D17" s="19">
        <v>8.70552912037037</v>
      </c>
      <c r="E17" s="19">
        <v>7.5165505092592584</v>
      </c>
      <c r="F17" s="19">
        <v>6.2873275462962965</v>
      </c>
      <c r="G17" s="19">
        <v>5.3658402777777781</v>
      </c>
      <c r="H17" s="19">
        <v>4.7620252777777781</v>
      </c>
      <c r="I17" s="19">
        <v>4.3156056481481491</v>
      </c>
      <c r="J17" s="19">
        <v>3.9795007407407401</v>
      </c>
      <c r="K17" s="19">
        <v>3.6994393981481486</v>
      </c>
      <c r="L17" s="19">
        <v>3.3673587962962963</v>
      </c>
      <c r="M17" s="19">
        <v>2.9028068518518517</v>
      </c>
    </row>
    <row r="18" spans="2:15" ht="10.4" hidden="1" customHeight="1" x14ac:dyDescent="0.35"/>
    <row r="19" spans="2:15" ht="10.4" hidden="1" customHeight="1" x14ac:dyDescent="0.35">
      <c r="B19" s="655" t="s">
        <v>260</v>
      </c>
      <c r="C19" s="655"/>
      <c r="D19" s="655"/>
      <c r="E19" s="655"/>
      <c r="F19" s="655"/>
      <c r="G19" s="655"/>
      <c r="H19" s="655"/>
      <c r="I19" s="655"/>
      <c r="J19" s="655"/>
      <c r="K19" s="655"/>
      <c r="L19" s="655"/>
      <c r="M19" s="655"/>
      <c r="N19" s="655"/>
      <c r="O19" s="655"/>
    </row>
    <row r="20" spans="2:15" ht="17.25" customHeight="1" x14ac:dyDescent="0.35">
      <c r="B20" s="656"/>
      <c r="C20" s="656"/>
      <c r="D20" s="656"/>
      <c r="E20" s="656"/>
      <c r="F20" s="656"/>
      <c r="G20" s="656"/>
      <c r="H20" s="656"/>
      <c r="I20" s="656"/>
      <c r="J20" s="656"/>
      <c r="K20" s="656"/>
      <c r="L20" s="656"/>
      <c r="M20" s="656"/>
      <c r="N20" s="656"/>
      <c r="O20" s="656"/>
    </row>
    <row r="21" spans="2:15" ht="15.5" x14ac:dyDescent="0.35">
      <c r="B21" s="657" t="s">
        <v>261</v>
      </c>
      <c r="C21" s="657"/>
      <c r="D21" s="657"/>
      <c r="E21" s="657"/>
      <c r="F21" s="657"/>
      <c r="G21" s="657"/>
      <c r="H21" s="657"/>
      <c r="I21" s="657"/>
      <c r="J21" s="657"/>
      <c r="K21" s="657"/>
      <c r="L21" s="657"/>
      <c r="M21" s="657"/>
      <c r="N21" s="657"/>
      <c r="O21" s="657"/>
    </row>
    <row r="22" spans="2:15" ht="15.5" x14ac:dyDescent="0.35">
      <c r="B22" s="657" t="s">
        <v>262</v>
      </c>
      <c r="C22" s="657"/>
      <c r="D22" s="657"/>
      <c r="E22" s="657"/>
      <c r="F22" s="657"/>
      <c r="G22" s="657"/>
      <c r="H22" s="657"/>
      <c r="I22" s="657"/>
      <c r="J22" s="657"/>
      <c r="K22" s="657"/>
      <c r="L22" s="657"/>
      <c r="M22" s="657"/>
      <c r="N22" s="657"/>
      <c r="O22" s="657"/>
    </row>
    <row r="23" spans="2:15" ht="17.5" x14ac:dyDescent="0.35">
      <c r="B23" s="658" t="s">
        <v>263</v>
      </c>
      <c r="C23" s="658"/>
      <c r="D23" s="658"/>
      <c r="E23" s="658"/>
      <c r="F23" s="658"/>
      <c r="G23" s="658"/>
      <c r="H23" s="658"/>
      <c r="I23" s="658"/>
      <c r="J23" s="658"/>
      <c r="K23" s="658"/>
      <c r="L23" s="658"/>
      <c r="M23" s="658"/>
      <c r="N23" s="658"/>
      <c r="O23" s="658"/>
    </row>
    <row r="24" spans="2:15" s="22" customFormat="1" ht="11" x14ac:dyDescent="0.25">
      <c r="B24" s="20" t="s">
        <v>257</v>
      </c>
      <c r="C24" s="649" t="s">
        <v>264</v>
      </c>
      <c r="D24" s="649"/>
      <c r="E24" s="649"/>
      <c r="F24" s="649"/>
      <c r="G24" s="649"/>
      <c r="H24" s="649"/>
      <c r="I24" s="649"/>
      <c r="J24" s="649"/>
      <c r="K24" s="649"/>
      <c r="L24" s="649"/>
      <c r="M24" s="649"/>
      <c r="N24" s="649"/>
      <c r="O24" s="649"/>
    </row>
    <row r="25" spans="2:15" s="22" customFormat="1" ht="11" x14ac:dyDescent="0.25">
      <c r="B25" s="23" t="s">
        <v>265</v>
      </c>
      <c r="C25" s="23">
        <v>50</v>
      </c>
      <c r="D25" s="23">
        <v>60</v>
      </c>
      <c r="E25" s="23">
        <v>70</v>
      </c>
      <c r="F25" s="23">
        <v>80</v>
      </c>
      <c r="G25" s="23">
        <v>90</v>
      </c>
      <c r="H25" s="23">
        <v>100</v>
      </c>
      <c r="I25" s="24">
        <v>110</v>
      </c>
      <c r="J25" s="24">
        <v>120</v>
      </c>
      <c r="K25" s="24">
        <v>130</v>
      </c>
      <c r="L25" s="24">
        <v>140</v>
      </c>
      <c r="M25" s="24">
        <v>150</v>
      </c>
      <c r="N25" s="24">
        <v>160</v>
      </c>
      <c r="O25" s="24">
        <v>170</v>
      </c>
    </row>
    <row r="26" spans="2:15" s="22" customFormat="1" ht="11" x14ac:dyDescent="0.25">
      <c r="B26" s="25">
        <v>5</v>
      </c>
      <c r="C26" s="26">
        <v>3.3E-3</v>
      </c>
      <c r="D26" s="26">
        <v>2.5999999999999999E-3</v>
      </c>
      <c r="E26" s="26">
        <v>2.0999999999999999E-3</v>
      </c>
      <c r="F26" s="26">
        <v>1.6999999999999999E-3</v>
      </c>
      <c r="G26" s="26">
        <v>1.4E-3</v>
      </c>
      <c r="H26" s="26">
        <v>1.1999999999999999E-3</v>
      </c>
      <c r="I26" s="26">
        <v>1E-3</v>
      </c>
      <c r="J26" s="27">
        <v>8.8000000000000003E-4</v>
      </c>
      <c r="K26" s="27">
        <v>7.6000000000000004E-4</v>
      </c>
      <c r="L26" s="27">
        <v>6.6E-4</v>
      </c>
      <c r="M26" s="27">
        <v>5.8E-4</v>
      </c>
      <c r="N26" s="27">
        <v>5.1000000000000004E-4</v>
      </c>
      <c r="O26" s="27">
        <v>4.6000000000000001E-4</v>
      </c>
    </row>
    <row r="27" spans="2:15" s="22" customFormat="1" ht="11" x14ac:dyDescent="0.25">
      <c r="B27" s="25">
        <v>10</v>
      </c>
      <c r="C27" s="26">
        <v>1.4E-3</v>
      </c>
      <c r="D27" s="26">
        <v>1.1999999999999999E-3</v>
      </c>
      <c r="E27" s="26">
        <v>1.1000000000000001E-3</v>
      </c>
      <c r="F27" s="27">
        <v>9.3999999999999997E-4</v>
      </c>
      <c r="G27" s="27">
        <v>8.4000000000000003E-4</v>
      </c>
      <c r="H27" s="27">
        <v>7.5000000000000002E-4</v>
      </c>
      <c r="I27" s="27">
        <v>6.8000000000000005E-4</v>
      </c>
      <c r="J27" s="27">
        <v>6.2E-4</v>
      </c>
      <c r="K27" s="27">
        <v>5.6999999999999998E-4</v>
      </c>
      <c r="L27" s="27">
        <v>5.1999999999999995E-4</v>
      </c>
      <c r="M27" s="27">
        <v>4.8000000000000001E-4</v>
      </c>
      <c r="N27" s="27">
        <v>4.4000000000000002E-4</v>
      </c>
      <c r="O27" s="27">
        <v>4.0999999999999999E-4</v>
      </c>
    </row>
    <row r="28" spans="2:15" s="22" customFormat="1" ht="11" x14ac:dyDescent="0.25">
      <c r="B28" s="25">
        <v>15</v>
      </c>
      <c r="C28" s="27">
        <v>7.5000000000000002E-4</v>
      </c>
      <c r="D28" s="27">
        <v>6.0999999999999997E-4</v>
      </c>
      <c r="E28" s="27">
        <v>5.4000000000000001E-4</v>
      </c>
      <c r="F28" s="27">
        <v>4.8999999999999998E-4</v>
      </c>
      <c r="G28" s="27">
        <v>4.4000000000000002E-4</v>
      </c>
      <c r="H28" s="27">
        <v>4.0000000000000002E-4</v>
      </c>
      <c r="I28" s="27">
        <v>3.6999999999999999E-4</v>
      </c>
      <c r="J28" s="27">
        <v>3.4000000000000002E-4</v>
      </c>
      <c r="K28" s="27">
        <v>3.1E-4</v>
      </c>
      <c r="L28" s="27">
        <v>2.9E-4</v>
      </c>
      <c r="M28" s="27">
        <v>2.7E-4</v>
      </c>
      <c r="N28" s="27">
        <v>2.5000000000000001E-4</v>
      </c>
      <c r="O28" s="27">
        <v>2.4000000000000001E-4</v>
      </c>
    </row>
    <row r="29" spans="2:15" s="22" customFormat="1" ht="10.75" customHeight="1" x14ac:dyDescent="0.25">
      <c r="B29" s="25">
        <v>20</v>
      </c>
      <c r="C29" s="27">
        <v>7.2000000000000005E-4</v>
      </c>
      <c r="D29" s="27">
        <v>5.4000000000000001E-4</v>
      </c>
      <c r="E29" s="27">
        <v>3.5E-4</v>
      </c>
      <c r="F29" s="27">
        <v>3.1E-4</v>
      </c>
      <c r="G29" s="27">
        <v>2.7999999999999998E-4</v>
      </c>
      <c r="H29" s="27">
        <v>2.5999999999999998E-4</v>
      </c>
      <c r="I29" s="27">
        <v>2.3000000000000001E-4</v>
      </c>
      <c r="J29" s="27">
        <v>2.2000000000000001E-4</v>
      </c>
      <c r="K29" s="27">
        <v>2.0000000000000001E-4</v>
      </c>
      <c r="L29" s="27">
        <v>1.9000000000000001E-4</v>
      </c>
      <c r="M29" s="27">
        <v>1.7000000000000001E-4</v>
      </c>
      <c r="N29" s="27">
        <v>1.6000000000000001E-4</v>
      </c>
      <c r="O29" s="27">
        <v>1.4999999999999999E-4</v>
      </c>
    </row>
    <row r="30" spans="2:15" s="22" customFormat="1" ht="10.75" customHeight="1" x14ac:dyDescent="0.25">
      <c r="B30" s="25">
        <v>25</v>
      </c>
      <c r="C30" s="27">
        <v>5.0000000000000001E-4</v>
      </c>
      <c r="D30" s="27">
        <v>4.0999999999999999E-4</v>
      </c>
      <c r="E30" s="27">
        <v>3.5E-4</v>
      </c>
      <c r="F30" s="27">
        <v>2.5000000000000001E-4</v>
      </c>
      <c r="G30" s="27">
        <v>1.9000000000000001E-4</v>
      </c>
      <c r="H30" s="27">
        <v>1.8000000000000001E-4</v>
      </c>
      <c r="I30" s="27">
        <v>1.6000000000000001E-4</v>
      </c>
      <c r="J30" s="27">
        <v>1.4999999999999999E-4</v>
      </c>
      <c r="K30" s="27">
        <v>1.3999999999999999E-4</v>
      </c>
      <c r="L30" s="27">
        <v>1.2999999999999999E-4</v>
      </c>
      <c r="M30" s="27">
        <v>1.2E-4</v>
      </c>
      <c r="N30" s="27">
        <v>1.2E-4</v>
      </c>
      <c r="O30" s="27">
        <v>1.1E-4</v>
      </c>
    </row>
    <row r="31" spans="2:15" s="22" customFormat="1" ht="10.75" customHeight="1" x14ac:dyDescent="0.25">
      <c r="B31" s="25">
        <v>30</v>
      </c>
      <c r="C31" s="27">
        <v>3.6999999999999999E-4</v>
      </c>
      <c r="D31" s="27">
        <v>2.9999999999999997E-4</v>
      </c>
      <c r="E31" s="27">
        <v>2.5999999999999998E-4</v>
      </c>
      <c r="F31" s="27">
        <v>2.3000000000000001E-4</v>
      </c>
      <c r="G31" s="27">
        <v>1.9000000000000001E-4</v>
      </c>
      <c r="H31" s="27">
        <v>1.2999999999999999E-4</v>
      </c>
      <c r="I31" s="27">
        <v>1.2E-4</v>
      </c>
      <c r="J31" s="27">
        <v>1.1E-4</v>
      </c>
      <c r="K31" s="27">
        <v>1E-4</v>
      </c>
      <c r="L31" s="28">
        <v>9.6000000000000002E-5</v>
      </c>
      <c r="M31" s="28">
        <v>9.0000000000000006E-5</v>
      </c>
      <c r="N31" s="28">
        <v>8.5000000000000006E-5</v>
      </c>
      <c r="O31" s="28">
        <v>8.0000000000000007E-5</v>
      </c>
    </row>
    <row r="32" spans="2:15" s="22" customFormat="1" ht="10.75" customHeight="1" x14ac:dyDescent="0.25">
      <c r="B32" s="25">
        <v>35</v>
      </c>
      <c r="C32" s="27">
        <v>2.9999999999999997E-4</v>
      </c>
      <c r="D32" s="27">
        <v>2.3000000000000001E-4</v>
      </c>
      <c r="E32" s="27">
        <v>1.9000000000000001E-4</v>
      </c>
      <c r="F32" s="27">
        <v>1.7000000000000001E-4</v>
      </c>
      <c r="G32" s="27">
        <v>1.4999999999999999E-4</v>
      </c>
      <c r="H32" s="27">
        <v>1.2999999999999999E-4</v>
      </c>
      <c r="I32" s="27">
        <v>1.1E-4</v>
      </c>
      <c r="J32" s="28">
        <v>8.1000000000000004E-5</v>
      </c>
      <c r="K32" s="28">
        <v>7.4999999999999993E-5</v>
      </c>
      <c r="L32" s="28">
        <v>7.1000000000000005E-5</v>
      </c>
      <c r="M32" s="28">
        <v>6.7999999999999999E-5</v>
      </c>
      <c r="N32" s="28">
        <v>6.3999999999999997E-5</v>
      </c>
      <c r="O32" s="28">
        <v>6.0999999999999999E-5</v>
      </c>
    </row>
    <row r="33" spans="2:15" s="22" customFormat="1" ht="11" x14ac:dyDescent="0.25">
      <c r="B33" s="25">
        <v>40</v>
      </c>
      <c r="C33" s="27">
        <v>2.3000000000000001E-4</v>
      </c>
      <c r="D33" s="27">
        <v>1.9000000000000001E-4</v>
      </c>
      <c r="E33" s="27">
        <v>1.4999999999999999E-4</v>
      </c>
      <c r="F33" s="27">
        <v>1.2999999999999999E-4</v>
      </c>
      <c r="G33" s="27">
        <v>1.2E-4</v>
      </c>
      <c r="H33" s="27">
        <v>1.1E-4</v>
      </c>
      <c r="I33" s="28">
        <v>9.6000000000000002E-5</v>
      </c>
      <c r="J33" s="28">
        <v>8.1000000000000004E-5</v>
      </c>
      <c r="K33" s="28">
        <v>6.3999999999999997E-5</v>
      </c>
      <c r="L33" s="28">
        <v>5.3999999999999998E-5</v>
      </c>
      <c r="M33" s="28">
        <v>5.1E-5</v>
      </c>
      <c r="N33" s="28">
        <v>4.8999999999999998E-5</v>
      </c>
      <c r="O33" s="28">
        <v>4.6999999999999997E-5</v>
      </c>
    </row>
    <row r="34" spans="2:15" s="22" customFormat="1" ht="11" x14ac:dyDescent="0.25">
      <c r="B34" s="25">
        <v>45</v>
      </c>
      <c r="C34" s="27">
        <v>1.8000000000000001E-4</v>
      </c>
      <c r="D34" s="27">
        <v>1.6000000000000001E-4</v>
      </c>
      <c r="E34" s="27">
        <v>1.2999999999999999E-4</v>
      </c>
      <c r="F34" s="27">
        <v>1.1E-4</v>
      </c>
      <c r="G34" s="28">
        <v>9.5000000000000005E-5</v>
      </c>
      <c r="H34" s="28">
        <v>8.5000000000000006E-5</v>
      </c>
      <c r="I34" s="28">
        <v>7.7999999999999999E-5</v>
      </c>
      <c r="J34" s="28">
        <v>7.2000000000000002E-5</v>
      </c>
      <c r="K34" s="28">
        <v>6.3E-5</v>
      </c>
      <c r="L34" s="28">
        <v>5.3000000000000001E-5</v>
      </c>
      <c r="M34" s="28">
        <v>4.1999999999999998E-5</v>
      </c>
      <c r="N34" s="28">
        <v>3.8000000000000002E-5</v>
      </c>
      <c r="O34" s="28">
        <v>3.6999999999999998E-5</v>
      </c>
    </row>
    <row r="35" spans="2:15" s="22" customFormat="1" ht="11" x14ac:dyDescent="0.25">
      <c r="B35" s="25">
        <v>50</v>
      </c>
      <c r="C35" s="27">
        <v>1.3999999999999999E-4</v>
      </c>
      <c r="D35" s="27">
        <v>1.2999999999999999E-4</v>
      </c>
      <c r="E35" s="27">
        <v>1.1E-4</v>
      </c>
      <c r="F35" s="28">
        <v>9.0000000000000006E-5</v>
      </c>
      <c r="G35" s="28">
        <v>7.7000000000000001E-5</v>
      </c>
      <c r="H35" s="28">
        <v>6.7999999999999999E-5</v>
      </c>
      <c r="I35" s="28">
        <v>6.2000000000000003E-5</v>
      </c>
      <c r="J35" s="28">
        <v>5.7000000000000003E-5</v>
      </c>
      <c r="K35" s="28">
        <v>5.3000000000000001E-5</v>
      </c>
      <c r="L35" s="28">
        <v>4.8000000000000001E-5</v>
      </c>
      <c r="M35" s="28">
        <v>4.1999999999999998E-5</v>
      </c>
      <c r="N35" s="28">
        <v>3.4999999999999997E-5</v>
      </c>
      <c r="O35" s="28">
        <v>2.9E-5</v>
      </c>
    </row>
    <row r="36" spans="2:15" s="22" customFormat="1" ht="11" hidden="1" x14ac:dyDescent="0.25">
      <c r="B36" s="29"/>
      <c r="C36" s="652"/>
      <c r="D36" s="652"/>
      <c r="E36" s="652"/>
      <c r="F36" s="652"/>
      <c r="G36" s="652"/>
      <c r="H36" s="652"/>
      <c r="I36" s="652"/>
      <c r="J36" s="652"/>
      <c r="K36" s="652"/>
      <c r="L36" s="652"/>
      <c r="M36" s="652"/>
      <c r="N36" s="30"/>
      <c r="O36" s="30"/>
    </row>
    <row r="37" spans="2:15" s="22" customFormat="1" ht="11" hidden="1" x14ac:dyDescent="0.25">
      <c r="B37" s="31" t="s">
        <v>257</v>
      </c>
      <c r="C37" s="648"/>
      <c r="D37" s="648"/>
      <c r="E37" s="648"/>
      <c r="F37" s="648"/>
      <c r="G37" s="648"/>
      <c r="H37" s="648"/>
      <c r="I37" s="648"/>
      <c r="J37" s="648"/>
      <c r="K37" s="648"/>
      <c r="L37" s="648"/>
      <c r="M37" s="648"/>
      <c r="N37" s="30"/>
      <c r="O37" s="30"/>
    </row>
    <row r="38" spans="2:15" s="22" customFormat="1" ht="11" hidden="1" x14ac:dyDescent="0.25">
      <c r="B38" s="31" t="s">
        <v>258</v>
      </c>
      <c r="C38" s="31">
        <v>50</v>
      </c>
      <c r="D38" s="31">
        <v>60</v>
      </c>
      <c r="E38" s="31">
        <v>70</v>
      </c>
      <c r="F38" s="31">
        <v>80</v>
      </c>
      <c r="G38" s="31">
        <v>90</v>
      </c>
      <c r="H38" s="31">
        <v>100</v>
      </c>
      <c r="I38" s="32">
        <v>110</v>
      </c>
      <c r="J38" s="32">
        <v>120</v>
      </c>
      <c r="K38" s="32">
        <v>130</v>
      </c>
      <c r="L38" s="32">
        <v>140</v>
      </c>
      <c r="M38" s="32">
        <v>150</v>
      </c>
      <c r="N38" s="30"/>
      <c r="O38" s="30"/>
    </row>
    <row r="39" spans="2:15" s="22" customFormat="1" ht="11" hidden="1" x14ac:dyDescent="0.25">
      <c r="B39" s="31" t="s">
        <v>259</v>
      </c>
      <c r="C39" s="31" t="s">
        <v>259</v>
      </c>
      <c r="D39" s="31" t="s">
        <v>259</v>
      </c>
      <c r="E39" s="31"/>
      <c r="F39" s="31" t="s">
        <v>259</v>
      </c>
      <c r="G39" s="31"/>
      <c r="H39" s="31" t="s">
        <v>259</v>
      </c>
      <c r="I39" s="31" t="s">
        <v>259</v>
      </c>
      <c r="J39" s="31" t="s">
        <v>259</v>
      </c>
      <c r="K39" s="31" t="s">
        <v>259</v>
      </c>
      <c r="L39" s="31" t="s">
        <v>259</v>
      </c>
      <c r="M39" s="31" t="s">
        <v>259</v>
      </c>
      <c r="N39" s="30"/>
      <c r="O39" s="30"/>
    </row>
    <row r="40" spans="2:15" s="22" customFormat="1" ht="11" hidden="1" x14ac:dyDescent="0.25">
      <c r="B40" s="33">
        <v>5</v>
      </c>
      <c r="C40" s="34">
        <v>3.3E-3</v>
      </c>
      <c r="D40" s="34">
        <v>2.5999999999999999E-3</v>
      </c>
      <c r="E40" s="34">
        <v>2.0999999999999999E-3</v>
      </c>
      <c r="F40" s="34">
        <v>1.6999999999999999E-3</v>
      </c>
      <c r="G40" s="34">
        <v>1.4E-3</v>
      </c>
      <c r="H40" s="34">
        <v>1.1999999999999999E-3</v>
      </c>
      <c r="I40" s="34">
        <v>1E-3</v>
      </c>
      <c r="J40" s="35">
        <v>8.8000000000000003E-4</v>
      </c>
      <c r="K40" s="35">
        <v>7.6000000000000004E-4</v>
      </c>
      <c r="L40" s="35">
        <v>6.6E-4</v>
      </c>
      <c r="M40" s="35">
        <v>5.8E-4</v>
      </c>
      <c r="N40" s="30"/>
      <c r="O40" s="30"/>
    </row>
    <row r="41" spans="2:15" s="22" customFormat="1" ht="11" hidden="1" x14ac:dyDescent="0.25">
      <c r="B41" s="33">
        <v>10</v>
      </c>
      <c r="C41" s="34">
        <v>1.4E-3</v>
      </c>
      <c r="D41" s="34">
        <v>1.1999999999999999E-3</v>
      </c>
      <c r="E41" s="34">
        <v>1.1000000000000001E-3</v>
      </c>
      <c r="F41" s="35">
        <v>9.3999999999999997E-4</v>
      </c>
      <c r="G41" s="35">
        <v>8.4000000000000003E-4</v>
      </c>
      <c r="H41" s="35">
        <v>7.5000000000000002E-4</v>
      </c>
      <c r="I41" s="35">
        <v>6.8000000000000005E-4</v>
      </c>
      <c r="J41" s="35">
        <v>6.2E-4</v>
      </c>
      <c r="K41" s="35">
        <v>5.6999999999999998E-4</v>
      </c>
      <c r="L41" s="35">
        <v>5.1999999999999995E-4</v>
      </c>
      <c r="M41" s="35">
        <v>4.8000000000000001E-4</v>
      </c>
      <c r="N41" s="30"/>
      <c r="O41" s="30"/>
    </row>
    <row r="42" spans="2:15" s="22" customFormat="1" ht="11" hidden="1" x14ac:dyDescent="0.25">
      <c r="B42" s="33">
        <v>15</v>
      </c>
      <c r="C42" s="35">
        <v>7.5000000000000002E-4</v>
      </c>
      <c r="D42" s="35">
        <v>6.0999999999999997E-4</v>
      </c>
      <c r="E42" s="35">
        <v>5.4000000000000001E-4</v>
      </c>
      <c r="F42" s="35">
        <v>4.8999999999999998E-4</v>
      </c>
      <c r="G42" s="35">
        <v>4.4000000000000002E-4</v>
      </c>
      <c r="H42" s="35">
        <v>4.0000000000000002E-4</v>
      </c>
      <c r="I42" s="35">
        <v>3.6999999999999999E-4</v>
      </c>
      <c r="J42" s="35">
        <v>3.4000000000000002E-4</v>
      </c>
      <c r="K42" s="35">
        <v>3.1E-4</v>
      </c>
      <c r="L42" s="35">
        <v>2.9E-4</v>
      </c>
      <c r="M42" s="35">
        <v>2.7E-4</v>
      </c>
      <c r="N42" s="30"/>
      <c r="O42" s="30"/>
    </row>
    <row r="43" spans="2:15" s="22" customFormat="1" ht="11" hidden="1" x14ac:dyDescent="0.25">
      <c r="B43" s="33">
        <v>20</v>
      </c>
      <c r="C43" s="35">
        <v>7.2000000000000005E-4</v>
      </c>
      <c r="D43" s="35">
        <v>5.4000000000000001E-4</v>
      </c>
      <c r="E43" s="35">
        <v>3.5E-4</v>
      </c>
      <c r="F43" s="35">
        <v>3.1E-4</v>
      </c>
      <c r="G43" s="35">
        <v>2.7999999999999998E-4</v>
      </c>
      <c r="H43" s="35">
        <v>2.5999999999999998E-4</v>
      </c>
      <c r="I43" s="35">
        <v>2.3000000000000001E-4</v>
      </c>
      <c r="J43" s="35">
        <v>2.2000000000000001E-4</v>
      </c>
      <c r="K43" s="35">
        <v>2.0000000000000001E-4</v>
      </c>
      <c r="L43" s="35">
        <v>1.9000000000000001E-4</v>
      </c>
      <c r="M43" s="35">
        <v>1.7000000000000001E-4</v>
      </c>
      <c r="N43" s="30"/>
      <c r="O43" s="30"/>
    </row>
    <row r="44" spans="2:15" s="22" customFormat="1" ht="11" hidden="1" x14ac:dyDescent="0.25">
      <c r="B44" s="33">
        <v>25</v>
      </c>
      <c r="C44" s="35">
        <v>5.0000000000000001E-4</v>
      </c>
      <c r="D44" s="35">
        <v>4.0999999999999999E-4</v>
      </c>
      <c r="E44" s="35">
        <v>3.5E-4</v>
      </c>
      <c r="F44" s="35">
        <v>2.5000000000000001E-4</v>
      </c>
      <c r="G44" s="35">
        <v>1.9000000000000001E-4</v>
      </c>
      <c r="H44" s="35">
        <v>1.8000000000000001E-4</v>
      </c>
      <c r="I44" s="35">
        <v>1.6000000000000001E-4</v>
      </c>
      <c r="J44" s="35">
        <v>1.4999999999999999E-4</v>
      </c>
      <c r="K44" s="35">
        <v>1.3999999999999999E-4</v>
      </c>
      <c r="L44" s="35">
        <v>1.2999999999999999E-4</v>
      </c>
      <c r="M44" s="35">
        <v>1.2E-4</v>
      </c>
      <c r="N44" s="30"/>
      <c r="O44" s="30"/>
    </row>
    <row r="45" spans="2:15" s="22" customFormat="1" ht="11" hidden="1" x14ac:dyDescent="0.25">
      <c r="B45" s="33">
        <v>30</v>
      </c>
      <c r="C45" s="35">
        <v>3.6999999999999999E-4</v>
      </c>
      <c r="D45" s="35">
        <v>2.9999999999999997E-4</v>
      </c>
      <c r="E45" s="35">
        <v>2.5999999999999998E-4</v>
      </c>
      <c r="F45" s="35">
        <v>2.3000000000000001E-4</v>
      </c>
      <c r="G45" s="35">
        <v>1.9000000000000001E-4</v>
      </c>
      <c r="H45" s="35">
        <v>1.2999999999999999E-4</v>
      </c>
      <c r="I45" s="35">
        <v>1.2E-4</v>
      </c>
      <c r="J45" s="35">
        <v>1.1E-4</v>
      </c>
      <c r="K45" s="35">
        <v>1E-4</v>
      </c>
      <c r="L45" s="36">
        <v>9.6000000000000002E-5</v>
      </c>
      <c r="M45" s="36">
        <v>9.0000000000000006E-5</v>
      </c>
      <c r="N45" s="30"/>
      <c r="O45" s="30"/>
    </row>
    <row r="46" spans="2:15" s="22" customFormat="1" ht="11" hidden="1" x14ac:dyDescent="0.25">
      <c r="B46" s="33">
        <v>35</v>
      </c>
      <c r="C46" s="35">
        <v>2.9999999999999997E-4</v>
      </c>
      <c r="D46" s="35">
        <v>2.3000000000000001E-4</v>
      </c>
      <c r="E46" s="35">
        <v>1.9000000000000001E-4</v>
      </c>
      <c r="F46" s="35">
        <v>1.7000000000000001E-4</v>
      </c>
      <c r="G46" s="35">
        <v>1.4999999999999999E-4</v>
      </c>
      <c r="H46" s="35">
        <v>1.2999999999999999E-4</v>
      </c>
      <c r="I46" s="35">
        <v>1.1E-4</v>
      </c>
      <c r="J46" s="36">
        <v>8.1000000000000004E-5</v>
      </c>
      <c r="K46" s="36">
        <v>7.4999999999999993E-5</v>
      </c>
      <c r="L46" s="36">
        <v>7.1000000000000005E-5</v>
      </c>
      <c r="M46" s="36">
        <v>6.7999999999999999E-5</v>
      </c>
      <c r="N46" s="30"/>
      <c r="O46" s="30"/>
    </row>
    <row r="47" spans="2:15" s="22" customFormat="1" ht="11" hidden="1" x14ac:dyDescent="0.25">
      <c r="B47" s="33">
        <v>40</v>
      </c>
      <c r="C47" s="35">
        <v>2.3000000000000001E-4</v>
      </c>
      <c r="D47" s="35">
        <v>1.9000000000000001E-4</v>
      </c>
      <c r="E47" s="35">
        <v>1.4999999999999999E-4</v>
      </c>
      <c r="F47" s="35">
        <v>1.2999999999999999E-4</v>
      </c>
      <c r="G47" s="35">
        <v>1.2E-4</v>
      </c>
      <c r="H47" s="35">
        <v>1.1E-4</v>
      </c>
      <c r="I47" s="36">
        <v>9.6000000000000002E-5</v>
      </c>
      <c r="J47" s="36">
        <v>8.1000000000000004E-5</v>
      </c>
      <c r="K47" s="36">
        <v>6.3999999999999997E-5</v>
      </c>
      <c r="L47" s="36">
        <v>5.3999999999999998E-5</v>
      </c>
      <c r="M47" s="36">
        <v>5.1E-5</v>
      </c>
      <c r="N47" s="30"/>
      <c r="O47" s="30"/>
    </row>
    <row r="48" spans="2:15" s="22" customFormat="1" ht="11" hidden="1" x14ac:dyDescent="0.25">
      <c r="B48" s="33">
        <v>45</v>
      </c>
      <c r="C48" s="35">
        <v>1.8000000000000001E-4</v>
      </c>
      <c r="D48" s="35">
        <v>1.6000000000000001E-4</v>
      </c>
      <c r="E48" s="35">
        <v>1.2999999999999999E-4</v>
      </c>
      <c r="F48" s="35">
        <v>1.1E-4</v>
      </c>
      <c r="G48" s="36">
        <v>9.5000000000000005E-5</v>
      </c>
      <c r="H48" s="36">
        <v>8.5000000000000006E-5</v>
      </c>
      <c r="I48" s="36">
        <v>7.7999999999999999E-5</v>
      </c>
      <c r="J48" s="36">
        <v>7.2000000000000002E-5</v>
      </c>
      <c r="K48" s="36">
        <v>6.3E-5</v>
      </c>
      <c r="L48" s="36">
        <v>5.3000000000000001E-5</v>
      </c>
      <c r="M48" s="36">
        <v>4.1999999999999998E-5</v>
      </c>
      <c r="N48" s="30"/>
      <c r="O48" s="30"/>
    </row>
    <row r="49" spans="2:15" s="22" customFormat="1" ht="11" hidden="1" x14ac:dyDescent="0.25">
      <c r="B49" s="33">
        <v>50</v>
      </c>
      <c r="C49" s="35">
        <v>1.3999999999999999E-4</v>
      </c>
      <c r="D49" s="35">
        <v>1.2999999999999999E-4</v>
      </c>
      <c r="E49" s="35">
        <v>1.1E-4</v>
      </c>
      <c r="F49" s="36">
        <v>9.0000000000000006E-5</v>
      </c>
      <c r="G49" s="36">
        <v>7.7000000000000001E-5</v>
      </c>
      <c r="H49" s="36">
        <v>6.7999999999999999E-5</v>
      </c>
      <c r="I49" s="36">
        <v>6.2000000000000003E-5</v>
      </c>
      <c r="J49" s="36">
        <v>5.7000000000000003E-5</v>
      </c>
      <c r="K49" s="36">
        <v>5.3000000000000001E-5</v>
      </c>
      <c r="L49" s="36">
        <v>4.8000000000000001E-5</v>
      </c>
      <c r="M49" s="36">
        <v>4.1999999999999998E-5</v>
      </c>
      <c r="N49" s="30"/>
      <c r="O49" s="30"/>
    </row>
    <row r="50" spans="2:15" s="22" customFormat="1" ht="11" hidden="1" x14ac:dyDescent="0.25">
      <c r="B50" s="30"/>
      <c r="C50" s="30"/>
      <c r="D50" s="30"/>
      <c r="E50" s="30"/>
      <c r="F50" s="30"/>
      <c r="G50" s="30"/>
      <c r="H50" s="30"/>
      <c r="I50" s="30"/>
      <c r="J50" s="30"/>
      <c r="K50" s="30"/>
      <c r="L50" s="30"/>
      <c r="M50" s="30"/>
      <c r="N50" s="30"/>
      <c r="O50" s="30"/>
    </row>
    <row r="51" spans="2:15" s="22" customFormat="1" ht="11" hidden="1" x14ac:dyDescent="0.25">
      <c r="B51" s="29"/>
      <c r="C51" s="652"/>
      <c r="D51" s="652"/>
      <c r="E51" s="652"/>
      <c r="F51" s="652"/>
      <c r="G51" s="652"/>
      <c r="H51" s="652"/>
      <c r="I51" s="652"/>
      <c r="J51" s="652"/>
      <c r="K51" s="652"/>
      <c r="L51" s="652"/>
      <c r="M51" s="652"/>
      <c r="N51" s="30"/>
      <c r="O51" s="30"/>
    </row>
    <row r="52" spans="2:15" s="22" customFormat="1" ht="11" hidden="1" x14ac:dyDescent="0.25">
      <c r="B52" s="31" t="s">
        <v>257</v>
      </c>
      <c r="C52" s="648"/>
      <c r="D52" s="648"/>
      <c r="E52" s="648"/>
      <c r="F52" s="648"/>
      <c r="G52" s="648"/>
      <c r="H52" s="648"/>
      <c r="I52" s="648"/>
      <c r="J52" s="648"/>
      <c r="K52" s="648"/>
      <c r="L52" s="648"/>
      <c r="M52" s="648"/>
      <c r="N52" s="30"/>
      <c r="O52" s="30"/>
    </row>
    <row r="53" spans="2:15" s="22" customFormat="1" ht="11" hidden="1" x14ac:dyDescent="0.25">
      <c r="B53" s="31" t="s">
        <v>258</v>
      </c>
      <c r="C53" s="31">
        <v>50</v>
      </c>
      <c r="D53" s="31">
        <v>60</v>
      </c>
      <c r="E53" s="31">
        <v>70</v>
      </c>
      <c r="F53" s="31">
        <v>80</v>
      </c>
      <c r="G53" s="31">
        <v>90</v>
      </c>
      <c r="H53" s="31">
        <v>100</v>
      </c>
      <c r="I53" s="32">
        <v>110</v>
      </c>
      <c r="J53" s="32">
        <v>120</v>
      </c>
      <c r="K53" s="32">
        <v>130</v>
      </c>
      <c r="L53" s="32">
        <v>140</v>
      </c>
      <c r="M53" s="32">
        <v>150</v>
      </c>
      <c r="N53" s="30"/>
      <c r="O53" s="30"/>
    </row>
    <row r="54" spans="2:15" s="22" customFormat="1" ht="11" hidden="1" x14ac:dyDescent="0.25">
      <c r="B54" s="31" t="s">
        <v>259</v>
      </c>
      <c r="C54" s="31" t="s">
        <v>259</v>
      </c>
      <c r="D54" s="31" t="s">
        <v>259</v>
      </c>
      <c r="E54" s="31"/>
      <c r="F54" s="31" t="s">
        <v>259</v>
      </c>
      <c r="G54" s="31"/>
      <c r="H54" s="31" t="s">
        <v>259</v>
      </c>
      <c r="I54" s="31" t="s">
        <v>259</v>
      </c>
      <c r="J54" s="31" t="s">
        <v>259</v>
      </c>
      <c r="K54" s="31" t="s">
        <v>259</v>
      </c>
      <c r="L54" s="31" t="s">
        <v>259</v>
      </c>
      <c r="M54" s="31" t="s">
        <v>259</v>
      </c>
      <c r="N54" s="30"/>
      <c r="O54" s="30"/>
    </row>
    <row r="55" spans="2:15" s="22" customFormat="1" ht="11" hidden="1" x14ac:dyDescent="0.25">
      <c r="B55" s="33">
        <v>5</v>
      </c>
      <c r="C55" s="37">
        <v>29</v>
      </c>
      <c r="D55" s="37">
        <v>23</v>
      </c>
      <c r="E55" s="37">
        <v>19</v>
      </c>
      <c r="F55" s="37">
        <v>15</v>
      </c>
      <c r="G55" s="37">
        <v>13</v>
      </c>
      <c r="H55" s="37">
        <v>11</v>
      </c>
      <c r="I55" s="38">
        <v>9.1</v>
      </c>
      <c r="J55" s="38">
        <v>7.7</v>
      </c>
      <c r="K55" s="38">
        <v>6.7</v>
      </c>
      <c r="L55" s="38">
        <v>5.8</v>
      </c>
      <c r="M55" s="38">
        <v>5</v>
      </c>
      <c r="N55" s="30"/>
      <c r="O55" s="30"/>
    </row>
    <row r="56" spans="2:15" s="22" customFormat="1" ht="11" hidden="1" x14ac:dyDescent="0.25">
      <c r="B56" s="33">
        <v>10</v>
      </c>
      <c r="C56" s="37">
        <v>12</v>
      </c>
      <c r="D56" s="37">
        <v>11</v>
      </c>
      <c r="E56" s="38">
        <v>9.3000000000000007</v>
      </c>
      <c r="F56" s="38">
        <v>8.1999999999999993</v>
      </c>
      <c r="G56" s="38">
        <v>7.3</v>
      </c>
      <c r="H56" s="38">
        <v>6.6</v>
      </c>
      <c r="I56" s="38">
        <v>5.9</v>
      </c>
      <c r="J56" s="38">
        <v>5.4</v>
      </c>
      <c r="K56" s="38">
        <v>4.9000000000000004</v>
      </c>
      <c r="L56" s="38">
        <v>4.5</v>
      </c>
      <c r="M56" s="38">
        <v>4.2</v>
      </c>
      <c r="N56" s="30"/>
      <c r="O56" s="30"/>
    </row>
    <row r="57" spans="2:15" s="22" customFormat="1" ht="11" hidden="1" x14ac:dyDescent="0.25">
      <c r="B57" s="33">
        <v>15</v>
      </c>
      <c r="C57" s="38">
        <v>6.6</v>
      </c>
      <c r="D57" s="38">
        <v>5.4</v>
      </c>
      <c r="E57" s="38">
        <v>4.8</v>
      </c>
      <c r="F57" s="38">
        <v>4.3</v>
      </c>
      <c r="G57" s="38">
        <v>3.8</v>
      </c>
      <c r="H57" s="38">
        <v>3.5</v>
      </c>
      <c r="I57" s="38">
        <v>3.1</v>
      </c>
      <c r="J57" s="38">
        <v>2.9</v>
      </c>
      <c r="K57" s="38">
        <v>2.8</v>
      </c>
      <c r="L57" s="38">
        <v>2.5</v>
      </c>
      <c r="M57" s="38">
        <v>2.4</v>
      </c>
      <c r="N57" s="30"/>
      <c r="O57" s="30"/>
    </row>
    <row r="58" spans="2:15" s="22" customFormat="1" ht="11" hidden="1" x14ac:dyDescent="0.25">
      <c r="B58" s="33">
        <v>20</v>
      </c>
      <c r="C58" s="38">
        <v>6.3</v>
      </c>
      <c r="D58" s="38">
        <v>4.7</v>
      </c>
      <c r="E58" s="38">
        <v>3</v>
      </c>
      <c r="F58" s="38">
        <v>2.6</v>
      </c>
      <c r="G58" s="38">
        <v>2.5</v>
      </c>
      <c r="H58" s="38">
        <v>2.2999999999999998</v>
      </c>
      <c r="I58" s="38">
        <v>2</v>
      </c>
      <c r="J58" s="38">
        <v>1.9</v>
      </c>
      <c r="K58" s="38">
        <v>1.8</v>
      </c>
      <c r="L58" s="38">
        <v>1.6</v>
      </c>
      <c r="M58" s="38">
        <v>1.5</v>
      </c>
      <c r="N58" s="30"/>
      <c r="O58" s="30"/>
    </row>
    <row r="59" spans="2:15" s="22" customFormat="1" ht="11" hidden="1" x14ac:dyDescent="0.25">
      <c r="B59" s="33">
        <v>25</v>
      </c>
      <c r="C59" s="38">
        <v>4.3</v>
      </c>
      <c r="D59" s="38">
        <v>3.7</v>
      </c>
      <c r="E59" s="38">
        <v>3</v>
      </c>
      <c r="F59" s="38">
        <v>2.1</v>
      </c>
      <c r="G59" s="38">
        <v>1.6</v>
      </c>
      <c r="H59" s="38">
        <v>1.5</v>
      </c>
      <c r="I59" s="38">
        <v>1.4</v>
      </c>
      <c r="J59" s="38">
        <v>1.4</v>
      </c>
      <c r="K59" s="38">
        <v>1.2</v>
      </c>
      <c r="L59" s="38">
        <v>1.1000000000000001</v>
      </c>
      <c r="M59" s="38">
        <v>1.1000000000000001</v>
      </c>
      <c r="N59" s="30"/>
      <c r="O59" s="30"/>
    </row>
    <row r="60" spans="2:15" s="22" customFormat="1" ht="11" hidden="1" x14ac:dyDescent="0.25">
      <c r="B60" s="33">
        <v>30</v>
      </c>
      <c r="C60" s="38">
        <v>3.3</v>
      </c>
      <c r="D60" s="38">
        <v>2.6</v>
      </c>
      <c r="E60" s="38">
        <v>2.2999999999999998</v>
      </c>
      <c r="F60" s="38">
        <v>2</v>
      </c>
      <c r="G60" s="38">
        <v>1.6</v>
      </c>
      <c r="H60" s="38">
        <v>1.2</v>
      </c>
      <c r="I60" s="38">
        <v>1</v>
      </c>
      <c r="J60" s="39">
        <v>0.94</v>
      </c>
      <c r="K60" s="39">
        <v>0.89</v>
      </c>
      <c r="L60" s="39">
        <v>0.84</v>
      </c>
      <c r="M60" s="39">
        <v>0.79</v>
      </c>
      <c r="N60" s="30"/>
      <c r="O60" s="30"/>
    </row>
    <row r="61" spans="2:15" s="22" customFormat="1" ht="11" hidden="1" x14ac:dyDescent="0.25">
      <c r="B61" s="33">
        <v>35</v>
      </c>
      <c r="C61" s="38">
        <v>2.6</v>
      </c>
      <c r="D61" s="38">
        <v>2</v>
      </c>
      <c r="E61" s="38">
        <v>1.6</v>
      </c>
      <c r="F61" s="38">
        <v>1.5</v>
      </c>
      <c r="G61" s="38">
        <v>1.4</v>
      </c>
      <c r="H61" s="38">
        <v>1.2</v>
      </c>
      <c r="I61" s="39">
        <v>0.92</v>
      </c>
      <c r="J61" s="39">
        <v>0.72</v>
      </c>
      <c r="K61" s="39">
        <v>0.66</v>
      </c>
      <c r="L61" s="39">
        <v>0.63</v>
      </c>
      <c r="M61" s="39">
        <v>0.59</v>
      </c>
      <c r="N61" s="30"/>
      <c r="O61" s="30"/>
    </row>
    <row r="62" spans="2:15" s="22" customFormat="1" ht="11" hidden="1" x14ac:dyDescent="0.25">
      <c r="B62" s="33">
        <v>40</v>
      </c>
      <c r="C62" s="38">
        <v>2</v>
      </c>
      <c r="D62" s="38">
        <v>1.6</v>
      </c>
      <c r="E62" s="38">
        <v>1.4</v>
      </c>
      <c r="F62" s="38">
        <v>1.1000000000000001</v>
      </c>
      <c r="G62" s="38">
        <v>1</v>
      </c>
      <c r="H62" s="39">
        <v>0.93</v>
      </c>
      <c r="I62" s="39">
        <v>0.84</v>
      </c>
      <c r="J62" s="39">
        <v>0.71</v>
      </c>
      <c r="K62" s="39">
        <v>0.55000000000000004</v>
      </c>
      <c r="L62" s="39">
        <v>0.48</v>
      </c>
      <c r="M62" s="39">
        <v>0.45</v>
      </c>
      <c r="N62" s="30"/>
      <c r="O62" s="30"/>
    </row>
    <row r="63" spans="2:15" s="22" customFormat="1" ht="11" hidden="1" x14ac:dyDescent="0.25">
      <c r="B63" s="33">
        <v>45</v>
      </c>
      <c r="C63" s="38">
        <v>1.6</v>
      </c>
      <c r="D63" s="38">
        <v>1.4</v>
      </c>
      <c r="E63" s="38">
        <v>1.2</v>
      </c>
      <c r="F63" s="39">
        <v>0.94</v>
      </c>
      <c r="G63" s="39">
        <v>0.83</v>
      </c>
      <c r="H63" s="39">
        <v>0.74</v>
      </c>
      <c r="I63" s="39">
        <v>0.68</v>
      </c>
      <c r="J63" s="39">
        <v>0.63</v>
      </c>
      <c r="K63" s="39">
        <v>0.55000000000000004</v>
      </c>
      <c r="L63" s="39">
        <v>0.47</v>
      </c>
      <c r="M63" s="39">
        <v>0.38</v>
      </c>
      <c r="N63" s="30"/>
      <c r="O63" s="30"/>
    </row>
    <row r="64" spans="2:15" s="22" customFormat="1" ht="11" hidden="1" x14ac:dyDescent="0.25">
      <c r="B64" s="33">
        <v>50</v>
      </c>
      <c r="C64" s="38">
        <v>1.2</v>
      </c>
      <c r="D64" s="38">
        <v>1.1000000000000001</v>
      </c>
      <c r="E64" s="39">
        <v>0.95</v>
      </c>
      <c r="F64" s="39">
        <v>0.79</v>
      </c>
      <c r="G64" s="39">
        <v>0.68</v>
      </c>
      <c r="H64" s="39">
        <v>0.6</v>
      </c>
      <c r="I64" s="39">
        <v>0.54</v>
      </c>
      <c r="J64" s="39">
        <v>0.5</v>
      </c>
      <c r="K64" s="39">
        <v>0.47</v>
      </c>
      <c r="L64" s="39">
        <v>0.42</v>
      </c>
      <c r="M64" s="39">
        <v>0.37</v>
      </c>
      <c r="N64" s="30"/>
      <c r="O64" s="30"/>
    </row>
    <row r="65" spans="2:15" s="22" customFormat="1" ht="11" hidden="1" x14ac:dyDescent="0.25">
      <c r="B65" s="25"/>
      <c r="C65" s="40"/>
      <c r="D65" s="40"/>
      <c r="E65" s="40"/>
      <c r="F65" s="40"/>
      <c r="G65" s="40"/>
      <c r="H65" s="40"/>
      <c r="I65" s="40"/>
      <c r="J65" s="40"/>
      <c r="K65" s="40"/>
      <c r="L65" s="40"/>
      <c r="M65" s="40"/>
      <c r="N65" s="30"/>
      <c r="O65" s="30"/>
    </row>
    <row r="66" spans="2:15" s="22" customFormat="1" ht="11" hidden="1" x14ac:dyDescent="0.25">
      <c r="B66" s="25"/>
      <c r="C66" s="40"/>
      <c r="D66" s="40"/>
      <c r="E66" s="40"/>
      <c r="F66" s="40"/>
      <c r="G66" s="40"/>
      <c r="H66" s="40"/>
      <c r="I66" s="40"/>
      <c r="J66" s="40"/>
      <c r="K66" s="40"/>
      <c r="L66" s="40"/>
      <c r="M66" s="40"/>
      <c r="N66" s="30"/>
      <c r="O66" s="30"/>
    </row>
    <row r="67" spans="2:15" s="22" customFormat="1" ht="11" hidden="1" x14ac:dyDescent="0.25">
      <c r="B67" s="41"/>
      <c r="C67" s="652"/>
      <c r="D67" s="652"/>
      <c r="E67" s="652"/>
      <c r="F67" s="652"/>
      <c r="G67" s="652"/>
      <c r="H67" s="652"/>
      <c r="I67" s="652"/>
      <c r="J67" s="652"/>
      <c r="K67" s="652"/>
      <c r="L67" s="652"/>
      <c r="M67" s="652"/>
      <c r="N67" s="30"/>
      <c r="O67" s="30"/>
    </row>
    <row r="68" spans="2:15" s="22" customFormat="1" ht="11" hidden="1" x14ac:dyDescent="0.25">
      <c r="B68" s="31" t="s">
        <v>257</v>
      </c>
      <c r="C68" s="648"/>
      <c r="D68" s="648"/>
      <c r="E68" s="648"/>
      <c r="F68" s="648"/>
      <c r="G68" s="648"/>
      <c r="H68" s="648"/>
      <c r="I68" s="648"/>
      <c r="J68" s="648"/>
      <c r="K68" s="648"/>
      <c r="L68" s="648"/>
      <c r="M68" s="648"/>
      <c r="N68" s="30"/>
      <c r="O68" s="30"/>
    </row>
    <row r="69" spans="2:15" s="22" customFormat="1" ht="11" hidden="1" x14ac:dyDescent="0.25">
      <c r="B69" s="31" t="s">
        <v>258</v>
      </c>
      <c r="C69" s="31">
        <v>50</v>
      </c>
      <c r="D69" s="31">
        <v>60</v>
      </c>
      <c r="E69" s="31">
        <v>70</v>
      </c>
      <c r="F69" s="31">
        <v>80</v>
      </c>
      <c r="G69" s="31">
        <v>90</v>
      </c>
      <c r="H69" s="31">
        <v>100</v>
      </c>
      <c r="I69" s="32">
        <v>110</v>
      </c>
      <c r="J69" s="32">
        <v>120</v>
      </c>
      <c r="K69" s="32">
        <v>130</v>
      </c>
      <c r="L69" s="32">
        <v>140</v>
      </c>
      <c r="M69" s="32">
        <v>150</v>
      </c>
      <c r="N69" s="30"/>
      <c r="O69" s="30"/>
    </row>
    <row r="70" spans="2:15" s="22" customFormat="1" ht="11" hidden="1" x14ac:dyDescent="0.25">
      <c r="B70" s="31" t="s">
        <v>259</v>
      </c>
      <c r="C70" s="31" t="s">
        <v>259</v>
      </c>
      <c r="D70" s="31" t="s">
        <v>259</v>
      </c>
      <c r="E70" s="31"/>
      <c r="F70" s="31" t="s">
        <v>259</v>
      </c>
      <c r="G70" s="31"/>
      <c r="H70" s="31" t="s">
        <v>259</v>
      </c>
      <c r="I70" s="31" t="s">
        <v>259</v>
      </c>
      <c r="J70" s="31" t="s">
        <v>259</v>
      </c>
      <c r="K70" s="31" t="s">
        <v>259</v>
      </c>
      <c r="L70" s="31" t="s">
        <v>259</v>
      </c>
      <c r="M70" s="31" t="s">
        <v>259</v>
      </c>
      <c r="N70" s="30"/>
      <c r="O70" s="30"/>
    </row>
    <row r="71" spans="2:15" s="22" customFormat="1" ht="11" hidden="1" x14ac:dyDescent="0.25">
      <c r="B71" s="42">
        <v>5</v>
      </c>
      <c r="C71" s="43">
        <v>199.8223584959546</v>
      </c>
      <c r="D71" s="43">
        <v>171.20078164899337</v>
      </c>
      <c r="E71" s="43">
        <v>146.37017554027901</v>
      </c>
      <c r="F71" s="43">
        <v>125.09589301434023</v>
      </c>
      <c r="G71" s="43">
        <v>105.10545289526382</v>
      </c>
      <c r="H71" s="43">
        <v>90.001241919334475</v>
      </c>
      <c r="I71" s="43">
        <v>76.871049965728588</v>
      </c>
      <c r="J71" s="43">
        <v>65.911622550600768</v>
      </c>
      <c r="K71" s="43">
        <v>57.222966309840594</v>
      </c>
      <c r="L71" s="43">
        <v>49.847259041609554</v>
      </c>
      <c r="M71" s="43">
        <v>43.653221430395398</v>
      </c>
      <c r="N71" s="30"/>
      <c r="O71" s="30"/>
    </row>
    <row r="72" spans="2:15" s="22" customFormat="1" ht="11" hidden="1" x14ac:dyDescent="0.25">
      <c r="B72" s="42">
        <v>10</v>
      </c>
      <c r="C72" s="43">
        <v>91.061516166371021</v>
      </c>
      <c r="D72" s="43">
        <v>82.790446376972298</v>
      </c>
      <c r="E72" s="43">
        <v>75.04716605515685</v>
      </c>
      <c r="F72" s="43">
        <v>68.052711642878265</v>
      </c>
      <c r="G72" s="43">
        <v>62.457795532282347</v>
      </c>
      <c r="H72" s="43">
        <v>57.52254564484047</v>
      </c>
      <c r="I72" s="43">
        <v>53.688210418178635</v>
      </c>
      <c r="J72" s="43">
        <v>49.950323436618014</v>
      </c>
      <c r="K72" s="43">
        <v>46.871403179851093</v>
      </c>
      <c r="L72" s="43">
        <v>44.008708135096633</v>
      </c>
      <c r="M72" s="43">
        <v>41.464162836330416</v>
      </c>
      <c r="N72" s="30"/>
      <c r="O72" s="30"/>
    </row>
    <row r="73" spans="2:15" s="22" customFormat="1" ht="11" hidden="1" x14ac:dyDescent="0.25">
      <c r="B73" s="42">
        <v>15</v>
      </c>
      <c r="C73" s="43">
        <v>44.105814089253563</v>
      </c>
      <c r="D73" s="43">
        <v>39.574736076391694</v>
      </c>
      <c r="E73" s="43">
        <v>37.228624665685558</v>
      </c>
      <c r="F73" s="43">
        <v>34.974185339555952</v>
      </c>
      <c r="G73" s="43">
        <v>32.788461490000806</v>
      </c>
      <c r="H73" s="43">
        <v>30.504662552415127</v>
      </c>
      <c r="I73" s="43">
        <v>28.788381901325163</v>
      </c>
      <c r="J73" s="43">
        <v>26.892367131010939</v>
      </c>
      <c r="K73" s="43">
        <v>25.415159521745558</v>
      </c>
      <c r="L73" s="43">
        <v>23.912716842391742</v>
      </c>
      <c r="M73" s="43">
        <v>22.826771362524529</v>
      </c>
      <c r="N73" s="30"/>
      <c r="O73" s="30"/>
    </row>
    <row r="74" spans="2:15" s="22" customFormat="1" ht="11" hidden="1" x14ac:dyDescent="0.25">
      <c r="B74" s="42">
        <v>20</v>
      </c>
      <c r="C74" s="43">
        <v>38.439032134505283</v>
      </c>
      <c r="D74" s="43">
        <v>31.96012964344273</v>
      </c>
      <c r="E74" s="43">
        <v>21.898799743972262</v>
      </c>
      <c r="F74" s="43">
        <v>20.66360932754079</v>
      </c>
      <c r="G74" s="43">
        <v>19.60745584193479</v>
      </c>
      <c r="H74" s="43">
        <v>18.472348290124451</v>
      </c>
      <c r="I74" s="43">
        <v>17.421823550856118</v>
      </c>
      <c r="J74" s="43">
        <v>16.511615536717471</v>
      </c>
      <c r="K74" s="43">
        <v>15.654717655498212</v>
      </c>
      <c r="L74" s="43">
        <v>14.818235634559043</v>
      </c>
      <c r="M74" s="43">
        <v>14.136107765166788</v>
      </c>
      <c r="N74" s="30"/>
      <c r="O74" s="30"/>
    </row>
    <row r="75" spans="2:15" s="22" customFormat="1" ht="11" hidden="1" x14ac:dyDescent="0.25">
      <c r="B75" s="42">
        <v>25</v>
      </c>
      <c r="C75" s="43">
        <v>23.297634137367957</v>
      </c>
      <c r="D75" s="43">
        <v>22.288414240787038</v>
      </c>
      <c r="E75" s="43">
        <v>20.367352977246458</v>
      </c>
      <c r="F75" s="43">
        <v>15.313397735061688</v>
      </c>
      <c r="G75" s="43">
        <v>12.481684314773002</v>
      </c>
      <c r="H75" s="43">
        <v>11.970820985538799</v>
      </c>
      <c r="I75" s="43">
        <v>11.497609189783082</v>
      </c>
      <c r="J75" s="43">
        <v>10.96055593634922</v>
      </c>
      <c r="K75" s="43">
        <v>10.46186316459694</v>
      </c>
      <c r="L75" s="43">
        <v>9.9648589747466598</v>
      </c>
      <c r="M75" s="43">
        <v>9.5166581828078378</v>
      </c>
      <c r="N75" s="30"/>
      <c r="O75" s="30"/>
    </row>
    <row r="76" spans="2:15" s="22" customFormat="1" ht="11" hidden="1" x14ac:dyDescent="0.25">
      <c r="B76" s="42">
        <v>30</v>
      </c>
      <c r="C76" s="43">
        <v>14.83156474276268</v>
      </c>
      <c r="D76" s="43">
        <v>14.219350800002687</v>
      </c>
      <c r="E76" s="43">
        <v>13.703719710104021</v>
      </c>
      <c r="F76" s="43">
        <v>13.141250579590356</v>
      </c>
      <c r="G76" s="43">
        <v>11.790768931604978</v>
      </c>
      <c r="H76" s="43">
        <v>8.2742900858129733</v>
      </c>
      <c r="I76" s="43">
        <v>7.6508808093433327</v>
      </c>
      <c r="J76" s="43">
        <v>7.4103749613606427</v>
      </c>
      <c r="K76" s="43">
        <v>7.1662601134317132</v>
      </c>
      <c r="L76" s="43">
        <v>6.9024557831357694</v>
      </c>
      <c r="M76" s="43">
        <v>6.6500418733032278</v>
      </c>
      <c r="N76" s="30"/>
      <c r="O76" s="30"/>
    </row>
    <row r="77" spans="2:15" s="22" customFormat="1" ht="11" hidden="1" x14ac:dyDescent="0.25">
      <c r="B77" s="42">
        <v>35</v>
      </c>
      <c r="C77" s="43">
        <v>10.074053587748299</v>
      </c>
      <c r="D77" s="43">
        <v>9.743641305808671</v>
      </c>
      <c r="E77" s="43">
        <v>9.4390487242292291</v>
      </c>
      <c r="F77" s="43">
        <v>9.1929922486089843</v>
      </c>
      <c r="G77" s="43">
        <v>8.7630659825820505</v>
      </c>
      <c r="H77" s="43">
        <v>8.2473611839099004</v>
      </c>
      <c r="I77" s="43">
        <v>7.0157919472219987</v>
      </c>
      <c r="J77" s="43">
        <v>5.2455770535978292</v>
      </c>
      <c r="K77" s="43">
        <v>5.1043487336370736</v>
      </c>
      <c r="L77" s="43">
        <v>4.9994911784667906</v>
      </c>
      <c r="M77" s="43">
        <v>4.8695503806816651</v>
      </c>
      <c r="N77" s="30"/>
      <c r="O77" s="30"/>
    </row>
    <row r="78" spans="2:15" s="22" customFormat="1" ht="11" hidden="1" x14ac:dyDescent="0.25">
      <c r="B78" s="42">
        <v>40</v>
      </c>
      <c r="C78" s="43">
        <v>7.1361438845657608</v>
      </c>
      <c r="D78" s="43">
        <v>6.9544019887509068</v>
      </c>
      <c r="E78" s="43">
        <v>6.7849486684541578</v>
      </c>
      <c r="F78" s="43">
        <v>6.6188048930865788</v>
      </c>
      <c r="G78" s="43">
        <v>6.458848244765206</v>
      </c>
      <c r="H78" s="43">
        <v>6.21766179810768</v>
      </c>
      <c r="I78" s="43">
        <v>5.9318128746337671</v>
      </c>
      <c r="J78" s="43">
        <v>5.3135537624653928</v>
      </c>
      <c r="K78" s="43">
        <v>4.1856007916028286</v>
      </c>
      <c r="L78" s="43">
        <v>3.6034276889632553</v>
      </c>
      <c r="M78" s="43">
        <v>3.549174671733462</v>
      </c>
      <c r="N78" s="30"/>
      <c r="O78" s="30"/>
    </row>
    <row r="79" spans="2:15" s="22" customFormat="1" ht="11" hidden="1" x14ac:dyDescent="0.25">
      <c r="B79" s="42">
        <v>45</v>
      </c>
      <c r="C79" s="43">
        <v>5.2478046965298493</v>
      </c>
      <c r="D79" s="43">
        <v>5.2272088692444161</v>
      </c>
      <c r="E79" s="43">
        <v>5.1242923117759327</v>
      </c>
      <c r="F79" s="43">
        <v>5.0134158367604771</v>
      </c>
      <c r="G79" s="43">
        <v>4.899528641843399</v>
      </c>
      <c r="H79" s="43">
        <v>4.7889270522538503</v>
      </c>
      <c r="I79" s="43">
        <v>4.6063510503185237</v>
      </c>
      <c r="J79" s="43">
        <v>4.4616479181786417</v>
      </c>
      <c r="K79" s="43">
        <v>4.1102273758164669</v>
      </c>
      <c r="L79" s="43">
        <v>3.7846032242023497</v>
      </c>
      <c r="M79" s="43">
        <v>2.7990003746337662</v>
      </c>
      <c r="N79" s="30"/>
      <c r="O79" s="30"/>
    </row>
    <row r="80" spans="2:15" s="22" customFormat="1" ht="11" hidden="1" x14ac:dyDescent="0.25">
      <c r="B80" s="42">
        <v>50</v>
      </c>
      <c r="C80" s="43">
        <v>3.8822081300567164</v>
      </c>
      <c r="D80" s="43">
        <v>3.9596273318011987</v>
      </c>
      <c r="E80" s="43">
        <v>3.91464482031019</v>
      </c>
      <c r="F80" s="43">
        <v>3.8469663064806605</v>
      </c>
      <c r="G80" s="43">
        <v>3.7712029271832916</v>
      </c>
      <c r="H80" s="43">
        <v>3.6880338111173829</v>
      </c>
      <c r="I80" s="43">
        <v>3.6140929914926221</v>
      </c>
      <c r="J80" s="43">
        <v>3.4282066046420994</v>
      </c>
      <c r="K80" s="43">
        <v>3.317993508588017</v>
      </c>
      <c r="L80" s="43">
        <v>3.2180796911539398</v>
      </c>
      <c r="M80" s="43">
        <v>2.9116718997795874</v>
      </c>
      <c r="N80" s="30"/>
      <c r="O80" s="30"/>
    </row>
    <row r="81" spans="2:15" s="22" customFormat="1" ht="11" x14ac:dyDescent="0.25">
      <c r="B81" s="20" t="s">
        <v>257</v>
      </c>
      <c r="C81" s="649" t="s">
        <v>264</v>
      </c>
      <c r="D81" s="649"/>
      <c r="E81" s="649"/>
      <c r="F81" s="649"/>
      <c r="G81" s="649"/>
      <c r="H81" s="649"/>
      <c r="I81" s="649"/>
      <c r="J81" s="649"/>
      <c r="K81" s="649"/>
      <c r="L81" s="649"/>
      <c r="M81" s="649"/>
      <c r="N81" s="649"/>
      <c r="O81" s="649"/>
    </row>
    <row r="82" spans="2:15" s="22" customFormat="1" ht="11" x14ac:dyDescent="0.25">
      <c r="B82" s="23" t="s">
        <v>265</v>
      </c>
      <c r="C82" s="24">
        <v>180</v>
      </c>
      <c r="D82" s="24">
        <v>190</v>
      </c>
      <c r="E82" s="24">
        <v>200</v>
      </c>
      <c r="F82" s="24">
        <v>250</v>
      </c>
      <c r="G82" s="24">
        <v>300</v>
      </c>
      <c r="H82" s="24">
        <v>350</v>
      </c>
      <c r="I82" s="24">
        <v>400</v>
      </c>
      <c r="J82" s="24">
        <v>450</v>
      </c>
      <c r="K82" s="24">
        <v>500</v>
      </c>
      <c r="L82" s="24">
        <v>600</v>
      </c>
      <c r="M82" s="24">
        <v>700</v>
      </c>
      <c r="N82" s="24">
        <v>800</v>
      </c>
      <c r="O82" s="24">
        <v>1000</v>
      </c>
    </row>
    <row r="83" spans="2:15" s="22" customFormat="1" ht="11" x14ac:dyDescent="0.25">
      <c r="B83" s="25">
        <v>5</v>
      </c>
      <c r="C83" s="27">
        <v>4.0999999999999999E-4</v>
      </c>
      <c r="D83" s="27">
        <v>3.6999999999999999E-4</v>
      </c>
      <c r="E83" s="27">
        <v>3.4000000000000002E-4</v>
      </c>
      <c r="F83" s="27">
        <v>2.3000000000000001E-4</v>
      </c>
      <c r="G83" s="27">
        <v>1.7000000000000001E-4</v>
      </c>
      <c r="H83" s="27">
        <v>1.2999999999999999E-4</v>
      </c>
      <c r="I83" s="27">
        <v>1E-4</v>
      </c>
      <c r="J83" s="28">
        <v>8.3999999999999995E-5</v>
      </c>
      <c r="K83" s="28">
        <v>7.1000000000000005E-5</v>
      </c>
      <c r="L83" s="28">
        <v>5.1999999999999997E-5</v>
      </c>
      <c r="M83" s="28">
        <v>4.0000000000000003E-5</v>
      </c>
      <c r="N83" s="28">
        <v>3.1999999999999999E-5</v>
      </c>
      <c r="O83" s="28">
        <v>2.1999999999999999E-5</v>
      </c>
    </row>
    <row r="84" spans="2:15" s="22" customFormat="1" ht="11" x14ac:dyDescent="0.25">
      <c r="B84" s="25">
        <v>10</v>
      </c>
      <c r="C84" s="27">
        <v>3.8000000000000002E-4</v>
      </c>
      <c r="D84" s="27">
        <v>3.5E-4</v>
      </c>
      <c r="E84" s="27">
        <v>3.3E-4</v>
      </c>
      <c r="F84" s="27">
        <v>2.3000000000000001E-4</v>
      </c>
      <c r="G84" s="27">
        <v>1.7000000000000001E-4</v>
      </c>
      <c r="H84" s="27">
        <v>1.2999999999999999E-4</v>
      </c>
      <c r="I84" s="28">
        <v>9.7999999999999997E-5</v>
      </c>
      <c r="J84" s="28">
        <v>7.7999999999999999E-5</v>
      </c>
      <c r="K84" s="28">
        <v>6.3999999999999997E-5</v>
      </c>
      <c r="L84" s="28">
        <v>4.6999999999999997E-5</v>
      </c>
      <c r="M84" s="28">
        <v>3.6000000000000001E-5</v>
      </c>
      <c r="N84" s="28">
        <v>2.9E-5</v>
      </c>
      <c r="O84" s="28">
        <v>2.0999999999999999E-5</v>
      </c>
    </row>
    <row r="85" spans="2:15" s="22" customFormat="1" ht="11" x14ac:dyDescent="0.25">
      <c r="B85" s="25">
        <v>15</v>
      </c>
      <c r="C85" s="27">
        <v>2.3000000000000001E-4</v>
      </c>
      <c r="D85" s="27">
        <v>2.1000000000000001E-4</v>
      </c>
      <c r="E85" s="27">
        <v>2.0000000000000001E-4</v>
      </c>
      <c r="F85" s="27">
        <v>1.6000000000000001E-4</v>
      </c>
      <c r="G85" s="27">
        <v>1.2999999999999999E-4</v>
      </c>
      <c r="H85" s="27">
        <v>1E-4</v>
      </c>
      <c r="I85" s="28">
        <v>8.2999999999999998E-5</v>
      </c>
      <c r="J85" s="28">
        <v>6.8999999999999997E-5</v>
      </c>
      <c r="K85" s="28">
        <v>5.7000000000000003E-5</v>
      </c>
      <c r="L85" s="28">
        <v>4.1E-5</v>
      </c>
      <c r="M85" s="28">
        <v>3.1999999999999999E-5</v>
      </c>
      <c r="N85" s="28">
        <v>2.5000000000000001E-5</v>
      </c>
      <c r="O85" s="28">
        <v>1.8E-5</v>
      </c>
    </row>
    <row r="86" spans="2:15" s="22" customFormat="1" ht="11" x14ac:dyDescent="0.25">
      <c r="B86" s="25">
        <v>20</v>
      </c>
      <c r="C86" s="27">
        <v>1.3999999999999999E-4</v>
      </c>
      <c r="D86" s="27">
        <v>1.3999999999999999E-4</v>
      </c>
      <c r="E86" s="27">
        <v>1.2999999999999999E-4</v>
      </c>
      <c r="F86" s="27">
        <v>1E-4</v>
      </c>
      <c r="G86" s="28">
        <v>8.6000000000000003E-5</v>
      </c>
      <c r="H86" s="28">
        <v>7.2999999999999999E-5</v>
      </c>
      <c r="I86" s="28">
        <v>6.2000000000000003E-5</v>
      </c>
      <c r="J86" s="28">
        <v>5.3000000000000001E-5</v>
      </c>
      <c r="K86" s="28">
        <v>4.6E-5</v>
      </c>
      <c r="L86" s="28">
        <v>3.4999999999999997E-5</v>
      </c>
      <c r="M86" s="28">
        <v>2.6999999999999999E-5</v>
      </c>
      <c r="N86" s="28">
        <v>2.0999999999999999E-5</v>
      </c>
      <c r="O86" s="28">
        <v>1.5E-5</v>
      </c>
    </row>
    <row r="87" spans="2:15" s="22" customFormat="1" ht="11" x14ac:dyDescent="0.25">
      <c r="B87" s="25">
        <v>25</v>
      </c>
      <c r="C87" s="27">
        <v>1E-4</v>
      </c>
      <c r="D87" s="28">
        <v>9.6000000000000002E-5</v>
      </c>
      <c r="E87" s="28">
        <v>9.1000000000000003E-5</v>
      </c>
      <c r="F87" s="28">
        <v>7.2000000000000002E-5</v>
      </c>
      <c r="G87" s="28">
        <v>5.8999999999999998E-5</v>
      </c>
      <c r="H87" s="28">
        <v>5.1E-5</v>
      </c>
      <c r="I87" s="28">
        <v>4.3999999999999999E-5</v>
      </c>
      <c r="J87" s="28">
        <v>3.8999999999999999E-5</v>
      </c>
      <c r="K87" s="28">
        <v>3.4E-5</v>
      </c>
      <c r="L87" s="28">
        <v>2.6999999999999999E-5</v>
      </c>
      <c r="M87" s="28">
        <v>2.1999999999999999E-5</v>
      </c>
      <c r="N87" s="28">
        <v>1.8E-5</v>
      </c>
      <c r="O87" s="28">
        <v>1.2999999999999999E-5</v>
      </c>
    </row>
    <row r="88" spans="2:15" s="22" customFormat="1" ht="11" x14ac:dyDescent="0.25">
      <c r="B88" s="25">
        <v>30</v>
      </c>
      <c r="C88" s="28">
        <v>7.4999999999999993E-5</v>
      </c>
      <c r="D88" s="28">
        <v>7.1000000000000005E-5</v>
      </c>
      <c r="E88" s="28">
        <v>6.7999999999999999E-5</v>
      </c>
      <c r="F88" s="28">
        <v>5.3000000000000001E-5</v>
      </c>
      <c r="G88" s="28">
        <v>4.3999999999999999E-5</v>
      </c>
      <c r="H88" s="28">
        <v>3.6999999999999998E-5</v>
      </c>
      <c r="I88" s="28">
        <v>3.1999999999999999E-5</v>
      </c>
      <c r="J88" s="28">
        <v>2.8E-5</v>
      </c>
      <c r="K88" s="28">
        <v>2.5000000000000001E-5</v>
      </c>
      <c r="L88" s="28">
        <v>2.0999999999999999E-5</v>
      </c>
      <c r="M88" s="28">
        <v>1.7E-5</v>
      </c>
      <c r="N88" s="28">
        <v>1.4E-5</v>
      </c>
      <c r="O88" s="28">
        <v>1.0000000000000001E-5</v>
      </c>
    </row>
    <row r="89" spans="2:15" s="22" customFormat="1" ht="11" x14ac:dyDescent="0.25">
      <c r="B89" s="25">
        <v>35</v>
      </c>
      <c r="C89" s="28">
        <v>5.8E-5</v>
      </c>
      <c r="D89" s="28">
        <v>5.5000000000000002E-5</v>
      </c>
      <c r="E89" s="28">
        <v>5.1999999999999997E-5</v>
      </c>
      <c r="F89" s="28">
        <v>4.1999999999999998E-5</v>
      </c>
      <c r="G89" s="28">
        <v>3.4E-5</v>
      </c>
      <c r="H89" s="28">
        <v>2.9E-5</v>
      </c>
      <c r="I89" s="28">
        <v>2.5000000000000001E-5</v>
      </c>
      <c r="J89" s="28">
        <v>2.1999999999999999E-5</v>
      </c>
      <c r="K89" s="28">
        <v>1.9000000000000001E-5</v>
      </c>
      <c r="L89" s="28">
        <v>1.5999999999999999E-5</v>
      </c>
      <c r="M89" s="28">
        <v>1.4E-5</v>
      </c>
      <c r="N89" s="28">
        <v>1.1E-5</v>
      </c>
      <c r="O89" s="28">
        <v>8.4435308375617604E-6</v>
      </c>
    </row>
    <row r="90" spans="2:15" s="22" customFormat="1" ht="11" x14ac:dyDescent="0.25">
      <c r="B90" s="25">
        <v>40</v>
      </c>
      <c r="C90" s="28">
        <v>4.5000000000000003E-5</v>
      </c>
      <c r="D90" s="28">
        <v>4.3000000000000002E-5</v>
      </c>
      <c r="E90" s="28">
        <v>4.1E-5</v>
      </c>
      <c r="F90" s="28">
        <v>3.3000000000000003E-5</v>
      </c>
      <c r="G90" s="28">
        <v>2.8E-5</v>
      </c>
      <c r="H90" s="28">
        <v>2.3E-5</v>
      </c>
      <c r="I90" s="28">
        <v>2.0000000000000002E-5</v>
      </c>
      <c r="J90" s="28">
        <v>1.8E-5</v>
      </c>
      <c r="K90" s="28">
        <v>1.5999999999999999E-5</v>
      </c>
      <c r="L90" s="28">
        <v>1.2999999999999999E-5</v>
      </c>
      <c r="M90" s="28">
        <v>1.1E-5</v>
      </c>
      <c r="N90" s="28">
        <v>9.3306957262908366E-6</v>
      </c>
      <c r="O90" s="28">
        <v>7.0463861920172599E-6</v>
      </c>
    </row>
    <row r="91" spans="2:15" s="22" customFormat="1" ht="11" x14ac:dyDescent="0.25">
      <c r="B91" s="25">
        <v>45</v>
      </c>
      <c r="C91" s="28">
        <v>3.6000000000000001E-5</v>
      </c>
      <c r="D91" s="28">
        <v>3.4E-5</v>
      </c>
      <c r="E91" s="28">
        <v>3.3000000000000003E-5</v>
      </c>
      <c r="F91" s="28">
        <v>2.6999999999999999E-5</v>
      </c>
      <c r="G91" s="28">
        <v>2.3E-5</v>
      </c>
      <c r="H91" s="28">
        <v>1.9000000000000001E-5</v>
      </c>
      <c r="I91" s="28">
        <v>1.7E-5</v>
      </c>
      <c r="J91" s="28">
        <v>1.5E-5</v>
      </c>
      <c r="K91" s="28">
        <v>1.2999999999999999E-5</v>
      </c>
      <c r="L91" s="28">
        <v>1.1E-5</v>
      </c>
      <c r="M91" s="28">
        <v>8.9914292753738986E-6</v>
      </c>
      <c r="N91" s="28">
        <v>7.8039420938378147E-6</v>
      </c>
      <c r="O91" s="28">
        <v>5.9786441061701769E-6</v>
      </c>
    </row>
    <row r="92" spans="2:15" s="22" customFormat="1" ht="11" x14ac:dyDescent="0.25">
      <c r="B92" s="25">
        <v>50</v>
      </c>
      <c r="C92" s="28">
        <v>2.6999999999999999E-5</v>
      </c>
      <c r="D92" s="28">
        <v>2.5999999999999998E-5</v>
      </c>
      <c r="E92" s="28">
        <v>2.5999999999999998E-5</v>
      </c>
      <c r="F92" s="28">
        <v>2.1999999999999999E-5</v>
      </c>
      <c r="G92" s="28">
        <v>1.9000000000000001E-5</v>
      </c>
      <c r="H92" s="28">
        <v>1.5999999999999999E-5</v>
      </c>
      <c r="I92" s="28">
        <v>1.4E-5</v>
      </c>
      <c r="J92" s="28">
        <v>1.2E-5</v>
      </c>
      <c r="K92" s="28">
        <v>1.1E-5</v>
      </c>
      <c r="L92" s="28">
        <v>8.9063639511499987E-6</v>
      </c>
      <c r="M92" s="28">
        <v>7.4923175782758662E-6</v>
      </c>
      <c r="N92" s="28">
        <v>6.4878694048237376E-6</v>
      </c>
      <c r="O92" s="28">
        <v>5.077207772317446E-6</v>
      </c>
    </row>
    <row r="93" spans="2:15" s="22" customFormat="1" ht="6.65" customHeight="1" x14ac:dyDescent="0.25">
      <c r="B93" s="650"/>
      <c r="C93" s="650"/>
      <c r="D93" s="650"/>
      <c r="E93" s="650"/>
      <c r="F93" s="650"/>
      <c r="G93" s="650"/>
      <c r="H93" s="650"/>
      <c r="I93" s="650"/>
      <c r="J93" s="650"/>
      <c r="K93" s="650"/>
      <c r="L93" s="650"/>
      <c r="M93" s="650"/>
      <c r="N93" s="650"/>
      <c r="O93" s="650"/>
    </row>
    <row r="94" spans="2:15" s="22" customFormat="1" ht="13.4" hidden="1" customHeight="1" x14ac:dyDescent="0.25">
      <c r="B94" s="650"/>
      <c r="C94" s="650"/>
      <c r="D94" s="650"/>
      <c r="E94" s="650"/>
      <c r="F94" s="650"/>
      <c r="G94" s="650"/>
      <c r="H94" s="650"/>
      <c r="I94" s="650"/>
      <c r="J94" s="650"/>
      <c r="K94" s="650"/>
      <c r="L94" s="650"/>
      <c r="M94" s="650"/>
      <c r="N94" s="650"/>
      <c r="O94" s="650"/>
    </row>
    <row r="95" spans="2:15" s="22" customFormat="1" ht="17.5" x14ac:dyDescent="0.35">
      <c r="B95" s="651" t="s">
        <v>266</v>
      </c>
      <c r="C95" s="651"/>
      <c r="D95" s="651"/>
      <c r="E95" s="651"/>
      <c r="F95" s="651"/>
      <c r="G95" s="651"/>
      <c r="H95" s="651"/>
      <c r="I95" s="651"/>
      <c r="J95" s="651"/>
      <c r="K95" s="651"/>
      <c r="L95" s="651"/>
      <c r="M95" s="651"/>
      <c r="N95" s="651"/>
      <c r="O95" s="651"/>
    </row>
    <row r="96" spans="2:15" s="22" customFormat="1" ht="11" x14ac:dyDescent="0.25">
      <c r="B96" s="23" t="s">
        <v>257</v>
      </c>
      <c r="C96" s="649" t="s">
        <v>264</v>
      </c>
      <c r="D96" s="649"/>
      <c r="E96" s="649"/>
      <c r="F96" s="649"/>
      <c r="G96" s="649"/>
      <c r="H96" s="649"/>
      <c r="I96" s="649"/>
      <c r="J96" s="649"/>
      <c r="K96" s="649"/>
      <c r="L96" s="649"/>
      <c r="M96" s="649"/>
      <c r="N96" s="649"/>
      <c r="O96" s="649"/>
    </row>
    <row r="97" spans="2:15" s="22" customFormat="1" ht="11" x14ac:dyDescent="0.25">
      <c r="B97" s="23" t="s">
        <v>265</v>
      </c>
      <c r="C97" s="23">
        <v>50</v>
      </c>
      <c r="D97" s="23">
        <v>60</v>
      </c>
      <c r="E97" s="23">
        <v>70</v>
      </c>
      <c r="F97" s="23">
        <v>80</v>
      </c>
      <c r="G97" s="23">
        <v>90</v>
      </c>
      <c r="H97" s="23">
        <v>100</v>
      </c>
      <c r="I97" s="24">
        <v>110</v>
      </c>
      <c r="J97" s="24">
        <v>120</v>
      </c>
      <c r="K97" s="24">
        <v>130</v>
      </c>
      <c r="L97" s="24">
        <v>140</v>
      </c>
      <c r="M97" s="24">
        <v>150</v>
      </c>
      <c r="N97" s="24">
        <v>160</v>
      </c>
      <c r="O97" s="24">
        <v>170</v>
      </c>
    </row>
    <row r="98" spans="2:15" s="22" customFormat="1" ht="11" x14ac:dyDescent="0.25">
      <c r="B98" s="25">
        <v>5</v>
      </c>
      <c r="C98" s="44">
        <v>8.3000000000000007</v>
      </c>
      <c r="D98" s="44">
        <v>7.1</v>
      </c>
      <c r="E98" s="44">
        <v>6.1</v>
      </c>
      <c r="F98" s="44">
        <v>5.2</v>
      </c>
      <c r="G98" s="44">
        <v>4.4000000000000004</v>
      </c>
      <c r="H98" s="44">
        <v>3.8</v>
      </c>
      <c r="I98" s="44">
        <v>3.2</v>
      </c>
      <c r="J98" s="44">
        <v>2.7</v>
      </c>
      <c r="K98" s="44">
        <v>2.4</v>
      </c>
      <c r="L98" s="44">
        <v>2.1</v>
      </c>
      <c r="M98" s="44">
        <v>1.8</v>
      </c>
      <c r="N98" s="44">
        <v>1.6</v>
      </c>
      <c r="O98" s="44">
        <v>1.4</v>
      </c>
    </row>
    <row r="99" spans="2:15" s="22" customFormat="1" ht="11" x14ac:dyDescent="0.25">
      <c r="B99" s="25">
        <v>10</v>
      </c>
      <c r="C99" s="44">
        <v>3.8</v>
      </c>
      <c r="D99" s="44">
        <v>3.4</v>
      </c>
      <c r="E99" s="44">
        <v>3.1</v>
      </c>
      <c r="F99" s="44">
        <v>2.8</v>
      </c>
      <c r="G99" s="44">
        <v>2.6</v>
      </c>
      <c r="H99" s="44">
        <v>2.4</v>
      </c>
      <c r="I99" s="44">
        <v>2.2000000000000002</v>
      </c>
      <c r="J99" s="44">
        <v>2.1</v>
      </c>
      <c r="K99" s="44">
        <v>2</v>
      </c>
      <c r="L99" s="44">
        <v>1.8</v>
      </c>
      <c r="M99" s="44">
        <v>1.7</v>
      </c>
      <c r="N99" s="44">
        <v>1.6</v>
      </c>
      <c r="O99" s="44">
        <v>1.5</v>
      </c>
    </row>
    <row r="100" spans="2:15" s="22" customFormat="1" ht="11" x14ac:dyDescent="0.25">
      <c r="B100" s="25">
        <v>15</v>
      </c>
      <c r="C100" s="44">
        <v>1.8</v>
      </c>
      <c r="D100" s="44">
        <v>1.6</v>
      </c>
      <c r="E100" s="44">
        <v>1.6</v>
      </c>
      <c r="F100" s="44">
        <v>1.5</v>
      </c>
      <c r="G100" s="44">
        <v>1.4</v>
      </c>
      <c r="H100" s="44">
        <v>1.3</v>
      </c>
      <c r="I100" s="44">
        <v>1.2</v>
      </c>
      <c r="J100" s="44">
        <v>1.1000000000000001</v>
      </c>
      <c r="K100" s="44">
        <v>1.1000000000000001</v>
      </c>
      <c r="L100" s="45">
        <v>1</v>
      </c>
      <c r="M100" s="45">
        <v>0.95</v>
      </c>
      <c r="N100" s="45">
        <v>0.91</v>
      </c>
      <c r="O100" s="45">
        <v>0.87</v>
      </c>
    </row>
    <row r="101" spans="2:15" s="22" customFormat="1" ht="11" x14ac:dyDescent="0.25">
      <c r="B101" s="25">
        <v>20</v>
      </c>
      <c r="C101" s="44">
        <v>1.6</v>
      </c>
      <c r="D101" s="44">
        <v>1.3</v>
      </c>
      <c r="E101" s="45">
        <v>0.91</v>
      </c>
      <c r="F101" s="45">
        <v>0.86</v>
      </c>
      <c r="G101" s="45">
        <v>0.82</v>
      </c>
      <c r="H101" s="45">
        <v>0.77</v>
      </c>
      <c r="I101" s="45">
        <v>0.73</v>
      </c>
      <c r="J101" s="45">
        <v>0.69</v>
      </c>
      <c r="K101" s="45">
        <v>0.65</v>
      </c>
      <c r="L101" s="45">
        <v>0.62</v>
      </c>
      <c r="M101" s="45">
        <v>0.59</v>
      </c>
      <c r="N101" s="45">
        <v>0.56000000000000005</v>
      </c>
      <c r="O101" s="45">
        <v>0.54</v>
      </c>
    </row>
    <row r="102" spans="2:15" s="22" customFormat="1" ht="11" x14ac:dyDescent="0.25">
      <c r="B102" s="25">
        <v>25</v>
      </c>
      <c r="C102" s="45">
        <v>0.97</v>
      </c>
      <c r="D102" s="45">
        <v>0.93</v>
      </c>
      <c r="E102" s="45">
        <v>0.85</v>
      </c>
      <c r="F102" s="45">
        <v>0.64</v>
      </c>
      <c r="G102" s="45">
        <v>0.52</v>
      </c>
      <c r="H102" s="45">
        <v>0.5</v>
      </c>
      <c r="I102" s="45">
        <v>0.48</v>
      </c>
      <c r="J102" s="45">
        <v>0.46</v>
      </c>
      <c r="K102" s="45">
        <v>0.44</v>
      </c>
      <c r="L102" s="45">
        <v>0.42</v>
      </c>
      <c r="M102" s="45">
        <v>0.4</v>
      </c>
      <c r="N102" s="45">
        <v>0.38</v>
      </c>
      <c r="O102" s="45">
        <v>0.36</v>
      </c>
    </row>
    <row r="103" spans="2:15" s="22" customFormat="1" ht="11" x14ac:dyDescent="0.25">
      <c r="B103" s="25">
        <v>30</v>
      </c>
      <c r="C103" s="45">
        <v>0.62</v>
      </c>
      <c r="D103" s="45">
        <v>0.59</v>
      </c>
      <c r="E103" s="45">
        <v>0.56999999999999995</v>
      </c>
      <c r="F103" s="45">
        <v>0.55000000000000004</v>
      </c>
      <c r="G103" s="45">
        <v>0.49</v>
      </c>
      <c r="H103" s="45">
        <v>0.34</v>
      </c>
      <c r="I103" s="45">
        <v>0.32</v>
      </c>
      <c r="J103" s="45">
        <v>0.31</v>
      </c>
      <c r="K103" s="45">
        <v>0.3</v>
      </c>
      <c r="L103" s="45">
        <v>0.28999999999999998</v>
      </c>
      <c r="M103" s="45">
        <v>0.28000000000000003</v>
      </c>
      <c r="N103" s="45">
        <v>0.27</v>
      </c>
      <c r="O103" s="45">
        <v>0.26</v>
      </c>
    </row>
    <row r="104" spans="2:15" s="22" customFormat="1" ht="11" x14ac:dyDescent="0.25">
      <c r="B104" s="25">
        <v>35</v>
      </c>
      <c r="C104" s="45">
        <v>0.42</v>
      </c>
      <c r="D104" s="45">
        <v>0.41</v>
      </c>
      <c r="E104" s="45">
        <v>0.39</v>
      </c>
      <c r="F104" s="45">
        <v>0.38</v>
      </c>
      <c r="G104" s="45">
        <v>0.37</v>
      </c>
      <c r="H104" s="45">
        <v>0.34</v>
      </c>
      <c r="I104" s="45">
        <v>0.28999999999999998</v>
      </c>
      <c r="J104" s="45">
        <v>0.22</v>
      </c>
      <c r="K104" s="45">
        <v>0.21</v>
      </c>
      <c r="L104" s="45">
        <v>0.21</v>
      </c>
      <c r="M104" s="45">
        <v>0.2</v>
      </c>
      <c r="N104" s="45">
        <v>0.2</v>
      </c>
      <c r="O104" s="45">
        <v>0.19</v>
      </c>
    </row>
    <row r="105" spans="2:15" s="22" customFormat="1" ht="11" x14ac:dyDescent="0.25">
      <c r="B105" s="25">
        <v>40</v>
      </c>
      <c r="C105" s="45">
        <v>0.3</v>
      </c>
      <c r="D105" s="45">
        <v>0.28999999999999998</v>
      </c>
      <c r="E105" s="45">
        <v>0.28000000000000003</v>
      </c>
      <c r="F105" s="45">
        <v>0.28000000000000003</v>
      </c>
      <c r="G105" s="45">
        <v>0.27</v>
      </c>
      <c r="H105" s="45">
        <v>0.26</v>
      </c>
      <c r="I105" s="45">
        <v>0.25</v>
      </c>
      <c r="J105" s="45">
        <v>0.22</v>
      </c>
      <c r="K105" s="45">
        <v>0.17</v>
      </c>
      <c r="L105" s="45">
        <v>0.15</v>
      </c>
      <c r="M105" s="45">
        <v>0.15</v>
      </c>
      <c r="N105" s="45">
        <v>0.15</v>
      </c>
      <c r="O105" s="45">
        <v>0.14000000000000001</v>
      </c>
    </row>
    <row r="106" spans="2:15" s="22" customFormat="1" ht="11" x14ac:dyDescent="0.25">
      <c r="B106" s="25">
        <v>45</v>
      </c>
      <c r="C106" s="45">
        <v>0.22</v>
      </c>
      <c r="D106" s="45">
        <v>0.22</v>
      </c>
      <c r="E106" s="45">
        <v>0.21</v>
      </c>
      <c r="F106" s="45">
        <v>0.21</v>
      </c>
      <c r="G106" s="45">
        <v>0.2</v>
      </c>
      <c r="H106" s="45">
        <v>0.2</v>
      </c>
      <c r="I106" s="45">
        <v>0.19</v>
      </c>
      <c r="J106" s="45">
        <v>0.19</v>
      </c>
      <c r="K106" s="45">
        <v>0.17</v>
      </c>
      <c r="L106" s="45">
        <v>0.16</v>
      </c>
      <c r="M106" s="45">
        <v>0.12</v>
      </c>
      <c r="N106" s="45">
        <v>0.11</v>
      </c>
      <c r="O106" s="45">
        <v>0.11</v>
      </c>
    </row>
    <row r="107" spans="2:15" s="22" customFormat="1" ht="11" x14ac:dyDescent="0.25">
      <c r="B107" s="25">
        <v>50</v>
      </c>
      <c r="C107" s="45">
        <v>0.16</v>
      </c>
      <c r="D107" s="45">
        <v>0.16</v>
      </c>
      <c r="E107" s="45">
        <v>0.16</v>
      </c>
      <c r="F107" s="45">
        <v>0.16</v>
      </c>
      <c r="G107" s="45">
        <v>0.16</v>
      </c>
      <c r="H107" s="45">
        <v>0.15</v>
      </c>
      <c r="I107" s="45">
        <v>0.15</v>
      </c>
      <c r="J107" s="45">
        <v>0.14000000000000001</v>
      </c>
      <c r="K107" s="45">
        <v>0.14000000000000001</v>
      </c>
      <c r="L107" s="45">
        <v>0.13</v>
      </c>
      <c r="M107" s="45">
        <v>0.12</v>
      </c>
      <c r="N107" s="45">
        <v>0.1</v>
      </c>
      <c r="O107" s="46">
        <v>8.2000000000000003E-2</v>
      </c>
    </row>
    <row r="108" spans="2:15" s="22" customFormat="1" ht="11" x14ac:dyDescent="0.25">
      <c r="B108" s="20" t="s">
        <v>257</v>
      </c>
      <c r="C108" s="649" t="s">
        <v>264</v>
      </c>
      <c r="D108" s="649"/>
      <c r="E108" s="649"/>
      <c r="F108" s="649"/>
      <c r="G108" s="649"/>
      <c r="H108" s="649"/>
      <c r="I108" s="649"/>
      <c r="J108" s="649"/>
      <c r="K108" s="649"/>
      <c r="L108" s="649"/>
      <c r="M108" s="649"/>
      <c r="N108" s="649"/>
      <c r="O108" s="649"/>
    </row>
    <row r="109" spans="2:15" s="22" customFormat="1" ht="15.75" customHeight="1" x14ac:dyDescent="0.25">
      <c r="B109" s="23" t="s">
        <v>265</v>
      </c>
      <c r="C109" s="24">
        <v>180</v>
      </c>
      <c r="D109" s="24">
        <v>190</v>
      </c>
      <c r="E109" s="24">
        <v>200</v>
      </c>
      <c r="F109" s="24">
        <v>250</v>
      </c>
      <c r="G109" s="24">
        <v>300</v>
      </c>
      <c r="H109" s="24">
        <v>350</v>
      </c>
      <c r="I109" s="24">
        <v>400</v>
      </c>
      <c r="J109" s="24">
        <v>450</v>
      </c>
      <c r="K109" s="24">
        <v>500</v>
      </c>
      <c r="L109" s="24">
        <v>600</v>
      </c>
      <c r="M109" s="24">
        <v>700</v>
      </c>
      <c r="N109" s="24">
        <v>800</v>
      </c>
      <c r="O109" s="24">
        <v>1000</v>
      </c>
    </row>
    <row r="110" spans="2:15" s="22" customFormat="1" ht="11" x14ac:dyDescent="0.25">
      <c r="B110" s="25">
        <v>5</v>
      </c>
      <c r="C110" s="44">
        <v>1.3</v>
      </c>
      <c r="D110" s="44">
        <v>1.2</v>
      </c>
      <c r="E110" s="44">
        <v>1.1000000000000001</v>
      </c>
      <c r="F110" s="45">
        <v>0.72</v>
      </c>
      <c r="G110" s="45">
        <v>0.55000000000000004</v>
      </c>
      <c r="H110" s="45">
        <v>0.44</v>
      </c>
      <c r="I110" s="45">
        <v>0.36</v>
      </c>
      <c r="J110" s="45">
        <v>0.3</v>
      </c>
      <c r="K110" s="45">
        <v>0.26</v>
      </c>
      <c r="L110" s="45">
        <v>0.2</v>
      </c>
      <c r="M110" s="45">
        <v>0.16</v>
      </c>
      <c r="N110" s="45">
        <v>0.13</v>
      </c>
      <c r="O110" s="46">
        <v>9.1999999999999998E-2</v>
      </c>
    </row>
    <row r="111" spans="2:15" s="22" customFormat="1" ht="11" x14ac:dyDescent="0.25">
      <c r="B111" s="25">
        <v>10</v>
      </c>
      <c r="C111" s="44">
        <v>1.4</v>
      </c>
      <c r="D111" s="44">
        <v>1.3</v>
      </c>
      <c r="E111" s="44">
        <v>1.3</v>
      </c>
      <c r="F111" s="45">
        <v>0.91</v>
      </c>
      <c r="G111" s="45">
        <v>0.67</v>
      </c>
      <c r="H111" s="45">
        <v>0.5</v>
      </c>
      <c r="I111" s="45">
        <v>0.38</v>
      </c>
      <c r="J111" s="45">
        <v>0.3</v>
      </c>
      <c r="K111" s="45">
        <v>0.25</v>
      </c>
      <c r="L111" s="45">
        <v>0.18</v>
      </c>
      <c r="M111" s="45">
        <v>0.14000000000000001</v>
      </c>
      <c r="N111" s="45">
        <v>0.12</v>
      </c>
      <c r="O111" s="46">
        <v>8.7999999999999995E-2</v>
      </c>
    </row>
    <row r="112" spans="2:15" s="22" customFormat="1" ht="11" x14ac:dyDescent="0.25">
      <c r="B112" s="25">
        <v>15</v>
      </c>
      <c r="C112" s="45">
        <v>0.83</v>
      </c>
      <c r="D112" s="45">
        <v>0.8</v>
      </c>
      <c r="E112" s="45">
        <v>0.77</v>
      </c>
      <c r="F112" s="45">
        <v>0.64</v>
      </c>
      <c r="G112" s="45">
        <v>0.53</v>
      </c>
      <c r="H112" s="45">
        <v>0.43</v>
      </c>
      <c r="I112" s="45">
        <v>0.36</v>
      </c>
      <c r="J112" s="45">
        <v>0.3</v>
      </c>
      <c r="K112" s="45">
        <v>0.25</v>
      </c>
      <c r="L112" s="45">
        <v>0.18</v>
      </c>
      <c r="M112" s="45">
        <v>0.13</v>
      </c>
      <c r="N112" s="45">
        <v>0.1</v>
      </c>
      <c r="O112" s="46">
        <v>7.4999999999999997E-2</v>
      </c>
    </row>
    <row r="113" spans="2:15" s="22" customFormat="1" ht="11" x14ac:dyDescent="0.25">
      <c r="B113" s="25">
        <v>20</v>
      </c>
      <c r="C113" s="45">
        <v>0.52</v>
      </c>
      <c r="D113" s="45">
        <v>0.49</v>
      </c>
      <c r="E113" s="45">
        <v>0.48</v>
      </c>
      <c r="F113" s="45">
        <v>0.4</v>
      </c>
      <c r="G113" s="45">
        <v>0.35</v>
      </c>
      <c r="H113" s="45">
        <v>0.31</v>
      </c>
      <c r="I113" s="45">
        <v>0.27</v>
      </c>
      <c r="J113" s="45">
        <v>0.23</v>
      </c>
      <c r="K113" s="45">
        <v>0.2</v>
      </c>
      <c r="L113" s="45">
        <v>0.16</v>
      </c>
      <c r="M113" s="45">
        <v>0.12</v>
      </c>
      <c r="N113" s="46">
        <v>9.6000000000000002E-2</v>
      </c>
      <c r="O113" s="46">
        <v>6.4000000000000001E-2</v>
      </c>
    </row>
    <row r="114" spans="2:15" s="22" customFormat="1" ht="11" x14ac:dyDescent="0.25">
      <c r="B114" s="25">
        <v>25</v>
      </c>
      <c r="C114" s="45">
        <v>0.35</v>
      </c>
      <c r="D114" s="45">
        <v>0.34</v>
      </c>
      <c r="E114" s="45">
        <v>0.32</v>
      </c>
      <c r="F114" s="45">
        <v>0.27</v>
      </c>
      <c r="G114" s="45">
        <v>0.23</v>
      </c>
      <c r="H114" s="45">
        <v>0.21</v>
      </c>
      <c r="I114" s="45">
        <v>0.19</v>
      </c>
      <c r="J114" s="45">
        <v>0.17</v>
      </c>
      <c r="K114" s="45">
        <v>0.15</v>
      </c>
      <c r="L114" s="45">
        <v>0.12</v>
      </c>
      <c r="M114" s="46">
        <v>0.1</v>
      </c>
      <c r="N114" s="46">
        <v>8.2000000000000003E-2</v>
      </c>
      <c r="O114" s="46">
        <v>5.7000000000000002E-2</v>
      </c>
    </row>
    <row r="115" spans="2:15" s="22" customFormat="1" ht="11" x14ac:dyDescent="0.25">
      <c r="B115" s="25">
        <v>30</v>
      </c>
      <c r="C115" s="45">
        <v>0.25</v>
      </c>
      <c r="D115" s="45">
        <v>0.24</v>
      </c>
      <c r="E115" s="45">
        <v>0.23</v>
      </c>
      <c r="F115" s="45">
        <v>0.19</v>
      </c>
      <c r="G115" s="45">
        <v>0.17</v>
      </c>
      <c r="H115" s="45">
        <v>0.15</v>
      </c>
      <c r="I115" s="45">
        <v>0.13</v>
      </c>
      <c r="J115" s="45">
        <v>0.12</v>
      </c>
      <c r="K115" s="45">
        <v>0.11</v>
      </c>
      <c r="L115" s="46">
        <v>9.5000000000000001E-2</v>
      </c>
      <c r="M115" s="46">
        <v>7.8E-2</v>
      </c>
      <c r="N115" s="46">
        <v>6.6000000000000003E-2</v>
      </c>
      <c r="O115" s="46">
        <v>4.8000000000000001E-2</v>
      </c>
    </row>
    <row r="116" spans="2:15" s="22" customFormat="1" ht="11" x14ac:dyDescent="0.25">
      <c r="B116" s="25">
        <v>35</v>
      </c>
      <c r="C116" s="45">
        <v>0.18</v>
      </c>
      <c r="D116" s="45">
        <v>0.18</v>
      </c>
      <c r="E116" s="45">
        <v>0.17</v>
      </c>
      <c r="F116" s="45">
        <v>0.15</v>
      </c>
      <c r="G116" s="45">
        <v>0.13</v>
      </c>
      <c r="H116" s="45">
        <v>0.11</v>
      </c>
      <c r="I116" s="46">
        <v>9.9000000000000005E-2</v>
      </c>
      <c r="J116" s="46">
        <v>0.09</v>
      </c>
      <c r="K116" s="46">
        <v>8.3000000000000004E-2</v>
      </c>
      <c r="L116" s="46">
        <v>7.1999999999999995E-2</v>
      </c>
      <c r="M116" s="46">
        <v>6.2E-2</v>
      </c>
      <c r="N116" s="46">
        <v>5.2999999999999999E-2</v>
      </c>
      <c r="O116" s="46">
        <v>0.04</v>
      </c>
    </row>
    <row r="117" spans="2:15" s="22" customFormat="1" ht="11" x14ac:dyDescent="0.25">
      <c r="B117" s="25">
        <v>40</v>
      </c>
      <c r="C117" s="45">
        <v>0.14000000000000001</v>
      </c>
      <c r="D117" s="45">
        <v>0.14000000000000001</v>
      </c>
      <c r="E117" s="45">
        <v>0.13</v>
      </c>
      <c r="F117" s="45">
        <v>0.11</v>
      </c>
      <c r="G117" s="45">
        <v>0.1</v>
      </c>
      <c r="H117" s="46">
        <v>8.7999999999999995E-2</v>
      </c>
      <c r="I117" s="46">
        <v>7.8E-2</v>
      </c>
      <c r="J117" s="46">
        <v>7.0000000000000007E-2</v>
      </c>
      <c r="K117" s="46">
        <v>6.4000000000000001E-2</v>
      </c>
      <c r="L117" s="46">
        <v>5.6000000000000001E-2</v>
      </c>
      <c r="M117" s="46">
        <v>4.9000000000000002E-2</v>
      </c>
      <c r="N117" s="46">
        <v>4.3999999999999997E-2</v>
      </c>
      <c r="O117" s="46">
        <v>3.3000000000000002E-2</v>
      </c>
    </row>
    <row r="118" spans="2:15" s="22" customFormat="1" ht="11" x14ac:dyDescent="0.25">
      <c r="B118" s="25">
        <v>45</v>
      </c>
      <c r="C118" s="45">
        <v>0.11</v>
      </c>
      <c r="D118" s="45">
        <v>0.11</v>
      </c>
      <c r="E118" s="45">
        <v>0.1</v>
      </c>
      <c r="F118" s="46">
        <v>9.1999999999999998E-2</v>
      </c>
      <c r="G118" s="46">
        <v>8.1000000000000003E-2</v>
      </c>
      <c r="H118" s="46">
        <v>7.1999999999999995E-2</v>
      </c>
      <c r="I118" s="46">
        <v>6.5000000000000002E-2</v>
      </c>
      <c r="J118" s="46">
        <v>5.8000000000000003E-2</v>
      </c>
      <c r="K118" s="46">
        <v>5.2999999999999999E-2</v>
      </c>
      <c r="L118" s="46">
        <v>4.4999999999999998E-2</v>
      </c>
      <c r="M118" s="46">
        <v>0.04</v>
      </c>
      <c r="N118" s="46">
        <v>3.5999999999999997E-2</v>
      </c>
      <c r="O118" s="46">
        <v>2.8000000000000001E-2</v>
      </c>
    </row>
    <row r="119" spans="2:15" s="22" customFormat="1" ht="11" x14ac:dyDescent="0.25">
      <c r="B119" s="25">
        <v>50</v>
      </c>
      <c r="C119" s="46">
        <v>8.1000000000000003E-2</v>
      </c>
      <c r="D119" s="46">
        <v>0.08</v>
      </c>
      <c r="E119" s="46">
        <v>7.9000000000000001E-2</v>
      </c>
      <c r="F119" s="46">
        <v>7.1999999999999995E-2</v>
      </c>
      <c r="G119" s="46">
        <v>6.5000000000000002E-2</v>
      </c>
      <c r="H119" s="46">
        <v>5.8999999999999997E-2</v>
      </c>
      <c r="I119" s="46">
        <v>5.2999999999999999E-2</v>
      </c>
      <c r="J119" s="46">
        <v>4.8000000000000001E-2</v>
      </c>
      <c r="K119" s="46">
        <v>4.3999999999999997E-2</v>
      </c>
      <c r="L119" s="46">
        <v>3.6999999999999998E-2</v>
      </c>
      <c r="M119" s="46">
        <v>3.2000000000000001E-2</v>
      </c>
      <c r="N119" s="46">
        <v>2.9000000000000001E-2</v>
      </c>
      <c r="O119" s="46">
        <v>2.4E-2</v>
      </c>
    </row>
    <row r="120" spans="2:15" s="47" customFormat="1" ht="18" customHeight="1" x14ac:dyDescent="0.25">
      <c r="B120" s="644" t="s">
        <v>267</v>
      </c>
      <c r="C120" s="645"/>
      <c r="D120" s="645"/>
      <c r="E120" s="645"/>
      <c r="F120" s="645"/>
      <c r="G120" s="645"/>
      <c r="H120" s="645"/>
      <c r="I120" s="645"/>
      <c r="J120" s="645"/>
      <c r="K120" s="645"/>
      <c r="L120" s="645"/>
      <c r="M120" s="645"/>
      <c r="N120" s="645"/>
      <c r="O120" s="645"/>
    </row>
    <row r="121" spans="2:15" s="47" customFormat="1" ht="70.400000000000006" customHeight="1" x14ac:dyDescent="0.25">
      <c r="B121" s="646" t="s">
        <v>268</v>
      </c>
      <c r="C121" s="646"/>
      <c r="D121" s="646"/>
      <c r="E121" s="646"/>
      <c r="F121" s="646"/>
      <c r="G121" s="646"/>
      <c r="H121" s="646"/>
      <c r="I121" s="646"/>
      <c r="J121" s="646"/>
      <c r="K121" s="646"/>
      <c r="L121" s="646"/>
      <c r="M121" s="646"/>
      <c r="N121" s="646"/>
      <c r="O121" s="646"/>
    </row>
    <row r="122" spans="2:15" ht="72.75" customHeight="1" x14ac:dyDescent="0.35">
      <c r="B122" s="646" t="s">
        <v>269</v>
      </c>
      <c r="C122" s="647"/>
      <c r="D122" s="647"/>
      <c r="E122" s="647"/>
      <c r="F122" s="647"/>
      <c r="G122" s="647"/>
      <c r="H122" s="647"/>
      <c r="I122" s="647"/>
      <c r="J122" s="647"/>
      <c r="K122" s="647"/>
      <c r="L122" s="647"/>
      <c r="M122" s="647"/>
      <c r="N122" s="647"/>
      <c r="O122" s="647"/>
    </row>
    <row r="123" spans="2:15" ht="15" customHeight="1" x14ac:dyDescent="0.35">
      <c r="B123" t="s">
        <v>270</v>
      </c>
    </row>
    <row r="124" spans="2:15" ht="15" customHeight="1" x14ac:dyDescent="0.35">
      <c r="B124" t="s">
        <v>271</v>
      </c>
    </row>
  </sheetData>
  <mergeCells count="21">
    <mergeCell ref="C67:M67"/>
    <mergeCell ref="C3:M3"/>
    <mergeCell ref="C5:M5"/>
    <mergeCell ref="B19:O20"/>
    <mergeCell ref="B21:O21"/>
    <mergeCell ref="B22:O22"/>
    <mergeCell ref="B23:O23"/>
    <mergeCell ref="C24:O24"/>
    <mergeCell ref="C36:M36"/>
    <mergeCell ref="C37:M37"/>
    <mergeCell ref="C51:M51"/>
    <mergeCell ref="C52:M52"/>
    <mergeCell ref="B120:O120"/>
    <mergeCell ref="B121:O121"/>
    <mergeCell ref="B122:O122"/>
    <mergeCell ref="C68:M68"/>
    <mergeCell ref="C81:O81"/>
    <mergeCell ref="B93:O94"/>
    <mergeCell ref="B95:O95"/>
    <mergeCell ref="C96:O96"/>
    <mergeCell ref="C108:O108"/>
  </mergeCells>
  <pageMargins left="0.7" right="0.7" top="0.75" bottom="0.75" header="0.3" footer="0.3"/>
  <pageSetup orientation="portrait" horizontalDpi="1200" verticalDpi="12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FFE29-72F6-4B7F-B9B3-002D8E6A0979}">
  <sheetPr>
    <tabColor theme="7" tint="0.59999389629810485"/>
  </sheetPr>
  <dimension ref="B1:P124"/>
  <sheetViews>
    <sheetView topLeftCell="B33" zoomScale="120" zoomScaleNormal="120" workbookViewId="0">
      <selection activeCell="F106" sqref="F106"/>
    </sheetView>
  </sheetViews>
  <sheetFormatPr defaultRowHeight="14.5" x14ac:dyDescent="0.35"/>
  <cols>
    <col min="1" max="1" width="0" hidden="1" customWidth="1"/>
    <col min="2" max="2" width="9.81640625" customWidth="1"/>
    <col min="3" max="3" width="6.81640625" customWidth="1"/>
    <col min="4" max="4" width="7.81640625" customWidth="1"/>
    <col min="5" max="5" width="8" customWidth="1"/>
    <col min="6" max="14" width="7.81640625" customWidth="1"/>
    <col min="15" max="16" width="8" customWidth="1"/>
  </cols>
  <sheetData>
    <row r="1" spans="2:14" ht="10.4" hidden="1" customHeight="1" x14ac:dyDescent="0.35"/>
    <row r="2" spans="2:14" ht="10.4" hidden="1" customHeight="1" x14ac:dyDescent="0.35"/>
    <row r="3" spans="2:14" ht="10.4" hidden="1" customHeight="1" x14ac:dyDescent="0.35">
      <c r="B3" s="7"/>
      <c r="C3" s="653"/>
      <c r="D3" s="653"/>
      <c r="E3" s="653"/>
      <c r="F3" s="653"/>
      <c r="G3" s="653"/>
      <c r="H3" s="653"/>
      <c r="I3" s="653"/>
      <c r="J3" s="653"/>
      <c r="K3" s="653"/>
      <c r="L3" s="653"/>
      <c r="M3" s="653"/>
      <c r="N3" s="653"/>
    </row>
    <row r="4" spans="2:14" ht="10.4" hidden="1" customHeight="1" x14ac:dyDescent="0.35">
      <c r="B4" s="8"/>
      <c r="C4" s="9"/>
      <c r="D4" s="9"/>
      <c r="E4" s="9"/>
      <c r="F4" s="9"/>
      <c r="G4" s="9"/>
      <c r="H4" s="9"/>
      <c r="I4" s="9"/>
      <c r="J4" s="9"/>
      <c r="K4" s="9"/>
      <c r="L4" s="9"/>
      <c r="M4" s="9"/>
      <c r="N4" s="9"/>
    </row>
    <row r="5" spans="2:14" ht="10.4" hidden="1" customHeight="1" x14ac:dyDescent="0.35">
      <c r="B5" s="10" t="s">
        <v>257</v>
      </c>
      <c r="C5" s="654"/>
      <c r="D5" s="654"/>
      <c r="E5" s="654"/>
      <c r="F5" s="654"/>
      <c r="G5" s="654"/>
      <c r="H5" s="654"/>
      <c r="I5" s="654"/>
      <c r="J5" s="654"/>
      <c r="K5" s="654"/>
      <c r="L5" s="654"/>
      <c r="M5" s="654"/>
      <c r="N5" s="654"/>
    </row>
    <row r="6" spans="2:14" ht="10.4" hidden="1" customHeight="1" x14ac:dyDescent="0.35">
      <c r="B6" s="10" t="s">
        <v>258</v>
      </c>
      <c r="C6" s="11"/>
      <c r="D6" s="11">
        <v>50</v>
      </c>
      <c r="E6" s="11">
        <v>60</v>
      </c>
      <c r="F6" s="11">
        <v>70</v>
      </c>
      <c r="G6" s="11">
        <v>80</v>
      </c>
      <c r="H6" s="11">
        <v>90</v>
      </c>
      <c r="I6" s="11">
        <v>100</v>
      </c>
      <c r="J6" s="12">
        <v>110</v>
      </c>
      <c r="K6" s="12">
        <v>120</v>
      </c>
      <c r="L6" s="12">
        <v>130</v>
      </c>
      <c r="M6" s="12">
        <v>140</v>
      </c>
      <c r="N6" s="12">
        <v>150</v>
      </c>
    </row>
    <row r="7" spans="2:14" ht="10.4" hidden="1" customHeight="1" x14ac:dyDescent="0.35">
      <c r="B7" s="13" t="s">
        <v>259</v>
      </c>
      <c r="C7" s="14"/>
      <c r="D7" s="14" t="s">
        <v>259</v>
      </c>
      <c r="E7" s="14" t="s">
        <v>259</v>
      </c>
      <c r="F7" s="14"/>
      <c r="G7" s="14" t="s">
        <v>259</v>
      </c>
      <c r="H7" s="14"/>
      <c r="I7" s="14" t="s">
        <v>259</v>
      </c>
      <c r="J7" s="14" t="s">
        <v>259</v>
      </c>
      <c r="K7" s="14" t="s">
        <v>259</v>
      </c>
      <c r="L7" s="14" t="s">
        <v>259</v>
      </c>
      <c r="M7" s="14" t="s">
        <v>259</v>
      </c>
      <c r="N7" s="14" t="s">
        <v>259</v>
      </c>
    </row>
    <row r="8" spans="2:14" ht="10.4" hidden="1" customHeight="1" x14ac:dyDescent="0.35">
      <c r="B8" s="15">
        <v>5</v>
      </c>
      <c r="C8" s="17"/>
      <c r="D8" s="16">
        <v>230</v>
      </c>
      <c r="E8" s="17">
        <v>180</v>
      </c>
      <c r="F8" s="17">
        <v>150</v>
      </c>
      <c r="G8" s="17">
        <v>120</v>
      </c>
      <c r="H8" s="17">
        <v>100</v>
      </c>
      <c r="I8" s="17">
        <v>84</v>
      </c>
      <c r="J8" s="17">
        <v>72</v>
      </c>
      <c r="K8" s="17">
        <v>61</v>
      </c>
      <c r="L8" s="17">
        <v>53</v>
      </c>
      <c r="M8" s="17">
        <v>46</v>
      </c>
      <c r="N8" s="17">
        <v>40</v>
      </c>
    </row>
    <row r="9" spans="2:14" ht="10.4" hidden="1" customHeight="1" x14ac:dyDescent="0.35">
      <c r="B9" s="15">
        <v>10</v>
      </c>
      <c r="C9" s="17"/>
      <c r="D9" s="17">
        <v>96</v>
      </c>
      <c r="E9" s="17">
        <v>84</v>
      </c>
      <c r="F9" s="17">
        <v>74</v>
      </c>
      <c r="G9" s="17">
        <v>65</v>
      </c>
      <c r="H9" s="17">
        <v>58</v>
      </c>
      <c r="I9" s="17">
        <v>52</v>
      </c>
      <c r="J9" s="17">
        <v>47</v>
      </c>
      <c r="K9" s="17">
        <v>43</v>
      </c>
      <c r="L9" s="17">
        <v>39</v>
      </c>
      <c r="M9" s="17">
        <v>36</v>
      </c>
      <c r="N9" s="17">
        <v>33</v>
      </c>
    </row>
    <row r="10" spans="2:14" ht="10.4" hidden="1" customHeight="1" x14ac:dyDescent="0.35">
      <c r="B10" s="15">
        <v>15</v>
      </c>
      <c r="C10" s="17"/>
      <c r="D10" s="17">
        <v>52</v>
      </c>
      <c r="E10" s="17">
        <v>43</v>
      </c>
      <c r="F10" s="17">
        <v>38</v>
      </c>
      <c r="G10" s="17">
        <v>34</v>
      </c>
      <c r="H10" s="17">
        <v>30</v>
      </c>
      <c r="I10" s="17">
        <v>28</v>
      </c>
      <c r="J10" s="17">
        <v>25</v>
      </c>
      <c r="K10" s="17">
        <v>23</v>
      </c>
      <c r="L10" s="17">
        <v>22</v>
      </c>
      <c r="M10" s="17">
        <v>20</v>
      </c>
      <c r="N10" s="17">
        <v>19</v>
      </c>
    </row>
    <row r="11" spans="2:14" ht="10.4" hidden="1" customHeight="1" x14ac:dyDescent="0.35">
      <c r="B11" s="15">
        <v>20</v>
      </c>
      <c r="C11" s="17"/>
      <c r="D11" s="17">
        <v>50</v>
      </c>
      <c r="E11" s="17">
        <v>37</v>
      </c>
      <c r="F11" s="17">
        <v>24</v>
      </c>
      <c r="G11" s="17">
        <v>21</v>
      </c>
      <c r="H11" s="17">
        <v>20</v>
      </c>
      <c r="I11" s="17">
        <v>18</v>
      </c>
      <c r="J11" s="17">
        <v>16</v>
      </c>
      <c r="K11" s="17">
        <v>15</v>
      </c>
      <c r="L11" s="17">
        <v>14</v>
      </c>
      <c r="M11" s="17">
        <v>13</v>
      </c>
      <c r="N11" s="17">
        <v>12</v>
      </c>
    </row>
    <row r="12" spans="2:14" ht="10.4" hidden="1" customHeight="1" x14ac:dyDescent="0.35">
      <c r="B12" s="15">
        <v>25</v>
      </c>
      <c r="C12" s="17"/>
      <c r="D12" s="17">
        <v>34</v>
      </c>
      <c r="E12" s="17">
        <v>29</v>
      </c>
      <c r="F12" s="17">
        <v>24</v>
      </c>
      <c r="G12" s="17">
        <v>17</v>
      </c>
      <c r="H12" s="17">
        <v>13</v>
      </c>
      <c r="I12" s="17">
        <v>12</v>
      </c>
      <c r="J12" s="17">
        <v>11</v>
      </c>
      <c r="K12" s="17">
        <v>11</v>
      </c>
      <c r="L12" s="18">
        <v>9.8000000000000007</v>
      </c>
      <c r="M12" s="18">
        <v>9.1</v>
      </c>
      <c r="N12" s="18">
        <v>8.5</v>
      </c>
    </row>
    <row r="13" spans="2:14" ht="10.4" hidden="1" customHeight="1" x14ac:dyDescent="0.35">
      <c r="B13" s="15">
        <v>30</v>
      </c>
      <c r="C13" s="17"/>
      <c r="D13" s="17">
        <v>26</v>
      </c>
      <c r="E13" s="17">
        <v>21</v>
      </c>
      <c r="F13" s="17">
        <v>18</v>
      </c>
      <c r="G13" s="17">
        <v>16</v>
      </c>
      <c r="H13" s="17">
        <v>13</v>
      </c>
      <c r="I13" s="18">
        <v>9.3000000000000007</v>
      </c>
      <c r="J13" s="18">
        <v>8.1</v>
      </c>
      <c r="K13" s="18">
        <v>7.5</v>
      </c>
      <c r="L13" s="18">
        <v>7.1</v>
      </c>
      <c r="M13" s="18">
        <v>6.7</v>
      </c>
      <c r="N13" s="18">
        <v>6.3</v>
      </c>
    </row>
    <row r="14" spans="2:14" ht="10.4" hidden="1" customHeight="1" x14ac:dyDescent="0.35">
      <c r="B14" s="15">
        <v>35</v>
      </c>
      <c r="C14" s="17"/>
      <c r="D14" s="17">
        <v>21</v>
      </c>
      <c r="E14" s="17">
        <v>16</v>
      </c>
      <c r="F14" s="17">
        <v>13</v>
      </c>
      <c r="G14" s="17">
        <v>12</v>
      </c>
      <c r="H14" s="17">
        <v>11</v>
      </c>
      <c r="I14" s="18">
        <v>9.1999999999999993</v>
      </c>
      <c r="J14" s="18">
        <v>7.3</v>
      </c>
      <c r="K14" s="18">
        <v>5.7</v>
      </c>
      <c r="L14" s="18">
        <v>5.2</v>
      </c>
      <c r="M14" s="18">
        <v>5</v>
      </c>
      <c r="N14" s="18">
        <v>4.7</v>
      </c>
    </row>
    <row r="15" spans="2:14" ht="10.4" hidden="1" customHeight="1" x14ac:dyDescent="0.35">
      <c r="B15" s="15">
        <v>40</v>
      </c>
      <c r="C15" s="17"/>
      <c r="D15" s="17">
        <v>16</v>
      </c>
      <c r="E15" s="17">
        <v>13</v>
      </c>
      <c r="F15" s="17">
        <v>11</v>
      </c>
      <c r="G15" s="18">
        <v>9.1</v>
      </c>
      <c r="H15" s="18">
        <v>8.1</v>
      </c>
      <c r="I15" s="18">
        <v>7.4</v>
      </c>
      <c r="J15" s="18">
        <v>6.7</v>
      </c>
      <c r="K15" s="18">
        <v>5.6</v>
      </c>
      <c r="L15" s="18">
        <v>4.4000000000000004</v>
      </c>
      <c r="M15" s="18">
        <v>3.8</v>
      </c>
      <c r="N15" s="18">
        <v>3.6</v>
      </c>
    </row>
    <row r="16" spans="2:14" ht="10.4" hidden="1" customHeight="1" x14ac:dyDescent="0.35">
      <c r="B16" s="15">
        <v>45</v>
      </c>
      <c r="C16" s="17"/>
      <c r="D16" s="17">
        <v>13</v>
      </c>
      <c r="E16" s="17">
        <v>11</v>
      </c>
      <c r="F16" s="18">
        <v>9.1999999999999993</v>
      </c>
      <c r="G16" s="18">
        <v>7.5</v>
      </c>
      <c r="H16" s="18">
        <v>6.6</v>
      </c>
      <c r="I16" s="18">
        <v>5.9</v>
      </c>
      <c r="J16" s="18">
        <v>5.4</v>
      </c>
      <c r="K16" s="18">
        <v>5</v>
      </c>
      <c r="L16" s="18">
        <v>4.4000000000000004</v>
      </c>
      <c r="M16" s="18">
        <v>3.7</v>
      </c>
      <c r="N16" s="18">
        <v>3</v>
      </c>
    </row>
    <row r="17" spans="2:16" ht="10.4" hidden="1" customHeight="1" x14ac:dyDescent="0.35">
      <c r="B17" s="15">
        <v>50</v>
      </c>
      <c r="C17" s="19"/>
      <c r="D17" s="19">
        <v>9.8432074074074087</v>
      </c>
      <c r="E17" s="19">
        <v>8.70552912037037</v>
      </c>
      <c r="F17" s="19">
        <v>7.5165505092592584</v>
      </c>
      <c r="G17" s="19">
        <v>6.2873275462962965</v>
      </c>
      <c r="H17" s="19">
        <v>5.3658402777777781</v>
      </c>
      <c r="I17" s="19">
        <v>4.7620252777777781</v>
      </c>
      <c r="J17" s="19">
        <v>4.3156056481481491</v>
      </c>
      <c r="K17" s="19">
        <v>3.9795007407407401</v>
      </c>
      <c r="L17" s="19">
        <v>3.6994393981481486</v>
      </c>
      <c r="M17" s="19">
        <v>3.3673587962962963</v>
      </c>
      <c r="N17" s="19">
        <v>2.9028068518518517</v>
      </c>
    </row>
    <row r="18" spans="2:16" ht="10.4" hidden="1" customHeight="1" x14ac:dyDescent="0.35"/>
    <row r="19" spans="2:16" ht="10.4" hidden="1" customHeight="1" x14ac:dyDescent="0.35">
      <c r="B19" s="655" t="s">
        <v>260</v>
      </c>
      <c r="C19" s="655"/>
      <c r="D19" s="655"/>
      <c r="E19" s="655"/>
      <c r="F19" s="655"/>
      <c r="G19" s="655"/>
      <c r="H19" s="655"/>
      <c r="I19" s="655"/>
      <c r="J19" s="655"/>
      <c r="K19" s="655"/>
      <c r="L19" s="655"/>
      <c r="M19" s="655"/>
      <c r="N19" s="655"/>
      <c r="O19" s="655"/>
      <c r="P19" s="655"/>
    </row>
    <row r="20" spans="2:16" ht="17.25" customHeight="1" x14ac:dyDescent="0.35">
      <c r="B20" s="656"/>
      <c r="C20" s="656"/>
      <c r="D20" s="656"/>
      <c r="E20" s="656"/>
      <c r="F20" s="656"/>
      <c r="G20" s="656"/>
      <c r="H20" s="656"/>
      <c r="I20" s="656"/>
      <c r="J20" s="656"/>
      <c r="K20" s="656"/>
      <c r="L20" s="656"/>
      <c r="M20" s="656"/>
      <c r="N20" s="656"/>
      <c r="O20" s="656"/>
      <c r="P20" s="656"/>
    </row>
    <row r="21" spans="2:16" ht="15.5" x14ac:dyDescent="0.35">
      <c r="B21" s="657" t="s">
        <v>261</v>
      </c>
      <c r="C21" s="657"/>
      <c r="D21" s="657"/>
      <c r="E21" s="657"/>
      <c r="F21" s="657"/>
      <c r="G21" s="657"/>
      <c r="H21" s="657"/>
      <c r="I21" s="657"/>
      <c r="J21" s="657"/>
      <c r="K21" s="657"/>
      <c r="L21" s="657"/>
      <c r="M21" s="657"/>
      <c r="N21" s="657"/>
      <c r="O21" s="657"/>
      <c r="P21" s="657"/>
    </row>
    <row r="22" spans="2:16" ht="15.5" x14ac:dyDescent="0.35">
      <c r="B22" s="657" t="s">
        <v>262</v>
      </c>
      <c r="C22" s="657"/>
      <c r="D22" s="657"/>
      <c r="E22" s="657"/>
      <c r="F22" s="657"/>
      <c r="G22" s="657"/>
      <c r="H22" s="657"/>
      <c r="I22" s="657"/>
      <c r="J22" s="657"/>
      <c r="K22" s="657"/>
      <c r="L22" s="657"/>
      <c r="M22" s="657"/>
      <c r="N22" s="657"/>
      <c r="O22" s="657"/>
      <c r="P22" s="657"/>
    </row>
    <row r="23" spans="2:16" ht="17.5" x14ac:dyDescent="0.35">
      <c r="B23" s="658" t="s">
        <v>272</v>
      </c>
      <c r="C23" s="658"/>
      <c r="D23" s="658"/>
      <c r="E23" s="658"/>
      <c r="F23" s="658"/>
      <c r="G23" s="658"/>
      <c r="H23" s="658"/>
      <c r="I23" s="658"/>
      <c r="J23" s="658"/>
      <c r="K23" s="658"/>
      <c r="L23" s="658"/>
      <c r="M23" s="658"/>
      <c r="N23" s="658"/>
      <c r="O23" s="658"/>
      <c r="P23" s="658"/>
    </row>
    <row r="24" spans="2:16" s="22" customFormat="1" ht="11" x14ac:dyDescent="0.25">
      <c r="B24" s="20" t="s">
        <v>273</v>
      </c>
      <c r="C24" s="21" t="s">
        <v>274</v>
      </c>
      <c r="D24" s="649" t="s">
        <v>264</v>
      </c>
      <c r="E24" s="649"/>
      <c r="F24" s="649"/>
      <c r="G24" s="649"/>
      <c r="H24" s="649"/>
      <c r="I24" s="649"/>
      <c r="J24" s="649"/>
      <c r="K24" s="649"/>
      <c r="L24" s="649"/>
      <c r="M24" s="649"/>
      <c r="N24" s="649"/>
      <c r="O24" s="649"/>
      <c r="P24" s="649"/>
    </row>
    <row r="25" spans="2:16" s="22" customFormat="1" ht="11" x14ac:dyDescent="0.25">
      <c r="B25" s="23" t="s">
        <v>275</v>
      </c>
      <c r="C25" s="23" t="s">
        <v>276</v>
      </c>
      <c r="D25" s="23">
        <v>50</v>
      </c>
      <c r="E25" s="23">
        <v>60</v>
      </c>
      <c r="F25" s="23">
        <v>70</v>
      </c>
      <c r="G25" s="23">
        <v>80</v>
      </c>
      <c r="H25" s="23">
        <v>90</v>
      </c>
      <c r="I25" s="23">
        <v>100</v>
      </c>
      <c r="J25" s="24">
        <v>110</v>
      </c>
      <c r="K25" s="24">
        <v>120</v>
      </c>
      <c r="L25" s="24">
        <v>130</v>
      </c>
      <c r="M25" s="24">
        <v>140</v>
      </c>
      <c r="N25" s="24">
        <v>150</v>
      </c>
      <c r="O25" s="24">
        <v>160</v>
      </c>
      <c r="P25" s="24">
        <v>170</v>
      </c>
    </row>
    <row r="26" spans="2:16" s="22" customFormat="1" ht="11" x14ac:dyDescent="0.25">
      <c r="B26" s="48" t="s">
        <v>277</v>
      </c>
      <c r="C26" s="48" t="s">
        <v>278</v>
      </c>
      <c r="D26" s="26">
        <v>4.4999999999999997E-3</v>
      </c>
      <c r="E26" s="26">
        <v>3.3E-3</v>
      </c>
      <c r="F26" s="26">
        <v>2.5999999999999999E-3</v>
      </c>
      <c r="G26" s="26">
        <v>2E-3</v>
      </c>
      <c r="H26" s="26">
        <v>1.6999999999999999E-3</v>
      </c>
      <c r="I26" s="26">
        <v>1.4E-3</v>
      </c>
      <c r="J26" s="26">
        <v>1.1999999999999999E-3</v>
      </c>
      <c r="K26" s="26">
        <v>1E-3</v>
      </c>
      <c r="L26" s="27">
        <v>8.8999999999999995E-4</v>
      </c>
      <c r="M26" s="27">
        <v>7.7999999999999999E-4</v>
      </c>
      <c r="N26" s="27">
        <v>6.8999999999999997E-4</v>
      </c>
      <c r="O26" s="27">
        <v>6.2E-4</v>
      </c>
      <c r="P26" s="27">
        <v>5.5999999999999995E-4</v>
      </c>
    </row>
    <row r="27" spans="2:16" s="22" customFormat="1" ht="11" x14ac:dyDescent="0.25">
      <c r="B27" s="48" t="s">
        <v>279</v>
      </c>
      <c r="C27" s="48" t="s">
        <v>278</v>
      </c>
      <c r="D27" s="26">
        <v>4.4000000000000003E-3</v>
      </c>
      <c r="E27" s="26">
        <v>3.2000000000000002E-3</v>
      </c>
      <c r="F27" s="26">
        <v>2.5000000000000001E-3</v>
      </c>
      <c r="G27" s="26">
        <v>2E-3</v>
      </c>
      <c r="H27" s="26">
        <v>1.6000000000000001E-3</v>
      </c>
      <c r="I27" s="26">
        <v>1.4E-3</v>
      </c>
      <c r="J27" s="26">
        <v>1.1999999999999999E-3</v>
      </c>
      <c r="K27" s="26">
        <v>1E-3</v>
      </c>
      <c r="L27" s="27">
        <v>8.8000000000000003E-4</v>
      </c>
      <c r="M27" s="27">
        <v>7.6999999999999996E-4</v>
      </c>
      <c r="N27" s="27">
        <v>6.8999999999999997E-4</v>
      </c>
      <c r="O27" s="27">
        <v>6.0999999999999997E-4</v>
      </c>
      <c r="P27" s="27">
        <v>5.5000000000000003E-4</v>
      </c>
    </row>
    <row r="28" spans="2:16" s="22" customFormat="1" ht="11" x14ac:dyDescent="0.25">
      <c r="B28" s="48" t="s">
        <v>279</v>
      </c>
      <c r="C28" s="26" t="s">
        <v>280</v>
      </c>
      <c r="D28" s="26">
        <v>4.1000000000000003E-3</v>
      </c>
      <c r="E28" s="26">
        <v>3.0999999999999999E-3</v>
      </c>
      <c r="F28" s="26">
        <v>2.3999999999999998E-3</v>
      </c>
      <c r="G28" s="26">
        <v>1.9E-3</v>
      </c>
      <c r="H28" s="26">
        <v>1.6000000000000001E-3</v>
      </c>
      <c r="I28" s="26">
        <v>1.2999999999999999E-3</v>
      </c>
      <c r="J28" s="26">
        <v>1.1000000000000001E-3</v>
      </c>
      <c r="K28" s="26">
        <v>9.7999999999999997E-4</v>
      </c>
      <c r="L28" s="27">
        <v>8.5999999999999998E-4</v>
      </c>
      <c r="M28" s="27">
        <v>7.6000000000000004E-4</v>
      </c>
      <c r="N28" s="27">
        <v>6.7000000000000002E-4</v>
      </c>
      <c r="O28" s="27">
        <v>5.9999999999999995E-4</v>
      </c>
      <c r="P28" s="27">
        <v>5.4000000000000001E-4</v>
      </c>
    </row>
    <row r="29" spans="2:16" s="22" customFormat="1" ht="11" x14ac:dyDescent="0.25">
      <c r="B29" s="48" t="s">
        <v>281</v>
      </c>
      <c r="C29" s="48" t="s">
        <v>278</v>
      </c>
      <c r="D29" s="26">
        <v>4.4000000000000003E-3</v>
      </c>
      <c r="E29" s="26">
        <v>3.3E-3</v>
      </c>
      <c r="F29" s="26">
        <v>2.5000000000000001E-3</v>
      </c>
      <c r="G29" s="26">
        <v>2E-3</v>
      </c>
      <c r="H29" s="26">
        <v>1.6999999999999999E-3</v>
      </c>
      <c r="I29" s="26">
        <v>1.4E-3</v>
      </c>
      <c r="J29" s="26">
        <v>1.1999999999999999E-3</v>
      </c>
      <c r="K29" s="26">
        <v>1E-3</v>
      </c>
      <c r="L29" s="27">
        <v>8.8000000000000003E-4</v>
      </c>
      <c r="M29" s="27">
        <v>7.6999999999999996E-4</v>
      </c>
      <c r="N29" s="27">
        <v>6.8999999999999997E-4</v>
      </c>
      <c r="O29" s="27">
        <v>6.2E-4</v>
      </c>
      <c r="P29" s="27">
        <v>5.5000000000000003E-4</v>
      </c>
    </row>
    <row r="30" spans="2:16" s="22" customFormat="1" ht="11" x14ac:dyDescent="0.25">
      <c r="B30" s="48" t="s">
        <v>281</v>
      </c>
      <c r="C30" s="26" t="s">
        <v>280</v>
      </c>
      <c r="D30" s="26">
        <v>3.7000000000000002E-3</v>
      </c>
      <c r="E30" s="26">
        <v>2.8E-3</v>
      </c>
      <c r="F30" s="26">
        <v>2.2000000000000001E-3</v>
      </c>
      <c r="G30" s="26">
        <v>1.8E-3</v>
      </c>
      <c r="H30" s="26">
        <v>1.5E-3</v>
      </c>
      <c r="I30" s="26">
        <v>1.2999999999999999E-3</v>
      </c>
      <c r="J30" s="26">
        <v>1.1000000000000001E-3</v>
      </c>
      <c r="K30" s="26">
        <v>9.5E-4</v>
      </c>
      <c r="L30" s="27">
        <v>8.3000000000000001E-4</v>
      </c>
      <c r="M30" s="27">
        <v>7.3999999999999999E-4</v>
      </c>
      <c r="N30" s="27">
        <v>6.6E-4</v>
      </c>
      <c r="O30" s="27">
        <v>5.9000000000000003E-4</v>
      </c>
      <c r="P30" s="27">
        <v>5.2999999999999998E-4</v>
      </c>
    </row>
    <row r="31" spans="2:16" s="22" customFormat="1" ht="11" x14ac:dyDescent="0.25">
      <c r="B31" s="48" t="s">
        <v>282</v>
      </c>
      <c r="C31" s="48" t="s">
        <v>278</v>
      </c>
      <c r="D31" s="26">
        <v>4.4000000000000003E-3</v>
      </c>
      <c r="E31" s="26">
        <v>3.3E-3</v>
      </c>
      <c r="F31" s="26">
        <v>2.5000000000000001E-3</v>
      </c>
      <c r="G31" s="26">
        <v>2E-3</v>
      </c>
      <c r="H31" s="26">
        <v>1.6999999999999999E-3</v>
      </c>
      <c r="I31" s="26">
        <v>1.4E-3</v>
      </c>
      <c r="J31" s="26">
        <v>1.1999999999999999E-3</v>
      </c>
      <c r="K31" s="26">
        <v>1E-3</v>
      </c>
      <c r="L31" s="27">
        <v>8.8000000000000003E-4</v>
      </c>
      <c r="M31" s="27">
        <v>7.6999999999999996E-4</v>
      </c>
      <c r="N31" s="27">
        <v>6.8999999999999997E-4</v>
      </c>
      <c r="O31" s="27">
        <v>6.2E-4</v>
      </c>
      <c r="P31" s="27">
        <v>5.5000000000000003E-4</v>
      </c>
    </row>
    <row r="32" spans="2:16" s="22" customFormat="1" ht="11" x14ac:dyDescent="0.25">
      <c r="B32" s="48" t="s">
        <v>282</v>
      </c>
      <c r="C32" s="26" t="s">
        <v>280</v>
      </c>
      <c r="D32" s="26">
        <v>3.3999999999999998E-3</v>
      </c>
      <c r="E32" s="26">
        <v>2.7000000000000001E-3</v>
      </c>
      <c r="F32" s="26">
        <v>2.0999999999999999E-3</v>
      </c>
      <c r="G32" s="26">
        <v>1.8E-3</v>
      </c>
      <c r="H32" s="26">
        <v>1.5E-3</v>
      </c>
      <c r="I32" s="26">
        <v>1.1999999999999999E-3</v>
      </c>
      <c r="J32" s="26">
        <v>1.1000000000000001E-3</v>
      </c>
      <c r="K32" s="27">
        <v>9.3000000000000005E-4</v>
      </c>
      <c r="L32" s="27">
        <v>8.0999999999999996E-4</v>
      </c>
      <c r="M32" s="27">
        <v>7.2000000000000005E-4</v>
      </c>
      <c r="N32" s="27">
        <v>6.4000000000000005E-4</v>
      </c>
      <c r="O32" s="27">
        <v>5.8E-4</v>
      </c>
      <c r="P32" s="27">
        <v>5.1999999999999995E-4</v>
      </c>
    </row>
    <row r="33" spans="2:16" s="22" customFormat="1" ht="11" x14ac:dyDescent="0.25">
      <c r="B33" s="48" t="s">
        <v>283</v>
      </c>
      <c r="C33" s="48" t="s">
        <v>278</v>
      </c>
      <c r="D33" s="26">
        <v>4.3E-3</v>
      </c>
      <c r="E33" s="26">
        <v>3.2000000000000002E-3</v>
      </c>
      <c r="F33" s="26">
        <v>2.5000000000000001E-3</v>
      </c>
      <c r="G33" s="26">
        <v>2E-3</v>
      </c>
      <c r="H33" s="26">
        <v>1.6000000000000001E-3</v>
      </c>
      <c r="I33" s="26">
        <v>1.4E-3</v>
      </c>
      <c r="J33" s="26">
        <v>1.1999999999999999E-3</v>
      </c>
      <c r="K33" s="26">
        <v>1E-3</v>
      </c>
      <c r="L33" s="27">
        <v>8.8000000000000003E-4</v>
      </c>
      <c r="M33" s="27">
        <v>7.6999999999999996E-4</v>
      </c>
      <c r="N33" s="27">
        <v>6.8999999999999997E-4</v>
      </c>
      <c r="O33" s="27">
        <v>6.0999999999999997E-4</v>
      </c>
      <c r="P33" s="27">
        <v>5.5000000000000003E-4</v>
      </c>
    </row>
    <row r="34" spans="2:16" s="22" customFormat="1" ht="11" x14ac:dyDescent="0.25">
      <c r="B34" s="48" t="s">
        <v>283</v>
      </c>
      <c r="C34" s="26" t="s">
        <v>280</v>
      </c>
      <c r="D34" s="26">
        <v>3.3999999999999998E-3</v>
      </c>
      <c r="E34" s="26">
        <v>2.7000000000000001E-3</v>
      </c>
      <c r="F34" s="26">
        <v>2.0999999999999999E-3</v>
      </c>
      <c r="G34" s="26">
        <v>1.8E-3</v>
      </c>
      <c r="H34" s="26">
        <v>1.5E-3</v>
      </c>
      <c r="I34" s="26">
        <v>1.1999999999999999E-3</v>
      </c>
      <c r="J34" s="26">
        <v>1.1000000000000001E-3</v>
      </c>
      <c r="K34" s="27">
        <v>9.3000000000000005E-4</v>
      </c>
      <c r="L34" s="27">
        <v>8.1999999999999998E-4</v>
      </c>
      <c r="M34" s="27">
        <v>7.2000000000000005E-4</v>
      </c>
      <c r="N34" s="27">
        <v>6.4999999999999997E-4</v>
      </c>
      <c r="O34" s="27">
        <v>5.8E-4</v>
      </c>
      <c r="P34" s="27">
        <v>5.1999999999999995E-4</v>
      </c>
    </row>
    <row r="35" spans="2:16" s="22" customFormat="1" ht="11" x14ac:dyDescent="0.25">
      <c r="B35" s="48" t="s">
        <v>284</v>
      </c>
      <c r="C35" s="26" t="s">
        <v>280</v>
      </c>
      <c r="D35" s="26">
        <v>2.2000000000000001E-3</v>
      </c>
      <c r="E35" s="26">
        <v>1.8E-3</v>
      </c>
      <c r="F35" s="26">
        <v>1.5E-3</v>
      </c>
      <c r="G35" s="26">
        <v>1.2999999999999999E-3</v>
      </c>
      <c r="H35" s="26">
        <v>1.1000000000000001E-3</v>
      </c>
      <c r="I35" s="26">
        <v>9.7999999999999997E-4</v>
      </c>
      <c r="J35" s="27">
        <v>8.5999999999999998E-4</v>
      </c>
      <c r="K35" s="27">
        <v>7.6000000000000004E-4</v>
      </c>
      <c r="L35" s="27">
        <v>6.8000000000000005E-4</v>
      </c>
      <c r="M35" s="27">
        <v>6.0999999999999997E-4</v>
      </c>
      <c r="N35" s="27">
        <v>5.5000000000000003E-4</v>
      </c>
      <c r="O35" s="27">
        <v>5.0000000000000001E-4</v>
      </c>
      <c r="P35" s="27">
        <v>4.6000000000000001E-4</v>
      </c>
    </row>
    <row r="36" spans="2:16" s="22" customFormat="1" ht="11" hidden="1" x14ac:dyDescent="0.25">
      <c r="B36" s="29"/>
      <c r="C36" s="652"/>
      <c r="D36" s="652"/>
      <c r="E36" s="652"/>
      <c r="F36" s="652"/>
      <c r="G36" s="652"/>
      <c r="H36" s="652"/>
      <c r="I36" s="652"/>
      <c r="J36" s="652"/>
      <c r="K36" s="652"/>
      <c r="L36" s="652"/>
      <c r="M36" s="652"/>
      <c r="N36" s="652"/>
      <c r="O36" s="30"/>
      <c r="P36" s="30"/>
    </row>
    <row r="37" spans="2:16" s="22" customFormat="1" ht="11" hidden="1" x14ac:dyDescent="0.25">
      <c r="B37" s="31" t="s">
        <v>257</v>
      </c>
      <c r="C37" s="648"/>
      <c r="D37" s="648"/>
      <c r="E37" s="648"/>
      <c r="F37" s="648"/>
      <c r="G37" s="648"/>
      <c r="H37" s="648"/>
      <c r="I37" s="648"/>
      <c r="J37" s="648"/>
      <c r="K37" s="648"/>
      <c r="L37" s="648"/>
      <c r="M37" s="648"/>
      <c r="N37" s="648"/>
      <c r="O37" s="30"/>
      <c r="P37" s="30"/>
    </row>
    <row r="38" spans="2:16" s="22" customFormat="1" ht="11" hidden="1" x14ac:dyDescent="0.25">
      <c r="B38" s="31" t="s">
        <v>258</v>
      </c>
      <c r="C38" s="31"/>
      <c r="D38" s="31">
        <v>50</v>
      </c>
      <c r="E38" s="31">
        <v>60</v>
      </c>
      <c r="F38" s="31">
        <v>70</v>
      </c>
      <c r="G38" s="31">
        <v>80</v>
      </c>
      <c r="H38" s="31">
        <v>90</v>
      </c>
      <c r="I38" s="31">
        <v>100</v>
      </c>
      <c r="J38" s="32">
        <v>110</v>
      </c>
      <c r="K38" s="32">
        <v>120</v>
      </c>
      <c r="L38" s="32">
        <v>130</v>
      </c>
      <c r="M38" s="32">
        <v>140</v>
      </c>
      <c r="N38" s="32">
        <v>150</v>
      </c>
      <c r="O38" s="30"/>
      <c r="P38" s="30"/>
    </row>
    <row r="39" spans="2:16" s="22" customFormat="1" ht="11" hidden="1" x14ac:dyDescent="0.25">
      <c r="B39" s="31" t="s">
        <v>259</v>
      </c>
      <c r="C39" s="31"/>
      <c r="D39" s="31" t="s">
        <v>259</v>
      </c>
      <c r="E39" s="31" t="s">
        <v>259</v>
      </c>
      <c r="F39" s="31"/>
      <c r="G39" s="31" t="s">
        <v>259</v>
      </c>
      <c r="H39" s="31"/>
      <c r="I39" s="31" t="s">
        <v>259</v>
      </c>
      <c r="J39" s="31" t="s">
        <v>259</v>
      </c>
      <c r="K39" s="31" t="s">
        <v>259</v>
      </c>
      <c r="L39" s="31" t="s">
        <v>259</v>
      </c>
      <c r="M39" s="31" t="s">
        <v>259</v>
      </c>
      <c r="N39" s="31" t="s">
        <v>259</v>
      </c>
      <c r="O39" s="30"/>
      <c r="P39" s="30"/>
    </row>
    <row r="40" spans="2:16" s="22" customFormat="1" ht="11" hidden="1" x14ac:dyDescent="0.25">
      <c r="B40" s="33">
        <v>5</v>
      </c>
      <c r="C40" s="34"/>
      <c r="D40" s="34">
        <v>3.3E-3</v>
      </c>
      <c r="E40" s="34">
        <v>2.5999999999999999E-3</v>
      </c>
      <c r="F40" s="34">
        <v>2.0999999999999999E-3</v>
      </c>
      <c r="G40" s="34">
        <v>1.6999999999999999E-3</v>
      </c>
      <c r="H40" s="34">
        <v>1.4E-3</v>
      </c>
      <c r="I40" s="34">
        <v>1.1999999999999999E-3</v>
      </c>
      <c r="J40" s="34">
        <v>1E-3</v>
      </c>
      <c r="K40" s="35">
        <v>8.8000000000000003E-4</v>
      </c>
      <c r="L40" s="35">
        <v>7.6000000000000004E-4</v>
      </c>
      <c r="M40" s="35">
        <v>6.6E-4</v>
      </c>
      <c r="N40" s="35">
        <v>5.8E-4</v>
      </c>
      <c r="O40" s="30"/>
      <c r="P40" s="30"/>
    </row>
    <row r="41" spans="2:16" s="22" customFormat="1" ht="11" hidden="1" x14ac:dyDescent="0.25">
      <c r="B41" s="33">
        <v>10</v>
      </c>
      <c r="C41" s="34"/>
      <c r="D41" s="34">
        <v>1.4E-3</v>
      </c>
      <c r="E41" s="34">
        <v>1.1999999999999999E-3</v>
      </c>
      <c r="F41" s="34">
        <v>1.1000000000000001E-3</v>
      </c>
      <c r="G41" s="35">
        <v>9.3999999999999997E-4</v>
      </c>
      <c r="H41" s="35">
        <v>8.4000000000000003E-4</v>
      </c>
      <c r="I41" s="35">
        <v>7.5000000000000002E-4</v>
      </c>
      <c r="J41" s="35">
        <v>6.8000000000000005E-4</v>
      </c>
      <c r="K41" s="35">
        <v>6.2E-4</v>
      </c>
      <c r="L41" s="35">
        <v>5.6999999999999998E-4</v>
      </c>
      <c r="M41" s="35">
        <v>5.1999999999999995E-4</v>
      </c>
      <c r="N41" s="35">
        <v>4.8000000000000001E-4</v>
      </c>
      <c r="O41" s="30"/>
      <c r="P41" s="30"/>
    </row>
    <row r="42" spans="2:16" s="22" customFormat="1" ht="11" hidden="1" x14ac:dyDescent="0.25">
      <c r="B42" s="33">
        <v>15</v>
      </c>
      <c r="C42" s="34"/>
      <c r="D42" s="35">
        <v>7.5000000000000002E-4</v>
      </c>
      <c r="E42" s="35">
        <v>6.0999999999999997E-4</v>
      </c>
      <c r="F42" s="35">
        <v>5.4000000000000001E-4</v>
      </c>
      <c r="G42" s="35">
        <v>4.8999999999999998E-4</v>
      </c>
      <c r="H42" s="35">
        <v>4.4000000000000002E-4</v>
      </c>
      <c r="I42" s="35">
        <v>4.0000000000000002E-4</v>
      </c>
      <c r="J42" s="35">
        <v>3.6999999999999999E-4</v>
      </c>
      <c r="K42" s="35">
        <v>3.4000000000000002E-4</v>
      </c>
      <c r="L42" s="35">
        <v>3.1E-4</v>
      </c>
      <c r="M42" s="35">
        <v>2.9E-4</v>
      </c>
      <c r="N42" s="35">
        <v>2.7E-4</v>
      </c>
      <c r="O42" s="30"/>
      <c r="P42" s="30"/>
    </row>
    <row r="43" spans="2:16" s="22" customFormat="1" ht="11" hidden="1" x14ac:dyDescent="0.25">
      <c r="B43" s="33">
        <v>20</v>
      </c>
      <c r="C43" s="35"/>
      <c r="D43" s="35">
        <v>7.2000000000000005E-4</v>
      </c>
      <c r="E43" s="35">
        <v>5.4000000000000001E-4</v>
      </c>
      <c r="F43" s="35">
        <v>3.5E-4</v>
      </c>
      <c r="G43" s="35">
        <v>3.1E-4</v>
      </c>
      <c r="H43" s="35">
        <v>2.7999999999999998E-4</v>
      </c>
      <c r="I43" s="35">
        <v>2.5999999999999998E-4</v>
      </c>
      <c r="J43" s="35">
        <v>2.3000000000000001E-4</v>
      </c>
      <c r="K43" s="35">
        <v>2.2000000000000001E-4</v>
      </c>
      <c r="L43" s="35">
        <v>2.0000000000000001E-4</v>
      </c>
      <c r="M43" s="35">
        <v>1.9000000000000001E-4</v>
      </c>
      <c r="N43" s="35">
        <v>1.7000000000000001E-4</v>
      </c>
      <c r="O43" s="30"/>
      <c r="P43" s="30"/>
    </row>
    <row r="44" spans="2:16" s="22" customFormat="1" ht="11" hidden="1" x14ac:dyDescent="0.25">
      <c r="B44" s="33">
        <v>25</v>
      </c>
      <c r="C44" s="35"/>
      <c r="D44" s="35">
        <v>5.0000000000000001E-4</v>
      </c>
      <c r="E44" s="35">
        <v>4.0999999999999999E-4</v>
      </c>
      <c r="F44" s="35">
        <v>3.5E-4</v>
      </c>
      <c r="G44" s="35">
        <v>2.5000000000000001E-4</v>
      </c>
      <c r="H44" s="35">
        <v>1.9000000000000001E-4</v>
      </c>
      <c r="I44" s="35">
        <v>1.8000000000000001E-4</v>
      </c>
      <c r="J44" s="35">
        <v>1.6000000000000001E-4</v>
      </c>
      <c r="K44" s="35">
        <v>1.4999999999999999E-4</v>
      </c>
      <c r="L44" s="35">
        <v>1.3999999999999999E-4</v>
      </c>
      <c r="M44" s="35">
        <v>1.2999999999999999E-4</v>
      </c>
      <c r="N44" s="35">
        <v>1.2E-4</v>
      </c>
      <c r="O44" s="30"/>
      <c r="P44" s="30"/>
    </row>
    <row r="45" spans="2:16" s="22" customFormat="1" ht="11" hidden="1" x14ac:dyDescent="0.25">
      <c r="B45" s="33">
        <v>30</v>
      </c>
      <c r="C45" s="35"/>
      <c r="D45" s="35">
        <v>3.6999999999999999E-4</v>
      </c>
      <c r="E45" s="35">
        <v>2.9999999999999997E-4</v>
      </c>
      <c r="F45" s="35">
        <v>2.5999999999999998E-4</v>
      </c>
      <c r="G45" s="35">
        <v>2.3000000000000001E-4</v>
      </c>
      <c r="H45" s="35">
        <v>1.9000000000000001E-4</v>
      </c>
      <c r="I45" s="35">
        <v>1.2999999999999999E-4</v>
      </c>
      <c r="J45" s="35">
        <v>1.2E-4</v>
      </c>
      <c r="K45" s="35">
        <v>1.1E-4</v>
      </c>
      <c r="L45" s="35">
        <v>1E-4</v>
      </c>
      <c r="M45" s="36">
        <v>9.6000000000000002E-5</v>
      </c>
      <c r="N45" s="36">
        <v>9.0000000000000006E-5</v>
      </c>
      <c r="O45" s="30"/>
      <c r="P45" s="30"/>
    </row>
    <row r="46" spans="2:16" s="22" customFormat="1" ht="11" hidden="1" x14ac:dyDescent="0.25">
      <c r="B46" s="33">
        <v>35</v>
      </c>
      <c r="C46" s="35"/>
      <c r="D46" s="35">
        <v>2.9999999999999997E-4</v>
      </c>
      <c r="E46" s="35">
        <v>2.3000000000000001E-4</v>
      </c>
      <c r="F46" s="35">
        <v>1.9000000000000001E-4</v>
      </c>
      <c r="G46" s="35">
        <v>1.7000000000000001E-4</v>
      </c>
      <c r="H46" s="35">
        <v>1.4999999999999999E-4</v>
      </c>
      <c r="I46" s="35">
        <v>1.2999999999999999E-4</v>
      </c>
      <c r="J46" s="35">
        <v>1.1E-4</v>
      </c>
      <c r="K46" s="36">
        <v>8.1000000000000004E-5</v>
      </c>
      <c r="L46" s="36">
        <v>7.4999999999999993E-5</v>
      </c>
      <c r="M46" s="36">
        <v>7.1000000000000005E-5</v>
      </c>
      <c r="N46" s="36">
        <v>6.7999999999999999E-5</v>
      </c>
      <c r="O46" s="30"/>
      <c r="P46" s="30"/>
    </row>
    <row r="47" spans="2:16" s="22" customFormat="1" ht="11" hidden="1" x14ac:dyDescent="0.25">
      <c r="B47" s="33">
        <v>40</v>
      </c>
      <c r="C47" s="35"/>
      <c r="D47" s="35">
        <v>2.3000000000000001E-4</v>
      </c>
      <c r="E47" s="35">
        <v>1.9000000000000001E-4</v>
      </c>
      <c r="F47" s="35">
        <v>1.4999999999999999E-4</v>
      </c>
      <c r="G47" s="35">
        <v>1.2999999999999999E-4</v>
      </c>
      <c r="H47" s="35">
        <v>1.2E-4</v>
      </c>
      <c r="I47" s="35">
        <v>1.1E-4</v>
      </c>
      <c r="J47" s="36">
        <v>9.6000000000000002E-5</v>
      </c>
      <c r="K47" s="36">
        <v>8.1000000000000004E-5</v>
      </c>
      <c r="L47" s="36">
        <v>6.3999999999999997E-5</v>
      </c>
      <c r="M47" s="36">
        <v>5.3999999999999998E-5</v>
      </c>
      <c r="N47" s="36">
        <v>5.1E-5</v>
      </c>
      <c r="O47" s="30"/>
      <c r="P47" s="30"/>
    </row>
    <row r="48" spans="2:16" s="22" customFormat="1" ht="11" hidden="1" x14ac:dyDescent="0.25">
      <c r="B48" s="33">
        <v>45</v>
      </c>
      <c r="C48" s="35"/>
      <c r="D48" s="35">
        <v>1.8000000000000001E-4</v>
      </c>
      <c r="E48" s="35">
        <v>1.6000000000000001E-4</v>
      </c>
      <c r="F48" s="35">
        <v>1.2999999999999999E-4</v>
      </c>
      <c r="G48" s="35">
        <v>1.1E-4</v>
      </c>
      <c r="H48" s="36">
        <v>9.5000000000000005E-5</v>
      </c>
      <c r="I48" s="36">
        <v>8.5000000000000006E-5</v>
      </c>
      <c r="J48" s="36">
        <v>7.7999999999999999E-5</v>
      </c>
      <c r="K48" s="36">
        <v>7.2000000000000002E-5</v>
      </c>
      <c r="L48" s="36">
        <v>6.3E-5</v>
      </c>
      <c r="M48" s="36">
        <v>5.3000000000000001E-5</v>
      </c>
      <c r="N48" s="36">
        <v>4.1999999999999998E-5</v>
      </c>
      <c r="O48" s="30"/>
      <c r="P48" s="30"/>
    </row>
    <row r="49" spans="2:16" s="22" customFormat="1" ht="11" hidden="1" x14ac:dyDescent="0.25">
      <c r="B49" s="33">
        <v>50</v>
      </c>
      <c r="C49" s="35"/>
      <c r="D49" s="35">
        <v>1.3999999999999999E-4</v>
      </c>
      <c r="E49" s="35">
        <v>1.2999999999999999E-4</v>
      </c>
      <c r="F49" s="35">
        <v>1.1E-4</v>
      </c>
      <c r="G49" s="36">
        <v>9.0000000000000006E-5</v>
      </c>
      <c r="H49" s="36">
        <v>7.7000000000000001E-5</v>
      </c>
      <c r="I49" s="36">
        <v>6.7999999999999999E-5</v>
      </c>
      <c r="J49" s="36">
        <v>6.2000000000000003E-5</v>
      </c>
      <c r="K49" s="36">
        <v>5.7000000000000003E-5</v>
      </c>
      <c r="L49" s="36">
        <v>5.3000000000000001E-5</v>
      </c>
      <c r="M49" s="36">
        <v>4.8000000000000001E-5</v>
      </c>
      <c r="N49" s="36">
        <v>4.1999999999999998E-5</v>
      </c>
      <c r="O49" s="30"/>
      <c r="P49" s="30"/>
    </row>
    <row r="50" spans="2:16" s="22" customFormat="1" ht="11" hidden="1" x14ac:dyDescent="0.25">
      <c r="B50" s="30"/>
      <c r="C50" s="30"/>
      <c r="D50" s="30"/>
      <c r="E50" s="30"/>
      <c r="F50" s="30"/>
      <c r="G50" s="30"/>
      <c r="H50" s="30"/>
      <c r="I50" s="30"/>
      <c r="J50" s="30"/>
      <c r="K50" s="30"/>
      <c r="L50" s="30"/>
      <c r="M50" s="30"/>
      <c r="N50" s="30"/>
      <c r="O50" s="30"/>
      <c r="P50" s="30"/>
    </row>
    <row r="51" spans="2:16" s="22" customFormat="1" ht="11" hidden="1" x14ac:dyDescent="0.25">
      <c r="B51" s="29"/>
      <c r="C51" s="652"/>
      <c r="D51" s="652"/>
      <c r="E51" s="652"/>
      <c r="F51" s="652"/>
      <c r="G51" s="652"/>
      <c r="H51" s="652"/>
      <c r="I51" s="652"/>
      <c r="J51" s="652"/>
      <c r="K51" s="652"/>
      <c r="L51" s="652"/>
      <c r="M51" s="652"/>
      <c r="N51" s="652"/>
      <c r="O51" s="30"/>
      <c r="P51" s="30"/>
    </row>
    <row r="52" spans="2:16" s="22" customFormat="1" ht="11" hidden="1" x14ac:dyDescent="0.25">
      <c r="B52" s="31" t="s">
        <v>257</v>
      </c>
      <c r="C52" s="648"/>
      <c r="D52" s="648"/>
      <c r="E52" s="648"/>
      <c r="F52" s="648"/>
      <c r="G52" s="648"/>
      <c r="H52" s="648"/>
      <c r="I52" s="648"/>
      <c r="J52" s="648"/>
      <c r="K52" s="648"/>
      <c r="L52" s="648"/>
      <c r="M52" s="648"/>
      <c r="N52" s="648"/>
      <c r="O52" s="30"/>
      <c r="P52" s="30"/>
    </row>
    <row r="53" spans="2:16" s="22" customFormat="1" ht="11" hidden="1" x14ac:dyDescent="0.25">
      <c r="B53" s="31" t="s">
        <v>258</v>
      </c>
      <c r="C53" s="31"/>
      <c r="D53" s="31">
        <v>50</v>
      </c>
      <c r="E53" s="31">
        <v>60</v>
      </c>
      <c r="F53" s="31">
        <v>70</v>
      </c>
      <c r="G53" s="31">
        <v>80</v>
      </c>
      <c r="H53" s="31">
        <v>90</v>
      </c>
      <c r="I53" s="31">
        <v>100</v>
      </c>
      <c r="J53" s="32">
        <v>110</v>
      </c>
      <c r="K53" s="32">
        <v>120</v>
      </c>
      <c r="L53" s="32">
        <v>130</v>
      </c>
      <c r="M53" s="32">
        <v>140</v>
      </c>
      <c r="N53" s="32">
        <v>150</v>
      </c>
      <c r="O53" s="30"/>
      <c r="P53" s="30"/>
    </row>
    <row r="54" spans="2:16" s="22" customFormat="1" ht="11" hidden="1" x14ac:dyDescent="0.25">
      <c r="B54" s="31" t="s">
        <v>259</v>
      </c>
      <c r="C54" s="31"/>
      <c r="D54" s="31" t="s">
        <v>259</v>
      </c>
      <c r="E54" s="31" t="s">
        <v>259</v>
      </c>
      <c r="F54" s="31"/>
      <c r="G54" s="31" t="s">
        <v>259</v>
      </c>
      <c r="H54" s="31"/>
      <c r="I54" s="31" t="s">
        <v>259</v>
      </c>
      <c r="J54" s="31" t="s">
        <v>259</v>
      </c>
      <c r="K54" s="31" t="s">
        <v>259</v>
      </c>
      <c r="L54" s="31" t="s">
        <v>259</v>
      </c>
      <c r="M54" s="31" t="s">
        <v>259</v>
      </c>
      <c r="N54" s="31" t="s">
        <v>259</v>
      </c>
      <c r="O54" s="30"/>
      <c r="P54" s="30"/>
    </row>
    <row r="55" spans="2:16" s="22" customFormat="1" ht="11" hidden="1" x14ac:dyDescent="0.25">
      <c r="B55" s="33">
        <v>5</v>
      </c>
      <c r="C55" s="37"/>
      <c r="D55" s="37">
        <v>29</v>
      </c>
      <c r="E55" s="37">
        <v>23</v>
      </c>
      <c r="F55" s="37">
        <v>19</v>
      </c>
      <c r="G55" s="37">
        <v>15</v>
      </c>
      <c r="H55" s="37">
        <v>13</v>
      </c>
      <c r="I55" s="37">
        <v>11</v>
      </c>
      <c r="J55" s="38">
        <v>9.1</v>
      </c>
      <c r="K55" s="38">
        <v>7.7</v>
      </c>
      <c r="L55" s="38">
        <v>6.7</v>
      </c>
      <c r="M55" s="38">
        <v>5.8</v>
      </c>
      <c r="N55" s="38">
        <v>5</v>
      </c>
      <c r="O55" s="30"/>
      <c r="P55" s="30"/>
    </row>
    <row r="56" spans="2:16" s="22" customFormat="1" ht="11" hidden="1" x14ac:dyDescent="0.25">
      <c r="B56" s="33">
        <v>10</v>
      </c>
      <c r="C56" s="37"/>
      <c r="D56" s="37">
        <v>12</v>
      </c>
      <c r="E56" s="37">
        <v>11</v>
      </c>
      <c r="F56" s="38">
        <v>9.3000000000000007</v>
      </c>
      <c r="G56" s="38">
        <v>8.1999999999999993</v>
      </c>
      <c r="H56" s="38">
        <v>7.3</v>
      </c>
      <c r="I56" s="38">
        <v>6.6</v>
      </c>
      <c r="J56" s="38">
        <v>5.9</v>
      </c>
      <c r="K56" s="38">
        <v>5.4</v>
      </c>
      <c r="L56" s="38">
        <v>4.9000000000000004</v>
      </c>
      <c r="M56" s="38">
        <v>4.5</v>
      </c>
      <c r="N56" s="38">
        <v>4.2</v>
      </c>
      <c r="O56" s="30"/>
      <c r="P56" s="30"/>
    </row>
    <row r="57" spans="2:16" s="22" customFormat="1" ht="11" hidden="1" x14ac:dyDescent="0.25">
      <c r="B57" s="33">
        <v>15</v>
      </c>
      <c r="C57" s="37"/>
      <c r="D57" s="38">
        <v>6.6</v>
      </c>
      <c r="E57" s="38">
        <v>5.4</v>
      </c>
      <c r="F57" s="38">
        <v>4.8</v>
      </c>
      <c r="G57" s="38">
        <v>4.3</v>
      </c>
      <c r="H57" s="38">
        <v>3.8</v>
      </c>
      <c r="I57" s="38">
        <v>3.5</v>
      </c>
      <c r="J57" s="38">
        <v>3.1</v>
      </c>
      <c r="K57" s="38">
        <v>2.9</v>
      </c>
      <c r="L57" s="38">
        <v>2.8</v>
      </c>
      <c r="M57" s="38">
        <v>2.5</v>
      </c>
      <c r="N57" s="38">
        <v>2.4</v>
      </c>
      <c r="O57" s="30"/>
      <c r="P57" s="30"/>
    </row>
    <row r="58" spans="2:16" s="22" customFormat="1" ht="11" hidden="1" x14ac:dyDescent="0.25">
      <c r="B58" s="33">
        <v>20</v>
      </c>
      <c r="C58" s="38"/>
      <c r="D58" s="38">
        <v>6.3</v>
      </c>
      <c r="E58" s="38">
        <v>4.7</v>
      </c>
      <c r="F58" s="38">
        <v>3</v>
      </c>
      <c r="G58" s="38">
        <v>2.6</v>
      </c>
      <c r="H58" s="38">
        <v>2.5</v>
      </c>
      <c r="I58" s="38">
        <v>2.2999999999999998</v>
      </c>
      <c r="J58" s="38">
        <v>2</v>
      </c>
      <c r="K58" s="38">
        <v>1.9</v>
      </c>
      <c r="L58" s="38">
        <v>1.8</v>
      </c>
      <c r="M58" s="38">
        <v>1.6</v>
      </c>
      <c r="N58" s="38">
        <v>1.5</v>
      </c>
      <c r="O58" s="30"/>
      <c r="P58" s="30"/>
    </row>
    <row r="59" spans="2:16" s="22" customFormat="1" ht="11" hidden="1" x14ac:dyDescent="0.25">
      <c r="B59" s="33">
        <v>25</v>
      </c>
      <c r="C59" s="38"/>
      <c r="D59" s="38">
        <v>4.3</v>
      </c>
      <c r="E59" s="38">
        <v>3.7</v>
      </c>
      <c r="F59" s="38">
        <v>3</v>
      </c>
      <c r="G59" s="38">
        <v>2.1</v>
      </c>
      <c r="H59" s="38">
        <v>1.6</v>
      </c>
      <c r="I59" s="38">
        <v>1.5</v>
      </c>
      <c r="J59" s="38">
        <v>1.4</v>
      </c>
      <c r="K59" s="38">
        <v>1.4</v>
      </c>
      <c r="L59" s="38">
        <v>1.2</v>
      </c>
      <c r="M59" s="38">
        <v>1.1000000000000001</v>
      </c>
      <c r="N59" s="38">
        <v>1.1000000000000001</v>
      </c>
      <c r="O59" s="30"/>
      <c r="P59" s="30"/>
    </row>
    <row r="60" spans="2:16" s="22" customFormat="1" ht="11" hidden="1" x14ac:dyDescent="0.25">
      <c r="B60" s="33">
        <v>30</v>
      </c>
      <c r="C60" s="38"/>
      <c r="D60" s="38">
        <v>3.3</v>
      </c>
      <c r="E60" s="38">
        <v>2.6</v>
      </c>
      <c r="F60" s="38">
        <v>2.2999999999999998</v>
      </c>
      <c r="G60" s="38">
        <v>2</v>
      </c>
      <c r="H60" s="38">
        <v>1.6</v>
      </c>
      <c r="I60" s="38">
        <v>1.2</v>
      </c>
      <c r="J60" s="38">
        <v>1</v>
      </c>
      <c r="K60" s="39">
        <v>0.94</v>
      </c>
      <c r="L60" s="39">
        <v>0.89</v>
      </c>
      <c r="M60" s="39">
        <v>0.84</v>
      </c>
      <c r="N60" s="39">
        <v>0.79</v>
      </c>
      <c r="O60" s="30"/>
      <c r="P60" s="30"/>
    </row>
    <row r="61" spans="2:16" s="22" customFormat="1" ht="11" hidden="1" x14ac:dyDescent="0.25">
      <c r="B61" s="33">
        <v>35</v>
      </c>
      <c r="C61" s="38"/>
      <c r="D61" s="38">
        <v>2.6</v>
      </c>
      <c r="E61" s="38">
        <v>2</v>
      </c>
      <c r="F61" s="38">
        <v>1.6</v>
      </c>
      <c r="G61" s="38">
        <v>1.5</v>
      </c>
      <c r="H61" s="38">
        <v>1.4</v>
      </c>
      <c r="I61" s="38">
        <v>1.2</v>
      </c>
      <c r="J61" s="39">
        <v>0.92</v>
      </c>
      <c r="K61" s="39">
        <v>0.72</v>
      </c>
      <c r="L61" s="39">
        <v>0.66</v>
      </c>
      <c r="M61" s="39">
        <v>0.63</v>
      </c>
      <c r="N61" s="39">
        <v>0.59</v>
      </c>
      <c r="O61" s="30"/>
      <c r="P61" s="30"/>
    </row>
    <row r="62" spans="2:16" s="22" customFormat="1" ht="11" hidden="1" x14ac:dyDescent="0.25">
      <c r="B62" s="33">
        <v>40</v>
      </c>
      <c r="C62" s="38"/>
      <c r="D62" s="38">
        <v>2</v>
      </c>
      <c r="E62" s="38">
        <v>1.6</v>
      </c>
      <c r="F62" s="38">
        <v>1.4</v>
      </c>
      <c r="G62" s="38">
        <v>1.1000000000000001</v>
      </c>
      <c r="H62" s="38">
        <v>1</v>
      </c>
      <c r="I62" s="39">
        <v>0.93</v>
      </c>
      <c r="J62" s="39">
        <v>0.84</v>
      </c>
      <c r="K62" s="39">
        <v>0.71</v>
      </c>
      <c r="L62" s="39">
        <v>0.55000000000000004</v>
      </c>
      <c r="M62" s="39">
        <v>0.48</v>
      </c>
      <c r="N62" s="39">
        <v>0.45</v>
      </c>
      <c r="O62" s="30"/>
      <c r="P62" s="30"/>
    </row>
    <row r="63" spans="2:16" s="22" customFormat="1" ht="11" hidden="1" x14ac:dyDescent="0.25">
      <c r="B63" s="33">
        <v>45</v>
      </c>
      <c r="C63" s="38"/>
      <c r="D63" s="38">
        <v>1.6</v>
      </c>
      <c r="E63" s="38">
        <v>1.4</v>
      </c>
      <c r="F63" s="38">
        <v>1.2</v>
      </c>
      <c r="G63" s="39">
        <v>0.94</v>
      </c>
      <c r="H63" s="39">
        <v>0.83</v>
      </c>
      <c r="I63" s="39">
        <v>0.74</v>
      </c>
      <c r="J63" s="39">
        <v>0.68</v>
      </c>
      <c r="K63" s="39">
        <v>0.63</v>
      </c>
      <c r="L63" s="39">
        <v>0.55000000000000004</v>
      </c>
      <c r="M63" s="39">
        <v>0.47</v>
      </c>
      <c r="N63" s="39">
        <v>0.38</v>
      </c>
      <c r="O63" s="30"/>
      <c r="P63" s="30"/>
    </row>
    <row r="64" spans="2:16" s="22" customFormat="1" ht="11" hidden="1" x14ac:dyDescent="0.25">
      <c r="B64" s="33">
        <v>50</v>
      </c>
      <c r="C64" s="38"/>
      <c r="D64" s="38">
        <v>1.2</v>
      </c>
      <c r="E64" s="38">
        <v>1.1000000000000001</v>
      </c>
      <c r="F64" s="39">
        <v>0.95</v>
      </c>
      <c r="G64" s="39">
        <v>0.79</v>
      </c>
      <c r="H64" s="39">
        <v>0.68</v>
      </c>
      <c r="I64" s="39">
        <v>0.6</v>
      </c>
      <c r="J64" s="39">
        <v>0.54</v>
      </c>
      <c r="K64" s="39">
        <v>0.5</v>
      </c>
      <c r="L64" s="39">
        <v>0.47</v>
      </c>
      <c r="M64" s="39">
        <v>0.42</v>
      </c>
      <c r="N64" s="39">
        <v>0.37</v>
      </c>
      <c r="O64" s="30"/>
      <c r="P64" s="30"/>
    </row>
    <row r="65" spans="2:16" s="22" customFormat="1" ht="11" hidden="1" x14ac:dyDescent="0.25">
      <c r="B65" s="25"/>
      <c r="C65" s="40"/>
      <c r="D65" s="40"/>
      <c r="E65" s="40"/>
      <c r="F65" s="40"/>
      <c r="G65" s="40"/>
      <c r="H65" s="40"/>
      <c r="I65" s="40"/>
      <c r="J65" s="40"/>
      <c r="K65" s="40"/>
      <c r="L65" s="40"/>
      <c r="M65" s="40"/>
      <c r="N65" s="40"/>
      <c r="O65" s="30"/>
      <c r="P65" s="30"/>
    </row>
    <row r="66" spans="2:16" s="22" customFormat="1" ht="11" hidden="1" x14ac:dyDescent="0.25">
      <c r="B66" s="25"/>
      <c r="C66" s="40"/>
      <c r="D66" s="40"/>
      <c r="E66" s="40"/>
      <c r="F66" s="40"/>
      <c r="G66" s="40"/>
      <c r="H66" s="40"/>
      <c r="I66" s="40"/>
      <c r="J66" s="40"/>
      <c r="K66" s="40"/>
      <c r="L66" s="40"/>
      <c r="M66" s="40"/>
      <c r="N66" s="40"/>
      <c r="O66" s="30"/>
      <c r="P66" s="30"/>
    </row>
    <row r="67" spans="2:16" s="22" customFormat="1" ht="11" hidden="1" x14ac:dyDescent="0.25">
      <c r="B67" s="41"/>
      <c r="C67" s="652"/>
      <c r="D67" s="652"/>
      <c r="E67" s="652"/>
      <c r="F67" s="652"/>
      <c r="G67" s="652"/>
      <c r="H67" s="652"/>
      <c r="I67" s="652"/>
      <c r="J67" s="652"/>
      <c r="K67" s="652"/>
      <c r="L67" s="652"/>
      <c r="M67" s="652"/>
      <c r="N67" s="652"/>
      <c r="O67" s="30"/>
      <c r="P67" s="30"/>
    </row>
    <row r="68" spans="2:16" s="22" customFormat="1" ht="11" hidden="1" x14ac:dyDescent="0.25">
      <c r="B68" s="31" t="s">
        <v>257</v>
      </c>
      <c r="C68" s="648"/>
      <c r="D68" s="648"/>
      <c r="E68" s="648"/>
      <c r="F68" s="648"/>
      <c r="G68" s="648"/>
      <c r="H68" s="648"/>
      <c r="I68" s="648"/>
      <c r="J68" s="648"/>
      <c r="K68" s="648"/>
      <c r="L68" s="648"/>
      <c r="M68" s="648"/>
      <c r="N68" s="648"/>
      <c r="O68" s="30"/>
      <c r="P68" s="30"/>
    </row>
    <row r="69" spans="2:16" s="22" customFormat="1" ht="11" hidden="1" x14ac:dyDescent="0.25">
      <c r="B69" s="31" t="s">
        <v>258</v>
      </c>
      <c r="C69" s="31"/>
      <c r="D69" s="31">
        <v>50</v>
      </c>
      <c r="E69" s="31">
        <v>60</v>
      </c>
      <c r="F69" s="31">
        <v>70</v>
      </c>
      <c r="G69" s="31">
        <v>80</v>
      </c>
      <c r="H69" s="31">
        <v>90</v>
      </c>
      <c r="I69" s="31">
        <v>100</v>
      </c>
      <c r="J69" s="32">
        <v>110</v>
      </c>
      <c r="K69" s="32">
        <v>120</v>
      </c>
      <c r="L69" s="32">
        <v>130</v>
      </c>
      <c r="M69" s="32">
        <v>140</v>
      </c>
      <c r="N69" s="32">
        <v>150</v>
      </c>
      <c r="O69" s="30"/>
      <c r="P69" s="30"/>
    </row>
    <row r="70" spans="2:16" s="22" customFormat="1" ht="11" hidden="1" x14ac:dyDescent="0.25">
      <c r="B70" s="31" t="s">
        <v>259</v>
      </c>
      <c r="C70" s="31"/>
      <c r="D70" s="31" t="s">
        <v>259</v>
      </c>
      <c r="E70" s="31" t="s">
        <v>259</v>
      </c>
      <c r="F70" s="31"/>
      <c r="G70" s="31" t="s">
        <v>259</v>
      </c>
      <c r="H70" s="31"/>
      <c r="I70" s="31" t="s">
        <v>259</v>
      </c>
      <c r="J70" s="31" t="s">
        <v>259</v>
      </c>
      <c r="K70" s="31" t="s">
        <v>259</v>
      </c>
      <c r="L70" s="31" t="s">
        <v>259</v>
      </c>
      <c r="M70" s="31" t="s">
        <v>259</v>
      </c>
      <c r="N70" s="31" t="s">
        <v>259</v>
      </c>
      <c r="O70" s="30"/>
      <c r="P70" s="30"/>
    </row>
    <row r="71" spans="2:16" s="22" customFormat="1" ht="11" hidden="1" x14ac:dyDescent="0.25">
      <c r="B71" s="42">
        <v>5</v>
      </c>
      <c r="C71" s="43"/>
      <c r="D71" s="43">
        <v>199.8223584959546</v>
      </c>
      <c r="E71" s="43">
        <v>171.20078164899337</v>
      </c>
      <c r="F71" s="43">
        <v>146.37017554027901</v>
      </c>
      <c r="G71" s="43">
        <v>125.09589301434023</v>
      </c>
      <c r="H71" s="43">
        <v>105.10545289526382</v>
      </c>
      <c r="I71" s="43">
        <v>90.001241919334475</v>
      </c>
      <c r="J71" s="43">
        <v>76.871049965728588</v>
      </c>
      <c r="K71" s="43">
        <v>65.911622550600768</v>
      </c>
      <c r="L71" s="43">
        <v>57.222966309840594</v>
      </c>
      <c r="M71" s="43">
        <v>49.847259041609554</v>
      </c>
      <c r="N71" s="43">
        <v>43.653221430395398</v>
      </c>
      <c r="O71" s="30"/>
      <c r="P71" s="30"/>
    </row>
    <row r="72" spans="2:16" s="22" customFormat="1" ht="11" hidden="1" x14ac:dyDescent="0.25">
      <c r="B72" s="42">
        <v>10</v>
      </c>
      <c r="C72" s="43"/>
      <c r="D72" s="43">
        <v>91.061516166371021</v>
      </c>
      <c r="E72" s="43">
        <v>82.790446376972298</v>
      </c>
      <c r="F72" s="43">
        <v>75.04716605515685</v>
      </c>
      <c r="G72" s="43">
        <v>68.052711642878265</v>
      </c>
      <c r="H72" s="43">
        <v>62.457795532282347</v>
      </c>
      <c r="I72" s="43">
        <v>57.52254564484047</v>
      </c>
      <c r="J72" s="43">
        <v>53.688210418178635</v>
      </c>
      <c r="K72" s="43">
        <v>49.950323436618014</v>
      </c>
      <c r="L72" s="43">
        <v>46.871403179851093</v>
      </c>
      <c r="M72" s="43">
        <v>44.008708135096633</v>
      </c>
      <c r="N72" s="43">
        <v>41.464162836330416</v>
      </c>
      <c r="O72" s="30"/>
      <c r="P72" s="30"/>
    </row>
    <row r="73" spans="2:16" s="22" customFormat="1" ht="11" hidden="1" x14ac:dyDescent="0.25">
      <c r="B73" s="42">
        <v>15</v>
      </c>
      <c r="C73" s="43"/>
      <c r="D73" s="43">
        <v>44.105814089253563</v>
      </c>
      <c r="E73" s="43">
        <v>39.574736076391694</v>
      </c>
      <c r="F73" s="43">
        <v>37.228624665685558</v>
      </c>
      <c r="G73" s="43">
        <v>34.974185339555952</v>
      </c>
      <c r="H73" s="43">
        <v>32.788461490000806</v>
      </c>
      <c r="I73" s="43">
        <v>30.504662552415127</v>
      </c>
      <c r="J73" s="43">
        <v>28.788381901325163</v>
      </c>
      <c r="K73" s="43">
        <v>26.892367131010939</v>
      </c>
      <c r="L73" s="43">
        <v>25.415159521745558</v>
      </c>
      <c r="M73" s="43">
        <v>23.912716842391742</v>
      </c>
      <c r="N73" s="43">
        <v>22.826771362524529</v>
      </c>
      <c r="O73" s="30"/>
      <c r="P73" s="30"/>
    </row>
    <row r="74" spans="2:16" s="22" customFormat="1" ht="11" hidden="1" x14ac:dyDescent="0.25">
      <c r="B74" s="42">
        <v>20</v>
      </c>
      <c r="C74" s="43"/>
      <c r="D74" s="43">
        <v>38.439032134505283</v>
      </c>
      <c r="E74" s="43">
        <v>31.96012964344273</v>
      </c>
      <c r="F74" s="43">
        <v>21.898799743972262</v>
      </c>
      <c r="G74" s="43">
        <v>20.66360932754079</v>
      </c>
      <c r="H74" s="43">
        <v>19.60745584193479</v>
      </c>
      <c r="I74" s="43">
        <v>18.472348290124451</v>
      </c>
      <c r="J74" s="43">
        <v>17.421823550856118</v>
      </c>
      <c r="K74" s="43">
        <v>16.511615536717471</v>
      </c>
      <c r="L74" s="43">
        <v>15.654717655498212</v>
      </c>
      <c r="M74" s="43">
        <v>14.818235634559043</v>
      </c>
      <c r="N74" s="43">
        <v>14.136107765166788</v>
      </c>
      <c r="O74" s="30"/>
      <c r="P74" s="30"/>
    </row>
    <row r="75" spans="2:16" s="22" customFormat="1" ht="11" hidden="1" x14ac:dyDescent="0.25">
      <c r="B75" s="42">
        <v>25</v>
      </c>
      <c r="C75" s="43"/>
      <c r="D75" s="43">
        <v>23.297634137367957</v>
      </c>
      <c r="E75" s="43">
        <v>22.288414240787038</v>
      </c>
      <c r="F75" s="43">
        <v>20.367352977246458</v>
      </c>
      <c r="G75" s="43">
        <v>15.313397735061688</v>
      </c>
      <c r="H75" s="43">
        <v>12.481684314773002</v>
      </c>
      <c r="I75" s="43">
        <v>11.970820985538799</v>
      </c>
      <c r="J75" s="43">
        <v>11.497609189783082</v>
      </c>
      <c r="K75" s="43">
        <v>10.96055593634922</v>
      </c>
      <c r="L75" s="43">
        <v>10.46186316459694</v>
      </c>
      <c r="M75" s="43">
        <v>9.9648589747466598</v>
      </c>
      <c r="N75" s="43">
        <v>9.5166581828078378</v>
      </c>
      <c r="O75" s="30"/>
      <c r="P75" s="30"/>
    </row>
    <row r="76" spans="2:16" s="22" customFormat="1" ht="11" hidden="1" x14ac:dyDescent="0.25">
      <c r="B76" s="42">
        <v>30</v>
      </c>
      <c r="C76" s="43"/>
      <c r="D76" s="43">
        <v>14.83156474276268</v>
      </c>
      <c r="E76" s="43">
        <v>14.219350800002687</v>
      </c>
      <c r="F76" s="43">
        <v>13.703719710104021</v>
      </c>
      <c r="G76" s="43">
        <v>13.141250579590356</v>
      </c>
      <c r="H76" s="43">
        <v>11.790768931604978</v>
      </c>
      <c r="I76" s="43">
        <v>8.2742900858129733</v>
      </c>
      <c r="J76" s="43">
        <v>7.6508808093433327</v>
      </c>
      <c r="K76" s="43">
        <v>7.4103749613606427</v>
      </c>
      <c r="L76" s="43">
        <v>7.1662601134317132</v>
      </c>
      <c r="M76" s="43">
        <v>6.9024557831357694</v>
      </c>
      <c r="N76" s="43">
        <v>6.6500418733032278</v>
      </c>
      <c r="O76" s="30"/>
      <c r="P76" s="30"/>
    </row>
    <row r="77" spans="2:16" s="22" customFormat="1" ht="11" hidden="1" x14ac:dyDescent="0.25">
      <c r="B77" s="42">
        <v>35</v>
      </c>
      <c r="C77" s="43"/>
      <c r="D77" s="43">
        <v>10.074053587748299</v>
      </c>
      <c r="E77" s="43">
        <v>9.743641305808671</v>
      </c>
      <c r="F77" s="43">
        <v>9.4390487242292291</v>
      </c>
      <c r="G77" s="43">
        <v>9.1929922486089843</v>
      </c>
      <c r="H77" s="43">
        <v>8.7630659825820505</v>
      </c>
      <c r="I77" s="43">
        <v>8.2473611839099004</v>
      </c>
      <c r="J77" s="43">
        <v>7.0157919472219987</v>
      </c>
      <c r="K77" s="43">
        <v>5.2455770535978292</v>
      </c>
      <c r="L77" s="43">
        <v>5.1043487336370736</v>
      </c>
      <c r="M77" s="43">
        <v>4.9994911784667906</v>
      </c>
      <c r="N77" s="43">
        <v>4.8695503806816651</v>
      </c>
      <c r="O77" s="30"/>
      <c r="P77" s="30"/>
    </row>
    <row r="78" spans="2:16" s="22" customFormat="1" ht="11" hidden="1" x14ac:dyDescent="0.25">
      <c r="B78" s="42">
        <v>40</v>
      </c>
      <c r="C78" s="43"/>
      <c r="D78" s="43">
        <v>7.1361438845657608</v>
      </c>
      <c r="E78" s="43">
        <v>6.9544019887509068</v>
      </c>
      <c r="F78" s="43">
        <v>6.7849486684541578</v>
      </c>
      <c r="G78" s="43">
        <v>6.6188048930865788</v>
      </c>
      <c r="H78" s="43">
        <v>6.458848244765206</v>
      </c>
      <c r="I78" s="43">
        <v>6.21766179810768</v>
      </c>
      <c r="J78" s="43">
        <v>5.9318128746337671</v>
      </c>
      <c r="K78" s="43">
        <v>5.3135537624653928</v>
      </c>
      <c r="L78" s="43">
        <v>4.1856007916028286</v>
      </c>
      <c r="M78" s="43">
        <v>3.6034276889632553</v>
      </c>
      <c r="N78" s="43">
        <v>3.549174671733462</v>
      </c>
      <c r="O78" s="30"/>
      <c r="P78" s="30"/>
    </row>
    <row r="79" spans="2:16" s="22" customFormat="1" ht="11" hidden="1" x14ac:dyDescent="0.25">
      <c r="B79" s="42">
        <v>45</v>
      </c>
      <c r="C79" s="43"/>
      <c r="D79" s="43">
        <v>5.2478046965298493</v>
      </c>
      <c r="E79" s="43">
        <v>5.2272088692444161</v>
      </c>
      <c r="F79" s="43">
        <v>5.1242923117759327</v>
      </c>
      <c r="G79" s="43">
        <v>5.0134158367604771</v>
      </c>
      <c r="H79" s="43">
        <v>4.899528641843399</v>
      </c>
      <c r="I79" s="43">
        <v>4.7889270522538503</v>
      </c>
      <c r="J79" s="43">
        <v>4.6063510503185237</v>
      </c>
      <c r="K79" s="43">
        <v>4.4616479181786417</v>
      </c>
      <c r="L79" s="43">
        <v>4.1102273758164669</v>
      </c>
      <c r="M79" s="43">
        <v>3.7846032242023497</v>
      </c>
      <c r="N79" s="43">
        <v>2.7990003746337662</v>
      </c>
      <c r="O79" s="30"/>
      <c r="P79" s="30"/>
    </row>
    <row r="80" spans="2:16" s="22" customFormat="1" ht="11" hidden="1" x14ac:dyDescent="0.25">
      <c r="B80" s="42">
        <v>50</v>
      </c>
      <c r="C80" s="43"/>
      <c r="D80" s="43">
        <v>3.8822081300567164</v>
      </c>
      <c r="E80" s="43">
        <v>3.9596273318011987</v>
      </c>
      <c r="F80" s="43">
        <v>3.91464482031019</v>
      </c>
      <c r="G80" s="43">
        <v>3.8469663064806605</v>
      </c>
      <c r="H80" s="43">
        <v>3.7712029271832916</v>
      </c>
      <c r="I80" s="43">
        <v>3.6880338111173829</v>
      </c>
      <c r="J80" s="43">
        <v>3.6140929914926221</v>
      </c>
      <c r="K80" s="43">
        <v>3.4282066046420994</v>
      </c>
      <c r="L80" s="43">
        <v>3.317993508588017</v>
      </c>
      <c r="M80" s="43">
        <v>3.2180796911539398</v>
      </c>
      <c r="N80" s="43">
        <v>2.9116718997795874</v>
      </c>
      <c r="O80" s="30"/>
      <c r="P80" s="30"/>
    </row>
    <row r="81" spans="2:16" s="22" customFormat="1" ht="11" x14ac:dyDescent="0.25">
      <c r="B81" s="20" t="s">
        <v>273</v>
      </c>
      <c r="C81" s="21" t="s">
        <v>274</v>
      </c>
      <c r="D81" s="649" t="s">
        <v>264</v>
      </c>
      <c r="E81" s="649"/>
      <c r="F81" s="649"/>
      <c r="G81" s="649"/>
      <c r="H81" s="649"/>
      <c r="I81" s="649"/>
      <c r="J81" s="649"/>
      <c r="K81" s="649"/>
      <c r="L81" s="649"/>
      <c r="M81" s="649"/>
      <c r="N81" s="649"/>
      <c r="O81" s="649"/>
      <c r="P81" s="649"/>
    </row>
    <row r="82" spans="2:16" s="22" customFormat="1" ht="11" x14ac:dyDescent="0.25">
      <c r="B82" s="23" t="s">
        <v>275</v>
      </c>
      <c r="C82" s="23" t="s">
        <v>276</v>
      </c>
      <c r="D82" s="24">
        <v>180</v>
      </c>
      <c r="E82" s="24">
        <v>190</v>
      </c>
      <c r="F82" s="24">
        <v>200</v>
      </c>
      <c r="G82" s="24">
        <v>250</v>
      </c>
      <c r="H82" s="24">
        <v>300</v>
      </c>
      <c r="I82" s="24">
        <v>350</v>
      </c>
      <c r="J82" s="24">
        <v>400</v>
      </c>
      <c r="K82" s="24">
        <v>450</v>
      </c>
      <c r="L82" s="24">
        <v>500</v>
      </c>
      <c r="M82" s="24">
        <v>600</v>
      </c>
      <c r="N82" s="24">
        <v>700</v>
      </c>
      <c r="O82" s="24">
        <v>800</v>
      </c>
      <c r="P82" s="24">
        <v>1000</v>
      </c>
    </row>
    <row r="83" spans="2:16" s="22" customFormat="1" ht="11" x14ac:dyDescent="0.25">
      <c r="B83" s="48" t="s">
        <v>277</v>
      </c>
      <c r="C83" s="48" t="s">
        <v>278</v>
      </c>
      <c r="D83" s="27">
        <v>5.0000000000000001E-4</v>
      </c>
      <c r="E83" s="27">
        <v>4.6000000000000001E-4</v>
      </c>
      <c r="F83" s="27">
        <v>4.2000000000000002E-4</v>
      </c>
      <c r="G83" s="27">
        <v>2.9E-4</v>
      </c>
      <c r="H83" s="27">
        <v>2.1000000000000001E-4</v>
      </c>
      <c r="I83" s="27">
        <v>1.6000000000000001E-4</v>
      </c>
      <c r="J83" s="27">
        <v>1.2999999999999999E-4</v>
      </c>
      <c r="K83" s="27">
        <v>1E-4</v>
      </c>
      <c r="L83" s="28">
        <v>8.7000000000000001E-5</v>
      </c>
      <c r="M83" s="28">
        <v>6.3999999999999997E-5</v>
      </c>
      <c r="N83" s="28">
        <v>4.8999999999999998E-5</v>
      </c>
      <c r="O83" s="28">
        <v>3.8999999999999999E-5</v>
      </c>
      <c r="P83" s="28">
        <v>2.6999999999999999E-5</v>
      </c>
    </row>
    <row r="84" spans="2:16" s="22" customFormat="1" ht="11" x14ac:dyDescent="0.25">
      <c r="B84" s="48" t="s">
        <v>279</v>
      </c>
      <c r="C84" s="48" t="s">
        <v>278</v>
      </c>
      <c r="D84" s="27">
        <v>5.0000000000000001E-4</v>
      </c>
      <c r="E84" s="27">
        <v>4.6000000000000001E-4</v>
      </c>
      <c r="F84" s="27">
        <v>4.2000000000000002E-4</v>
      </c>
      <c r="G84" s="27">
        <v>2.7999999999999998E-4</v>
      </c>
      <c r="H84" s="27">
        <v>2.1000000000000001E-4</v>
      </c>
      <c r="I84" s="27">
        <v>1.6000000000000001E-4</v>
      </c>
      <c r="J84" s="27">
        <v>1.2999999999999999E-4</v>
      </c>
      <c r="K84" s="27">
        <v>1E-4</v>
      </c>
      <c r="L84" s="28">
        <v>8.7000000000000001E-5</v>
      </c>
      <c r="M84" s="28">
        <v>6.3999999999999997E-5</v>
      </c>
      <c r="N84" s="28">
        <v>4.8999999999999998E-5</v>
      </c>
      <c r="O84" s="28">
        <v>3.8999999999999999E-5</v>
      </c>
      <c r="P84" s="28">
        <v>2.6999999999999999E-5</v>
      </c>
    </row>
    <row r="85" spans="2:16" s="22" customFormat="1" ht="11" x14ac:dyDescent="0.25">
      <c r="B85" s="48" t="s">
        <v>279</v>
      </c>
      <c r="C85" s="26" t="s">
        <v>280</v>
      </c>
      <c r="D85" s="27">
        <v>4.8999999999999998E-4</v>
      </c>
      <c r="E85" s="27">
        <v>4.4999999999999999E-4</v>
      </c>
      <c r="F85" s="27">
        <v>4.0999999999999999E-4</v>
      </c>
      <c r="G85" s="27">
        <v>2.7999999999999998E-4</v>
      </c>
      <c r="H85" s="27">
        <v>2.1000000000000001E-4</v>
      </c>
      <c r="I85" s="27">
        <v>1.6000000000000001E-4</v>
      </c>
      <c r="J85" s="27">
        <v>1.2999999999999999E-4</v>
      </c>
      <c r="K85" s="27">
        <v>1E-4</v>
      </c>
      <c r="L85" s="28">
        <v>8.7000000000000001E-5</v>
      </c>
      <c r="M85" s="28">
        <v>6.3999999999999997E-5</v>
      </c>
      <c r="N85" s="28">
        <v>4.8999999999999998E-5</v>
      </c>
      <c r="O85" s="28">
        <v>3.8999999999999999E-5</v>
      </c>
      <c r="P85" s="28">
        <v>2.6999999999999999E-5</v>
      </c>
    </row>
    <row r="86" spans="2:16" s="22" customFormat="1" ht="11" x14ac:dyDescent="0.25">
      <c r="B86" s="48" t="s">
        <v>281</v>
      </c>
      <c r="C86" s="48" t="s">
        <v>278</v>
      </c>
      <c r="D86" s="27">
        <v>5.0000000000000001E-4</v>
      </c>
      <c r="E86" s="27">
        <v>4.6000000000000001E-4</v>
      </c>
      <c r="F86" s="27">
        <v>4.2000000000000002E-4</v>
      </c>
      <c r="G86" s="27">
        <v>2.7999999999999998E-4</v>
      </c>
      <c r="H86" s="27">
        <v>2.1000000000000001E-4</v>
      </c>
      <c r="I86" s="27">
        <v>1.6000000000000001E-4</v>
      </c>
      <c r="J86" s="27">
        <v>1.2999999999999999E-4</v>
      </c>
      <c r="K86" s="27">
        <v>1E-4</v>
      </c>
      <c r="L86" s="28">
        <v>8.7000000000000001E-5</v>
      </c>
      <c r="M86" s="28">
        <v>6.3999999999999997E-5</v>
      </c>
      <c r="N86" s="28">
        <v>4.8999999999999998E-5</v>
      </c>
      <c r="O86" s="28">
        <v>3.8999999999999999E-5</v>
      </c>
      <c r="P86" s="28">
        <v>2.6999999999999999E-5</v>
      </c>
    </row>
    <row r="87" spans="2:16" s="22" customFormat="1" ht="11" x14ac:dyDescent="0.25">
      <c r="B87" s="48" t="s">
        <v>281</v>
      </c>
      <c r="C87" s="26" t="s">
        <v>280</v>
      </c>
      <c r="D87" s="27">
        <v>4.8000000000000001E-4</v>
      </c>
      <c r="E87" s="27">
        <v>4.4000000000000002E-4</v>
      </c>
      <c r="F87" s="27">
        <v>4.0999999999999999E-4</v>
      </c>
      <c r="G87" s="27">
        <v>2.7999999999999998E-4</v>
      </c>
      <c r="H87" s="27">
        <v>2.0000000000000001E-4</v>
      </c>
      <c r="I87" s="27">
        <v>1.6000000000000001E-4</v>
      </c>
      <c r="J87" s="27">
        <v>1.2999999999999999E-4</v>
      </c>
      <c r="K87" s="27">
        <v>1E-4</v>
      </c>
      <c r="L87" s="28">
        <v>8.6000000000000003E-5</v>
      </c>
      <c r="M87" s="28">
        <v>6.3999999999999997E-5</v>
      </c>
      <c r="N87" s="28">
        <v>4.8999999999999998E-5</v>
      </c>
      <c r="O87" s="28">
        <v>3.8999999999999999E-5</v>
      </c>
      <c r="P87" s="28">
        <v>2.6999999999999999E-5</v>
      </c>
    </row>
    <row r="88" spans="2:16" s="22" customFormat="1" ht="11" x14ac:dyDescent="0.25">
      <c r="B88" s="48" t="s">
        <v>282</v>
      </c>
      <c r="C88" s="48" t="s">
        <v>278</v>
      </c>
      <c r="D88" s="27">
        <v>5.0000000000000001E-4</v>
      </c>
      <c r="E88" s="27">
        <v>4.6000000000000001E-4</v>
      </c>
      <c r="F88" s="27">
        <v>4.2000000000000002E-4</v>
      </c>
      <c r="G88" s="27">
        <v>2.7999999999999998E-4</v>
      </c>
      <c r="H88" s="27">
        <v>2.1000000000000001E-4</v>
      </c>
      <c r="I88" s="27">
        <v>1.6000000000000001E-4</v>
      </c>
      <c r="J88" s="27">
        <v>1.2999999999999999E-4</v>
      </c>
      <c r="K88" s="27">
        <v>1E-4</v>
      </c>
      <c r="L88" s="28">
        <v>8.7000000000000001E-5</v>
      </c>
      <c r="M88" s="28">
        <v>6.3999999999999997E-5</v>
      </c>
      <c r="N88" s="28">
        <v>4.8999999999999998E-5</v>
      </c>
      <c r="O88" s="28">
        <v>3.8999999999999999E-5</v>
      </c>
      <c r="P88" s="28">
        <v>2.6999999999999999E-5</v>
      </c>
    </row>
    <row r="89" spans="2:16" s="22" customFormat="1" ht="11" x14ac:dyDescent="0.25">
      <c r="B89" s="48" t="s">
        <v>282</v>
      </c>
      <c r="C89" s="26" t="s">
        <v>280</v>
      </c>
      <c r="D89" s="27">
        <v>4.8000000000000001E-4</v>
      </c>
      <c r="E89" s="27">
        <v>4.4000000000000002E-4</v>
      </c>
      <c r="F89" s="27">
        <v>4.0000000000000002E-4</v>
      </c>
      <c r="G89" s="27">
        <v>2.7999999999999998E-4</v>
      </c>
      <c r="H89" s="27">
        <v>2.0000000000000001E-4</v>
      </c>
      <c r="I89" s="27">
        <v>1.6000000000000001E-4</v>
      </c>
      <c r="J89" s="27">
        <v>1.2E-4</v>
      </c>
      <c r="K89" s="27">
        <v>1E-4</v>
      </c>
      <c r="L89" s="28">
        <v>8.6000000000000003E-5</v>
      </c>
      <c r="M89" s="28">
        <v>6.3E-5</v>
      </c>
      <c r="N89" s="28">
        <v>4.8999999999999998E-5</v>
      </c>
      <c r="O89" s="28">
        <v>3.8999999999999999E-5</v>
      </c>
      <c r="P89" s="28">
        <v>2.6999999999999999E-5</v>
      </c>
    </row>
    <row r="90" spans="2:16" s="22" customFormat="1" ht="11" x14ac:dyDescent="0.25">
      <c r="B90" s="48" t="s">
        <v>283</v>
      </c>
      <c r="C90" s="48" t="s">
        <v>278</v>
      </c>
      <c r="D90" s="27">
        <v>5.0000000000000001E-4</v>
      </c>
      <c r="E90" s="27">
        <v>4.6000000000000001E-4</v>
      </c>
      <c r="F90" s="27">
        <v>4.2000000000000002E-4</v>
      </c>
      <c r="G90" s="27">
        <v>2.7999999999999998E-4</v>
      </c>
      <c r="H90" s="27">
        <v>2.1000000000000001E-4</v>
      </c>
      <c r="I90" s="27">
        <v>1.6000000000000001E-4</v>
      </c>
      <c r="J90" s="27">
        <v>1.2999999999999999E-4</v>
      </c>
      <c r="K90" s="27">
        <v>1E-4</v>
      </c>
      <c r="L90" s="28">
        <v>8.7000000000000001E-5</v>
      </c>
      <c r="M90" s="28">
        <v>6.3999999999999997E-5</v>
      </c>
      <c r="N90" s="28">
        <v>4.8999999999999998E-5</v>
      </c>
      <c r="O90" s="28">
        <v>3.8999999999999999E-5</v>
      </c>
      <c r="P90" s="28">
        <v>2.6999999999999999E-5</v>
      </c>
    </row>
    <row r="91" spans="2:16" s="22" customFormat="1" ht="11" x14ac:dyDescent="0.25">
      <c r="B91" s="48" t="s">
        <v>283</v>
      </c>
      <c r="C91" s="26" t="s">
        <v>280</v>
      </c>
      <c r="D91" s="27">
        <v>4.8000000000000001E-4</v>
      </c>
      <c r="E91" s="27">
        <v>4.4000000000000002E-4</v>
      </c>
      <c r="F91" s="27">
        <v>4.0000000000000002E-4</v>
      </c>
      <c r="G91" s="27">
        <v>2.7999999999999998E-4</v>
      </c>
      <c r="H91" s="27">
        <v>2.0000000000000001E-4</v>
      </c>
      <c r="I91" s="27">
        <v>1.6000000000000001E-4</v>
      </c>
      <c r="J91" s="27">
        <v>1.2999999999999999E-4</v>
      </c>
      <c r="K91" s="27">
        <v>1E-4</v>
      </c>
      <c r="L91" s="28">
        <v>8.6000000000000003E-5</v>
      </c>
      <c r="M91" s="28">
        <v>6.3E-5</v>
      </c>
      <c r="N91" s="28">
        <v>4.8999999999999998E-5</v>
      </c>
      <c r="O91" s="28">
        <v>3.8999999999999999E-5</v>
      </c>
      <c r="P91" s="28">
        <v>2.6999999999999999E-5</v>
      </c>
    </row>
    <row r="92" spans="2:16" s="22" customFormat="1" ht="11" x14ac:dyDescent="0.25">
      <c r="B92" s="48" t="s">
        <v>284</v>
      </c>
      <c r="C92" s="26" t="s">
        <v>280</v>
      </c>
      <c r="D92" s="27">
        <v>4.2000000000000002E-4</v>
      </c>
      <c r="E92" s="27">
        <v>3.8999999999999999E-4</v>
      </c>
      <c r="F92" s="27">
        <v>3.6000000000000002E-4</v>
      </c>
      <c r="G92" s="27">
        <v>2.5000000000000001E-4</v>
      </c>
      <c r="H92" s="27">
        <v>1.9000000000000001E-4</v>
      </c>
      <c r="I92" s="27">
        <v>1.4999999999999999E-4</v>
      </c>
      <c r="J92" s="27">
        <v>1.2E-4</v>
      </c>
      <c r="K92" s="27">
        <v>9.7999999999999997E-5</v>
      </c>
      <c r="L92" s="28">
        <v>8.2999999999999998E-5</v>
      </c>
      <c r="M92" s="28">
        <v>6.0999999999999999E-5</v>
      </c>
      <c r="N92" s="28">
        <v>4.8000000000000001E-5</v>
      </c>
      <c r="O92" s="28">
        <v>3.8000000000000002E-5</v>
      </c>
      <c r="P92" s="28">
        <v>2.6999999999999999E-5</v>
      </c>
    </row>
    <row r="93" spans="2:16" s="22" customFormat="1" ht="6.65" customHeight="1" x14ac:dyDescent="0.25">
      <c r="B93" s="650"/>
      <c r="C93" s="650"/>
      <c r="D93" s="650"/>
      <c r="E93" s="650"/>
      <c r="F93" s="650"/>
      <c r="G93" s="650"/>
      <c r="H93" s="650"/>
      <c r="I93" s="650"/>
      <c r="J93" s="650"/>
      <c r="K93" s="650"/>
      <c r="L93" s="650"/>
      <c r="M93" s="650"/>
      <c r="N93" s="650"/>
      <c r="O93" s="650"/>
      <c r="P93" s="650"/>
    </row>
    <row r="94" spans="2:16" s="22" customFormat="1" ht="13.4" hidden="1" customHeight="1" x14ac:dyDescent="0.25">
      <c r="B94" s="650"/>
      <c r="C94" s="650"/>
      <c r="D94" s="650"/>
      <c r="E94" s="650"/>
      <c r="F94" s="650"/>
      <c r="G94" s="650"/>
      <c r="H94" s="650"/>
      <c r="I94" s="650"/>
      <c r="J94" s="650"/>
      <c r="K94" s="650"/>
      <c r="L94" s="650"/>
      <c r="M94" s="650"/>
      <c r="N94" s="650"/>
      <c r="O94" s="650"/>
      <c r="P94" s="650"/>
    </row>
    <row r="95" spans="2:16" s="22" customFormat="1" ht="17.5" x14ac:dyDescent="0.35">
      <c r="B95" s="651" t="s">
        <v>285</v>
      </c>
      <c r="C95" s="651"/>
      <c r="D95" s="651"/>
      <c r="E95" s="651"/>
      <c r="F95" s="651"/>
      <c r="G95" s="651"/>
      <c r="H95" s="651"/>
      <c r="I95" s="651"/>
      <c r="J95" s="651"/>
      <c r="K95" s="651"/>
      <c r="L95" s="651"/>
      <c r="M95" s="651"/>
      <c r="N95" s="651"/>
      <c r="O95" s="651"/>
      <c r="P95" s="651"/>
    </row>
    <row r="96" spans="2:16" s="22" customFormat="1" ht="12.5" x14ac:dyDescent="0.25">
      <c r="B96" s="20" t="s">
        <v>273</v>
      </c>
      <c r="C96" s="21" t="s">
        <v>274</v>
      </c>
      <c r="D96" s="663" t="s">
        <v>264</v>
      </c>
      <c r="E96" s="663"/>
      <c r="F96" s="663"/>
      <c r="G96" s="663"/>
      <c r="H96" s="663"/>
      <c r="I96" s="663"/>
      <c r="J96" s="663"/>
      <c r="K96" s="663"/>
      <c r="L96" s="663"/>
      <c r="M96" s="663"/>
      <c r="N96" s="663"/>
      <c r="O96" s="663"/>
      <c r="P96" s="663"/>
    </row>
    <row r="97" spans="2:16" s="22" customFormat="1" ht="12.5" x14ac:dyDescent="0.25">
      <c r="B97" s="23" t="s">
        <v>275</v>
      </c>
      <c r="C97" s="23" t="s">
        <v>276</v>
      </c>
      <c r="D97" s="49">
        <v>50</v>
      </c>
      <c r="E97" s="49">
        <v>60</v>
      </c>
      <c r="F97" s="49">
        <v>70</v>
      </c>
      <c r="G97" s="49">
        <v>80</v>
      </c>
      <c r="H97" s="49">
        <v>90</v>
      </c>
      <c r="I97" s="49">
        <v>100</v>
      </c>
      <c r="J97" s="50">
        <v>110</v>
      </c>
      <c r="K97" s="50">
        <v>120</v>
      </c>
      <c r="L97" s="50">
        <v>130</v>
      </c>
      <c r="M97" s="50">
        <v>140</v>
      </c>
      <c r="N97" s="50">
        <v>150</v>
      </c>
      <c r="O97" s="50">
        <v>160</v>
      </c>
      <c r="P97" s="50">
        <v>170</v>
      </c>
    </row>
    <row r="98" spans="2:16" s="22" customFormat="1" ht="12.5" x14ac:dyDescent="0.25">
      <c r="B98" s="51" t="s">
        <v>277</v>
      </c>
      <c r="C98" s="51" t="s">
        <v>278</v>
      </c>
      <c r="D98" s="52">
        <v>4.8</v>
      </c>
      <c r="E98" s="52">
        <v>3.7</v>
      </c>
      <c r="F98" s="52">
        <v>2.9</v>
      </c>
      <c r="G98" s="52">
        <v>2.4</v>
      </c>
      <c r="H98" s="52">
        <v>2</v>
      </c>
      <c r="I98" s="53">
        <v>1.7</v>
      </c>
      <c r="J98" s="53">
        <v>1.4</v>
      </c>
      <c r="K98" s="53">
        <v>1.2</v>
      </c>
      <c r="L98" s="53">
        <v>1.1000000000000001</v>
      </c>
      <c r="M98" s="53">
        <v>0.97</v>
      </c>
      <c r="N98" s="53">
        <v>0.87</v>
      </c>
      <c r="O98" s="53">
        <v>0.78</v>
      </c>
      <c r="P98" s="53">
        <v>0.71</v>
      </c>
    </row>
    <row r="99" spans="2:16" s="22" customFormat="1" ht="12.5" x14ac:dyDescent="0.25">
      <c r="B99" s="51" t="s">
        <v>279</v>
      </c>
      <c r="C99" s="51" t="s">
        <v>278</v>
      </c>
      <c r="D99" s="52">
        <v>4.0999999999999996</v>
      </c>
      <c r="E99" s="52">
        <v>3.1</v>
      </c>
      <c r="F99" s="52">
        <v>2.5</v>
      </c>
      <c r="G99" s="52">
        <v>2</v>
      </c>
      <c r="H99" s="52">
        <v>1.7</v>
      </c>
      <c r="I99" s="53">
        <v>1.4</v>
      </c>
      <c r="J99" s="53">
        <v>1.2</v>
      </c>
      <c r="K99" s="53">
        <v>1.1000000000000001</v>
      </c>
      <c r="L99" s="53">
        <v>0.95</v>
      </c>
      <c r="M99" s="53">
        <v>0.84</v>
      </c>
      <c r="N99" s="53">
        <v>0.76</v>
      </c>
      <c r="O99" s="53">
        <v>0.68</v>
      </c>
      <c r="P99" s="53">
        <v>0.62</v>
      </c>
    </row>
    <row r="100" spans="2:16" s="22" customFormat="1" ht="12.5" x14ac:dyDescent="0.25">
      <c r="B100" s="51" t="s">
        <v>279</v>
      </c>
      <c r="C100" s="54" t="s">
        <v>280</v>
      </c>
      <c r="D100" s="52">
        <v>3.5</v>
      </c>
      <c r="E100" s="52">
        <v>2.8</v>
      </c>
      <c r="F100" s="52">
        <v>2.2000000000000002</v>
      </c>
      <c r="G100" s="52">
        <v>1.9</v>
      </c>
      <c r="H100" s="52">
        <v>1.6</v>
      </c>
      <c r="I100" s="53">
        <v>1.3</v>
      </c>
      <c r="J100" s="53">
        <v>1.2</v>
      </c>
      <c r="K100" s="52">
        <v>1</v>
      </c>
      <c r="L100" s="55">
        <v>0.9</v>
      </c>
      <c r="M100" s="55">
        <v>0.8</v>
      </c>
      <c r="N100" s="53">
        <v>0.72</v>
      </c>
      <c r="O100" s="53">
        <v>0.65</v>
      </c>
      <c r="P100" s="53">
        <v>0.59</v>
      </c>
    </row>
    <row r="101" spans="2:16" s="22" customFormat="1" ht="12.5" x14ac:dyDescent="0.25">
      <c r="B101" s="51" t="s">
        <v>281</v>
      </c>
      <c r="C101" s="51" t="s">
        <v>278</v>
      </c>
      <c r="D101" s="52">
        <v>4</v>
      </c>
      <c r="E101" s="52">
        <v>3.1</v>
      </c>
      <c r="F101" s="52">
        <v>2.5</v>
      </c>
      <c r="G101" s="52">
        <v>2</v>
      </c>
      <c r="H101" s="52">
        <v>1.7</v>
      </c>
      <c r="I101" s="53">
        <v>1.4</v>
      </c>
      <c r="J101" s="53">
        <v>1.2</v>
      </c>
      <c r="K101" s="53">
        <v>1.1000000000000001</v>
      </c>
      <c r="L101" s="53">
        <v>0.94</v>
      </c>
      <c r="M101" s="53">
        <v>0.84</v>
      </c>
      <c r="N101" s="53">
        <v>0.75</v>
      </c>
      <c r="O101" s="53">
        <v>0.68</v>
      </c>
      <c r="P101" s="53">
        <v>0.62</v>
      </c>
    </row>
    <row r="102" spans="2:16" s="22" customFormat="1" ht="12.5" x14ac:dyDescent="0.25">
      <c r="B102" s="51" t="s">
        <v>281</v>
      </c>
      <c r="C102" s="54" t="s">
        <v>280</v>
      </c>
      <c r="D102" s="52">
        <v>3.3</v>
      </c>
      <c r="E102" s="52">
        <v>2.6</v>
      </c>
      <c r="F102" s="52">
        <v>2.1</v>
      </c>
      <c r="G102" s="52">
        <v>1.8</v>
      </c>
      <c r="H102" s="52">
        <v>1.5</v>
      </c>
      <c r="I102" s="53">
        <v>1.3</v>
      </c>
      <c r="J102" s="53">
        <v>1.1000000000000001</v>
      </c>
      <c r="K102" s="53">
        <v>0.97</v>
      </c>
      <c r="L102" s="53">
        <v>0.86</v>
      </c>
      <c r="M102" s="53">
        <v>0.77</v>
      </c>
      <c r="N102" s="53">
        <v>0.69</v>
      </c>
      <c r="O102" s="53">
        <v>0.63</v>
      </c>
      <c r="P102" s="53">
        <v>0.56999999999999995</v>
      </c>
    </row>
    <row r="103" spans="2:16" s="22" customFormat="1" ht="12.5" x14ac:dyDescent="0.25">
      <c r="B103" s="51" t="s">
        <v>282</v>
      </c>
      <c r="C103" s="51" t="s">
        <v>278</v>
      </c>
      <c r="D103" s="52">
        <v>4</v>
      </c>
      <c r="E103" s="52">
        <v>3.1</v>
      </c>
      <c r="F103" s="52">
        <v>2.4</v>
      </c>
      <c r="G103" s="52">
        <v>2</v>
      </c>
      <c r="H103" s="52">
        <v>1.7</v>
      </c>
      <c r="I103" s="53">
        <v>1.4</v>
      </c>
      <c r="J103" s="53">
        <v>1.2</v>
      </c>
      <c r="K103" s="53">
        <v>1.1000000000000001</v>
      </c>
      <c r="L103" s="53">
        <v>0.94</v>
      </c>
      <c r="M103" s="53">
        <v>0.84</v>
      </c>
      <c r="N103" s="53">
        <v>0.75</v>
      </c>
      <c r="O103" s="53">
        <v>0.68</v>
      </c>
      <c r="P103" s="53">
        <v>0.62</v>
      </c>
    </row>
    <row r="104" spans="2:16" s="22" customFormat="1" ht="12.5" x14ac:dyDescent="0.25">
      <c r="B104" s="51" t="s">
        <v>282</v>
      </c>
      <c r="C104" s="54" t="s">
        <v>280</v>
      </c>
      <c r="D104" s="52">
        <v>2.9</v>
      </c>
      <c r="E104" s="52">
        <v>2.4</v>
      </c>
      <c r="F104" s="52">
        <v>2</v>
      </c>
      <c r="G104" s="52">
        <v>1.6</v>
      </c>
      <c r="H104" s="52">
        <v>1.4</v>
      </c>
      <c r="I104" s="53">
        <v>1.2</v>
      </c>
      <c r="J104" s="53">
        <v>1.1000000000000001</v>
      </c>
      <c r="K104" s="53">
        <v>0.93</v>
      </c>
      <c r="L104" s="53">
        <v>0.83</v>
      </c>
      <c r="M104" s="53">
        <v>0.74</v>
      </c>
      <c r="N104" s="53">
        <v>0.67</v>
      </c>
      <c r="O104" s="53">
        <v>0.61</v>
      </c>
      <c r="P104" s="53">
        <v>0.56000000000000005</v>
      </c>
    </row>
    <row r="105" spans="2:16" s="22" customFormat="1" ht="12.5" x14ac:dyDescent="0.25">
      <c r="B105" s="51" t="s">
        <v>283</v>
      </c>
      <c r="C105" s="51" t="s">
        <v>278</v>
      </c>
      <c r="D105" s="52">
        <v>3.7</v>
      </c>
      <c r="E105" s="52">
        <v>2.9</v>
      </c>
      <c r="F105" s="52">
        <v>2.2999999999999998</v>
      </c>
      <c r="G105" s="52">
        <v>1.9</v>
      </c>
      <c r="H105" s="52">
        <v>1.6</v>
      </c>
      <c r="I105" s="53">
        <v>1.4</v>
      </c>
      <c r="J105" s="53">
        <v>1.2</v>
      </c>
      <c r="K105" s="52">
        <v>1</v>
      </c>
      <c r="L105" s="53">
        <v>0.92</v>
      </c>
      <c r="M105" s="53">
        <v>0.82</v>
      </c>
      <c r="N105" s="53">
        <v>0.74</v>
      </c>
      <c r="O105" s="53">
        <v>0.67</v>
      </c>
      <c r="P105" s="53">
        <v>0.61</v>
      </c>
    </row>
    <row r="106" spans="2:16" s="22" customFormat="1" ht="12.5" x14ac:dyDescent="0.25">
      <c r="B106" s="51" t="s">
        <v>283</v>
      </c>
      <c r="C106" s="54" t="s">
        <v>280</v>
      </c>
      <c r="D106" s="52">
        <v>2.9</v>
      </c>
      <c r="E106" s="52">
        <v>2.2999999999999998</v>
      </c>
      <c r="F106" s="52">
        <v>1.9</v>
      </c>
      <c r="G106" s="52">
        <v>1.6</v>
      </c>
      <c r="H106" s="52">
        <v>1.4</v>
      </c>
      <c r="I106" s="53">
        <v>1.2</v>
      </c>
      <c r="J106" s="52">
        <v>1</v>
      </c>
      <c r="K106" s="53">
        <v>0.92</v>
      </c>
      <c r="L106" s="53">
        <v>0.82</v>
      </c>
      <c r="M106" s="53">
        <v>0.74</v>
      </c>
      <c r="N106" s="53">
        <v>0.67</v>
      </c>
      <c r="O106" s="55">
        <v>0.6</v>
      </c>
      <c r="P106" s="53">
        <v>0.55000000000000004</v>
      </c>
    </row>
    <row r="107" spans="2:16" s="22" customFormat="1" ht="12.5" x14ac:dyDescent="0.25">
      <c r="B107" s="51" t="s">
        <v>284</v>
      </c>
      <c r="C107" s="54" t="s">
        <v>280</v>
      </c>
      <c r="D107" s="52">
        <v>1.8</v>
      </c>
      <c r="E107" s="52">
        <v>1.5</v>
      </c>
      <c r="F107" s="52">
        <v>1.3</v>
      </c>
      <c r="G107" s="52">
        <v>1.2</v>
      </c>
      <c r="H107" s="52">
        <v>1</v>
      </c>
      <c r="I107" s="53">
        <v>0.92</v>
      </c>
      <c r="J107" s="53">
        <v>0.82</v>
      </c>
      <c r="K107" s="53">
        <v>0.73</v>
      </c>
      <c r="L107" s="53">
        <v>0.66</v>
      </c>
      <c r="M107" s="55">
        <v>0.6</v>
      </c>
      <c r="N107" s="53">
        <v>0.55000000000000004</v>
      </c>
      <c r="O107" s="53">
        <v>0.51</v>
      </c>
      <c r="P107" s="53">
        <v>0.47</v>
      </c>
    </row>
    <row r="108" spans="2:16" s="22" customFormat="1" ht="12.5" x14ac:dyDescent="0.25">
      <c r="B108" s="20" t="s">
        <v>273</v>
      </c>
      <c r="C108" s="21" t="s">
        <v>274</v>
      </c>
      <c r="D108" s="663" t="s">
        <v>264</v>
      </c>
      <c r="E108" s="663"/>
      <c r="F108" s="663"/>
      <c r="G108" s="663"/>
      <c r="H108" s="663"/>
      <c r="I108" s="663"/>
      <c r="J108" s="663"/>
      <c r="K108" s="663"/>
      <c r="L108" s="663"/>
      <c r="M108" s="663"/>
      <c r="N108" s="663"/>
      <c r="O108" s="663"/>
      <c r="P108" s="663"/>
    </row>
    <row r="109" spans="2:16" s="22" customFormat="1" ht="12.5" x14ac:dyDescent="0.25">
      <c r="B109" s="23" t="s">
        <v>275</v>
      </c>
      <c r="C109" s="23" t="s">
        <v>276</v>
      </c>
      <c r="D109" s="50">
        <v>180</v>
      </c>
      <c r="E109" s="50">
        <v>190</v>
      </c>
      <c r="F109" s="50">
        <v>200</v>
      </c>
      <c r="G109" s="50">
        <v>250</v>
      </c>
      <c r="H109" s="50">
        <v>300</v>
      </c>
      <c r="I109" s="50">
        <v>350</v>
      </c>
      <c r="J109" s="50">
        <v>400</v>
      </c>
      <c r="K109" s="50">
        <v>450</v>
      </c>
      <c r="L109" s="50">
        <v>500</v>
      </c>
      <c r="M109" s="50">
        <v>600</v>
      </c>
      <c r="N109" s="50">
        <v>700</v>
      </c>
      <c r="O109" s="50">
        <v>800</v>
      </c>
      <c r="P109" s="50">
        <v>1000</v>
      </c>
    </row>
    <row r="110" spans="2:16" s="22" customFormat="1" ht="12.5" x14ac:dyDescent="0.25">
      <c r="B110" s="51" t="s">
        <v>277</v>
      </c>
      <c r="C110" s="51" t="s">
        <v>278</v>
      </c>
      <c r="D110" s="55">
        <v>0.65</v>
      </c>
      <c r="E110" s="55">
        <v>0.59</v>
      </c>
      <c r="F110" s="55">
        <v>0.55000000000000004</v>
      </c>
      <c r="G110" s="55">
        <v>0.38</v>
      </c>
      <c r="H110" s="55">
        <v>0.28999999999999998</v>
      </c>
      <c r="I110" s="55">
        <v>0.22</v>
      </c>
      <c r="J110" s="55">
        <v>0.18</v>
      </c>
      <c r="K110" s="55">
        <v>0.15</v>
      </c>
      <c r="L110" s="53">
        <v>0.13</v>
      </c>
      <c r="M110" s="56">
        <v>9.5000000000000001E-2</v>
      </c>
      <c r="N110" s="56">
        <v>7.3999999999999996E-2</v>
      </c>
      <c r="O110" s="56">
        <v>0.06</v>
      </c>
      <c r="P110" s="53">
        <v>4.2999999999999997E-2</v>
      </c>
    </row>
    <row r="111" spans="2:16" s="22" customFormat="1" ht="12.5" x14ac:dyDescent="0.25">
      <c r="B111" s="51" t="s">
        <v>279</v>
      </c>
      <c r="C111" s="51" t="s">
        <v>278</v>
      </c>
      <c r="D111" s="55">
        <v>0.56999999999999995</v>
      </c>
      <c r="E111" s="55">
        <v>0.52</v>
      </c>
      <c r="F111" s="55">
        <v>0.48</v>
      </c>
      <c r="G111" s="55">
        <v>0.33</v>
      </c>
      <c r="H111" s="55">
        <v>0.25</v>
      </c>
      <c r="I111" s="55">
        <v>0.2</v>
      </c>
      <c r="J111" s="55">
        <v>0.16</v>
      </c>
      <c r="K111" s="55">
        <v>0.13</v>
      </c>
      <c r="L111" s="53">
        <v>0.11</v>
      </c>
      <c r="M111" s="56">
        <v>8.3000000000000004E-2</v>
      </c>
      <c r="N111" s="56">
        <v>6.5000000000000002E-2</v>
      </c>
      <c r="O111" s="56">
        <v>5.2999999999999999E-2</v>
      </c>
      <c r="P111" s="53">
        <v>3.7999999999999999E-2</v>
      </c>
    </row>
    <row r="112" spans="2:16" s="22" customFormat="1" ht="12.5" x14ac:dyDescent="0.25">
      <c r="B112" s="51" t="s">
        <v>279</v>
      </c>
      <c r="C112" s="54" t="s">
        <v>280</v>
      </c>
      <c r="D112" s="55">
        <v>0.54</v>
      </c>
      <c r="E112" s="55">
        <v>0.5</v>
      </c>
      <c r="F112" s="55">
        <v>0.46</v>
      </c>
      <c r="G112" s="55">
        <v>0.32</v>
      </c>
      <c r="H112" s="55">
        <v>0.24</v>
      </c>
      <c r="I112" s="55">
        <v>0.19</v>
      </c>
      <c r="J112" s="55">
        <v>0.15</v>
      </c>
      <c r="K112" s="55">
        <v>0.13</v>
      </c>
      <c r="L112" s="53">
        <v>0.11</v>
      </c>
      <c r="M112" s="56">
        <v>8.1000000000000003E-2</v>
      </c>
      <c r="N112" s="56">
        <v>6.4000000000000001E-2</v>
      </c>
      <c r="O112" s="56">
        <v>5.1999999999999998E-2</v>
      </c>
      <c r="P112" s="53">
        <v>3.6999999999999998E-2</v>
      </c>
    </row>
    <row r="113" spans="2:16" s="22" customFormat="1" ht="12.5" x14ac:dyDescent="0.25">
      <c r="B113" s="51" t="s">
        <v>281</v>
      </c>
      <c r="C113" s="51" t="s">
        <v>278</v>
      </c>
      <c r="D113" s="55">
        <v>0.56000000000000005</v>
      </c>
      <c r="E113" s="55">
        <v>0.52</v>
      </c>
      <c r="F113" s="55">
        <v>0.48</v>
      </c>
      <c r="G113" s="55">
        <v>0.33</v>
      </c>
      <c r="H113" s="55">
        <v>0.25</v>
      </c>
      <c r="I113" s="55">
        <v>0.2</v>
      </c>
      <c r="J113" s="55">
        <v>0.16</v>
      </c>
      <c r="K113" s="55">
        <v>0.13</v>
      </c>
      <c r="L113" s="53">
        <v>0.11</v>
      </c>
      <c r="M113" s="56">
        <v>8.3000000000000004E-2</v>
      </c>
      <c r="N113" s="56">
        <v>6.5000000000000002E-2</v>
      </c>
      <c r="O113" s="56">
        <v>5.2999999999999999E-2</v>
      </c>
      <c r="P113" s="53">
        <v>3.7999999999999999E-2</v>
      </c>
    </row>
    <row r="114" spans="2:16" s="22" customFormat="1" ht="12.5" x14ac:dyDescent="0.25">
      <c r="B114" s="51" t="s">
        <v>281</v>
      </c>
      <c r="C114" s="54" t="s">
        <v>280</v>
      </c>
      <c r="D114" s="55">
        <v>0.53</v>
      </c>
      <c r="E114" s="55">
        <v>0.48</v>
      </c>
      <c r="F114" s="55">
        <v>0.45</v>
      </c>
      <c r="G114" s="55">
        <v>0.31</v>
      </c>
      <c r="H114" s="55">
        <v>0.24</v>
      </c>
      <c r="I114" s="55">
        <v>0.19</v>
      </c>
      <c r="J114" s="55">
        <v>0.15</v>
      </c>
      <c r="K114" s="55">
        <v>0.12</v>
      </c>
      <c r="L114" s="53">
        <v>0.11</v>
      </c>
      <c r="M114" s="56">
        <v>0.08</v>
      </c>
      <c r="N114" s="56">
        <v>6.3E-2</v>
      </c>
      <c r="O114" s="56">
        <v>5.0999999999999997E-2</v>
      </c>
      <c r="P114" s="53">
        <v>3.5999999999999997E-2</v>
      </c>
    </row>
    <row r="115" spans="2:16" s="22" customFormat="1" ht="12.5" x14ac:dyDescent="0.25">
      <c r="B115" s="51" t="s">
        <v>282</v>
      </c>
      <c r="C115" s="51" t="s">
        <v>278</v>
      </c>
      <c r="D115" s="55">
        <v>0.56000000000000005</v>
      </c>
      <c r="E115" s="55">
        <v>0.52</v>
      </c>
      <c r="F115" s="55">
        <v>0.48</v>
      </c>
      <c r="G115" s="55">
        <v>0.33</v>
      </c>
      <c r="H115" s="55">
        <v>0.25</v>
      </c>
      <c r="I115" s="55">
        <v>0.19</v>
      </c>
      <c r="J115" s="55">
        <v>0.16</v>
      </c>
      <c r="K115" s="55">
        <v>0.13</v>
      </c>
      <c r="L115" s="53">
        <v>0.11</v>
      </c>
      <c r="M115" s="56">
        <v>8.3000000000000004E-2</v>
      </c>
      <c r="N115" s="56">
        <v>6.5000000000000002E-2</v>
      </c>
      <c r="O115" s="56">
        <v>5.2999999999999999E-2</v>
      </c>
      <c r="P115" s="53">
        <v>3.7999999999999999E-2</v>
      </c>
    </row>
    <row r="116" spans="2:16" s="22" customFormat="1" ht="12.5" x14ac:dyDescent="0.25">
      <c r="B116" s="51" t="s">
        <v>282</v>
      </c>
      <c r="C116" s="54" t="s">
        <v>280</v>
      </c>
      <c r="D116" s="55">
        <v>0.51</v>
      </c>
      <c r="E116" s="55">
        <v>0.47</v>
      </c>
      <c r="F116" s="55">
        <v>0.43</v>
      </c>
      <c r="G116" s="55">
        <v>0.31</v>
      </c>
      <c r="H116" s="55">
        <v>0.23</v>
      </c>
      <c r="I116" s="55">
        <v>0.18</v>
      </c>
      <c r="J116" s="55">
        <v>0.15</v>
      </c>
      <c r="K116" s="55">
        <v>0.12</v>
      </c>
      <c r="L116" s="55">
        <v>0.1</v>
      </c>
      <c r="M116" s="56">
        <v>7.8E-2</v>
      </c>
      <c r="N116" s="56">
        <v>6.2E-2</v>
      </c>
      <c r="O116" s="56">
        <v>0.05</v>
      </c>
      <c r="P116" s="53">
        <v>3.5000000000000003E-2</v>
      </c>
    </row>
    <row r="117" spans="2:16" s="22" customFormat="1" ht="12.5" x14ac:dyDescent="0.25">
      <c r="B117" s="51" t="s">
        <v>283</v>
      </c>
      <c r="C117" s="51" t="s">
        <v>278</v>
      </c>
      <c r="D117" s="55">
        <v>0.55000000000000004</v>
      </c>
      <c r="E117" s="55">
        <v>0.51</v>
      </c>
      <c r="F117" s="55">
        <v>0.47</v>
      </c>
      <c r="G117" s="55">
        <v>0.33</v>
      </c>
      <c r="H117" s="55">
        <v>0.25</v>
      </c>
      <c r="I117" s="55">
        <v>0.19</v>
      </c>
      <c r="J117" s="55">
        <v>0.16</v>
      </c>
      <c r="K117" s="55">
        <v>0.13</v>
      </c>
      <c r="L117" s="55">
        <v>0.11</v>
      </c>
      <c r="M117" s="56">
        <v>8.3000000000000004E-2</v>
      </c>
      <c r="N117" s="56">
        <v>6.5000000000000002E-2</v>
      </c>
      <c r="O117" s="56">
        <v>5.2999999999999999E-2</v>
      </c>
      <c r="P117" s="53">
        <v>3.6999999999999998E-2</v>
      </c>
    </row>
    <row r="118" spans="2:16" s="22" customFormat="1" ht="12.5" x14ac:dyDescent="0.25">
      <c r="B118" s="51" t="s">
        <v>283</v>
      </c>
      <c r="C118" s="54" t="s">
        <v>280</v>
      </c>
      <c r="D118" s="55">
        <v>0.51</v>
      </c>
      <c r="E118" s="55">
        <v>0.47</v>
      </c>
      <c r="F118" s="55">
        <v>0.43</v>
      </c>
      <c r="G118" s="55">
        <v>0.31</v>
      </c>
      <c r="H118" s="55">
        <v>0.23</v>
      </c>
      <c r="I118" s="55">
        <v>0.18</v>
      </c>
      <c r="J118" s="55">
        <v>0.15</v>
      </c>
      <c r="K118" s="55">
        <v>0.12</v>
      </c>
      <c r="L118" s="55">
        <v>0.1</v>
      </c>
      <c r="M118" s="56">
        <v>7.8E-2</v>
      </c>
      <c r="N118" s="56">
        <v>6.2E-2</v>
      </c>
      <c r="O118" s="56">
        <v>0.05</v>
      </c>
      <c r="P118" s="53">
        <v>3.5000000000000003E-2</v>
      </c>
    </row>
    <row r="119" spans="2:16" s="22" customFormat="1" ht="12.5" x14ac:dyDescent="0.25">
      <c r="B119" s="51" t="s">
        <v>284</v>
      </c>
      <c r="C119" s="54" t="s">
        <v>280</v>
      </c>
      <c r="D119" s="55">
        <v>0.43</v>
      </c>
      <c r="E119" s="55">
        <v>0.4</v>
      </c>
      <c r="F119" s="55">
        <v>0.37</v>
      </c>
      <c r="G119" s="55">
        <v>0.27</v>
      </c>
      <c r="H119" s="55">
        <v>0.21</v>
      </c>
      <c r="I119" s="55">
        <v>0.17</v>
      </c>
      <c r="J119" s="55">
        <v>0.14000000000000001</v>
      </c>
      <c r="K119" s="55">
        <v>0.12</v>
      </c>
      <c r="L119" s="53">
        <v>9.8000000000000004E-2</v>
      </c>
      <c r="M119" s="53">
        <v>7.4999999999999997E-2</v>
      </c>
      <c r="N119" s="53">
        <v>5.8999999999999997E-2</v>
      </c>
      <c r="O119" s="53">
        <v>4.8000000000000001E-2</v>
      </c>
      <c r="P119" s="53">
        <v>3.4000000000000002E-2</v>
      </c>
    </row>
    <row r="120" spans="2:16" s="47" customFormat="1" ht="18" customHeight="1" x14ac:dyDescent="0.25">
      <c r="B120" s="659" t="s">
        <v>286</v>
      </c>
      <c r="C120" s="660"/>
      <c r="D120" s="660"/>
      <c r="E120" s="660"/>
      <c r="F120" s="660"/>
      <c r="G120" s="660"/>
      <c r="H120" s="660"/>
      <c r="I120" s="660"/>
      <c r="J120" s="660"/>
      <c r="K120" s="660"/>
      <c r="L120" s="660"/>
      <c r="M120" s="660"/>
      <c r="N120" s="660"/>
      <c r="O120" s="660"/>
      <c r="P120" s="660"/>
    </row>
    <row r="121" spans="2:16" s="47" customFormat="1" ht="91.5" customHeight="1" x14ac:dyDescent="0.25">
      <c r="B121" s="661" t="s">
        <v>287</v>
      </c>
      <c r="C121" s="661"/>
      <c r="D121" s="661"/>
      <c r="E121" s="661"/>
      <c r="F121" s="661"/>
      <c r="G121" s="661"/>
      <c r="H121" s="661"/>
      <c r="I121" s="661"/>
      <c r="J121" s="661"/>
      <c r="K121" s="661"/>
      <c r="L121" s="661"/>
      <c r="M121" s="661"/>
      <c r="N121" s="661"/>
      <c r="O121" s="661"/>
      <c r="P121" s="661"/>
    </row>
    <row r="122" spans="2:16" ht="72.75" customHeight="1" x14ac:dyDescent="0.35">
      <c r="B122" s="661" t="s">
        <v>288</v>
      </c>
      <c r="C122" s="662"/>
      <c r="D122" s="662"/>
      <c r="E122" s="662"/>
      <c r="F122" s="662"/>
      <c r="G122" s="662"/>
      <c r="H122" s="662"/>
      <c r="I122" s="662"/>
      <c r="J122" s="662"/>
      <c r="K122" s="662"/>
      <c r="L122" s="662"/>
      <c r="M122" s="662"/>
      <c r="N122" s="662"/>
      <c r="O122" s="662"/>
      <c r="P122" s="662"/>
    </row>
    <row r="123" spans="2:16" ht="15" customHeight="1" x14ac:dyDescent="0.35">
      <c r="B123" t="s">
        <v>270</v>
      </c>
      <c r="C123" s="57"/>
      <c r="D123" s="57"/>
      <c r="E123" s="57"/>
      <c r="F123" s="57"/>
      <c r="G123" s="57"/>
      <c r="H123" s="57"/>
      <c r="I123" s="57"/>
      <c r="J123" s="57"/>
      <c r="K123" s="57"/>
      <c r="L123" s="57"/>
      <c r="M123" s="57"/>
      <c r="N123" s="57"/>
      <c r="O123" s="57"/>
      <c r="P123" s="57"/>
    </row>
    <row r="124" spans="2:16" ht="15" customHeight="1" x14ac:dyDescent="0.35">
      <c r="B124" t="s">
        <v>271</v>
      </c>
      <c r="C124" s="57"/>
      <c r="D124" s="57"/>
      <c r="E124" s="57"/>
      <c r="F124" s="57"/>
      <c r="G124" s="57"/>
      <c r="H124" s="57"/>
      <c r="I124" s="57"/>
      <c r="J124" s="57"/>
      <c r="K124" s="57"/>
      <c r="L124" s="57"/>
      <c r="M124" s="57"/>
      <c r="N124" s="57"/>
      <c r="O124" s="57"/>
      <c r="P124" s="57"/>
    </row>
  </sheetData>
  <mergeCells count="21">
    <mergeCell ref="C67:N67"/>
    <mergeCell ref="C3:N3"/>
    <mergeCell ref="C5:N5"/>
    <mergeCell ref="B19:P20"/>
    <mergeCell ref="B21:P21"/>
    <mergeCell ref="B22:P22"/>
    <mergeCell ref="B23:P23"/>
    <mergeCell ref="D24:P24"/>
    <mergeCell ref="C36:N36"/>
    <mergeCell ref="C37:N37"/>
    <mergeCell ref="C51:N51"/>
    <mergeCell ref="C52:N52"/>
    <mergeCell ref="B120:P120"/>
    <mergeCell ref="B121:P121"/>
    <mergeCell ref="B122:P122"/>
    <mergeCell ref="C68:N68"/>
    <mergeCell ref="D81:P81"/>
    <mergeCell ref="B93:P94"/>
    <mergeCell ref="B95:P95"/>
    <mergeCell ref="D96:P96"/>
    <mergeCell ref="D108:P108"/>
  </mergeCells>
  <pageMargins left="0.7" right="0.7" top="0.75" bottom="0.75" header="0.3" footer="0.3"/>
  <pageSetup orientation="portrait" horizontalDpi="1200" verticalDpi="12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80B42-58E3-47E8-A714-EE3FAEB5130B}">
  <sheetPr>
    <tabColor theme="7" tint="0.59999389629810485"/>
  </sheetPr>
  <dimension ref="A1:AB265"/>
  <sheetViews>
    <sheetView workbookViewId="0"/>
  </sheetViews>
  <sheetFormatPr defaultRowHeight="14.5" x14ac:dyDescent="0.35"/>
  <cols>
    <col min="1" max="1" width="9.54296875" customWidth="1"/>
    <col min="2" max="2" width="24.1796875" customWidth="1"/>
    <col min="3" max="3" width="9.54296875" customWidth="1"/>
    <col min="4" max="4" width="10.81640625" customWidth="1"/>
    <col min="5" max="5" width="12.81640625" customWidth="1"/>
    <col min="6" max="6" width="14.453125" customWidth="1"/>
    <col min="7" max="7" width="16.1796875" customWidth="1"/>
    <col min="8" max="8" width="11.1796875" customWidth="1"/>
    <col min="10" max="10" width="10.81640625" customWidth="1"/>
    <col min="11" max="11" width="12.1796875" customWidth="1"/>
    <col min="21" max="21" width="39.81640625" bestFit="1" customWidth="1"/>
  </cols>
  <sheetData>
    <row r="1" spans="1:28" ht="18.75" customHeight="1" x14ac:dyDescent="0.35">
      <c r="B1" s="58"/>
      <c r="C1" s="6"/>
      <c r="D1" s="6"/>
      <c r="E1" s="59"/>
      <c r="F1" s="59"/>
      <c r="G1" s="59"/>
      <c r="H1" s="59"/>
      <c r="I1" s="59"/>
      <c r="J1" s="59"/>
      <c r="K1" s="59"/>
      <c r="L1" s="6"/>
      <c r="M1" s="6"/>
      <c r="N1" s="60"/>
      <c r="O1" s="60"/>
      <c r="P1" s="60"/>
      <c r="Q1" s="60"/>
      <c r="R1" s="60"/>
    </row>
    <row r="2" spans="1:28" ht="15" customHeight="1" x14ac:dyDescent="0.35">
      <c r="A2" s="61"/>
      <c r="B2" s="62"/>
      <c r="C2" s="63"/>
      <c r="D2" s="64"/>
      <c r="E2" s="664" t="s">
        <v>289</v>
      </c>
      <c r="F2" s="665"/>
      <c r="G2" s="666" t="s">
        <v>290</v>
      </c>
      <c r="H2" s="665"/>
      <c r="I2" s="665"/>
      <c r="J2" s="665"/>
      <c r="K2" s="65"/>
      <c r="L2" s="6"/>
      <c r="M2" s="6"/>
      <c r="N2" s="66"/>
      <c r="O2" s="67"/>
      <c r="P2" s="68"/>
      <c r="Q2" s="68"/>
      <c r="R2" s="69"/>
      <c r="V2" s="664" t="s">
        <v>289</v>
      </c>
      <c r="W2" s="665"/>
      <c r="X2" s="666" t="s">
        <v>290</v>
      </c>
      <c r="Y2" s="665"/>
      <c r="Z2" s="665"/>
      <c r="AA2" s="665"/>
      <c r="AB2" s="65"/>
    </row>
    <row r="3" spans="1:28" ht="39" customHeight="1" x14ac:dyDescent="0.35">
      <c r="A3" s="70"/>
      <c r="B3" s="71"/>
      <c r="C3" s="72"/>
      <c r="D3" s="73" t="s">
        <v>291</v>
      </c>
      <c r="E3" s="74" t="s">
        <v>292</v>
      </c>
      <c r="F3" s="75" t="s">
        <v>291</v>
      </c>
      <c r="G3" s="74" t="s">
        <v>193</v>
      </c>
      <c r="H3" s="75" t="s">
        <v>293</v>
      </c>
      <c r="I3" s="75" t="s">
        <v>195</v>
      </c>
      <c r="J3" s="75" t="s">
        <v>294</v>
      </c>
      <c r="K3" s="76" t="s">
        <v>295</v>
      </c>
      <c r="L3" s="77" t="s">
        <v>296</v>
      </c>
      <c r="M3" s="78" t="s">
        <v>297</v>
      </c>
      <c r="N3" s="79" t="s">
        <v>298</v>
      </c>
      <c r="O3" s="80" t="s">
        <v>299</v>
      </c>
      <c r="P3" s="81"/>
      <c r="Q3" s="81"/>
      <c r="R3" s="82"/>
      <c r="V3" s="74" t="s">
        <v>292</v>
      </c>
      <c r="W3" s="75" t="s">
        <v>291</v>
      </c>
      <c r="X3" s="74" t="s">
        <v>193</v>
      </c>
      <c r="Y3" s="75" t="s">
        <v>293</v>
      </c>
      <c r="Z3" s="75" t="s">
        <v>195</v>
      </c>
      <c r="AA3" s="75" t="s">
        <v>294</v>
      </c>
      <c r="AB3" s="76" t="s">
        <v>295</v>
      </c>
    </row>
    <row r="4" spans="1:28" ht="17.149999999999999" customHeight="1" x14ac:dyDescent="0.35">
      <c r="A4" s="83" t="s">
        <v>300</v>
      </c>
      <c r="B4" s="84" t="s">
        <v>301</v>
      </c>
      <c r="C4" s="75" t="s">
        <v>302</v>
      </c>
      <c r="D4" s="85" t="s">
        <v>303</v>
      </c>
      <c r="E4" s="86" t="s">
        <v>304</v>
      </c>
      <c r="F4" s="86" t="s">
        <v>304</v>
      </c>
      <c r="G4" s="86" t="s">
        <v>304</v>
      </c>
      <c r="H4" s="86" t="s">
        <v>304</v>
      </c>
      <c r="I4" s="86" t="s">
        <v>304</v>
      </c>
      <c r="J4" s="86" t="s">
        <v>304</v>
      </c>
      <c r="K4" s="87" t="s">
        <v>304</v>
      </c>
      <c r="L4" s="88" t="s">
        <v>305</v>
      </c>
      <c r="M4" s="89" t="s">
        <v>305</v>
      </c>
      <c r="N4" s="79" t="s">
        <v>306</v>
      </c>
      <c r="O4" s="90" t="s">
        <v>307</v>
      </c>
      <c r="P4" s="91" t="s">
        <v>308</v>
      </c>
      <c r="Q4" s="90" t="s">
        <v>307</v>
      </c>
      <c r="R4" s="91" t="s">
        <v>308</v>
      </c>
      <c r="V4">
        <v>5</v>
      </c>
      <c r="W4">
        <v>6</v>
      </c>
      <c r="X4">
        <v>7</v>
      </c>
      <c r="Y4">
        <v>8</v>
      </c>
      <c r="Z4">
        <v>9</v>
      </c>
      <c r="AA4">
        <v>10</v>
      </c>
      <c r="AB4">
        <v>11</v>
      </c>
    </row>
    <row r="5" spans="1:28" x14ac:dyDescent="0.35">
      <c r="A5" t="s">
        <v>309</v>
      </c>
      <c r="B5" s="58" t="s">
        <v>310</v>
      </c>
      <c r="C5" s="6"/>
      <c r="D5" s="6" t="s">
        <v>311</v>
      </c>
      <c r="E5" s="92">
        <v>0.45454545454545447</v>
      </c>
      <c r="F5" s="93">
        <v>140</v>
      </c>
      <c r="G5" s="92">
        <v>11.818181818181817</v>
      </c>
      <c r="H5" s="93">
        <v>616</v>
      </c>
      <c r="I5" s="92">
        <v>5.4545454545454533</v>
      </c>
      <c r="J5" s="93">
        <v>616</v>
      </c>
      <c r="K5" s="94">
        <v>470</v>
      </c>
      <c r="L5" s="6">
        <v>1</v>
      </c>
      <c r="M5" s="6">
        <v>1</v>
      </c>
      <c r="N5" s="60" t="s">
        <v>312</v>
      </c>
      <c r="O5" s="60">
        <v>1</v>
      </c>
      <c r="P5" s="60">
        <v>1</v>
      </c>
      <c r="Q5" s="60">
        <v>1</v>
      </c>
      <c r="R5" s="60">
        <v>1</v>
      </c>
      <c r="T5" s="95" t="s">
        <v>313</v>
      </c>
      <c r="U5" s="96" t="s">
        <v>314</v>
      </c>
      <c r="V5" s="97" cm="1">
        <f t="array" ref="V5">_xlfn.IFNA(IF(INDEX('DEQ RBC REF'!$A$5:$R$267,MATCH($T5,'DEQ RBC REF'!$A$5:$A$267, 0),V$4)="--","", (INDEX('DEQ RBC REF'!$A$5:$R$267,MATCH($T5,'DEQ RBC REF'!$A$5:$A$267, 0), V$4))), "")</f>
        <v>3.3003300330033E-2</v>
      </c>
      <c r="W5" s="97" cm="1">
        <f t="array" ref="W5">_xlfn.IFNA(IF(INDEX('DEQ RBC REF'!$A$5:$R$267,MATCH($T5,'DEQ RBC REF'!$A$5:$A$267, 0),W$4)="--","", (INDEX('DEQ RBC REF'!$A$5:$R$267,MATCH($T5,'DEQ RBC REF'!$A$5:$A$267, 0), W$4))), "")</f>
        <v>2</v>
      </c>
      <c r="X5" s="97" cm="1">
        <f t="array" ref="X5">_xlfn.IFNA(IF(INDEX('DEQ RBC REF'!$A$5:$R$267,MATCH($T5,'DEQ RBC REF'!$A$5:$A$267, 0),X$4)="--","", (INDEX('DEQ RBC REF'!$A$5:$R$267,MATCH($T5,'DEQ RBC REF'!$A$5:$A$267, 0), X$4))), "")</f>
        <v>0.85808580858085803</v>
      </c>
      <c r="Y5" s="97" cm="1">
        <f t="array" ref="Y5">_xlfn.IFNA(IF(INDEX('DEQ RBC REF'!$A$5:$R$267,MATCH($T5,'DEQ RBC REF'!$A$5:$A$267, 0),Y$4)="--","", (INDEX('DEQ RBC REF'!$A$5:$R$267,MATCH($T5,'DEQ RBC REF'!$A$5:$A$267, 0), Y$4))), "")</f>
        <v>8.8000000000000007</v>
      </c>
      <c r="Z5" s="97" cm="1">
        <f t="array" ref="Z5">_xlfn.IFNA(IF(INDEX('DEQ RBC REF'!$A$5:$R$267,MATCH($T5,'DEQ RBC REF'!$A$5:$A$267, 0),Z$4)="--","", (INDEX('DEQ RBC REF'!$A$5:$R$267,MATCH($T5,'DEQ RBC REF'!$A$5:$A$267, 0), Z$4))), "")</f>
        <v>0.396039603960396</v>
      </c>
      <c r="AA5" s="97" cm="1">
        <f t="array" ref="AA5">_xlfn.IFNA(IF(INDEX('DEQ RBC REF'!$A$5:$R$267,MATCH($T5,'DEQ RBC REF'!$A$5:$A$267, 0),AA$4)="--","", (INDEX('DEQ RBC REF'!$A$5:$R$267,MATCH($T5,'DEQ RBC REF'!$A$5:$A$267, 0), AA$4))), "")</f>
        <v>8.8000000000000007</v>
      </c>
      <c r="AB5" s="97" cm="1">
        <f t="array" ref="AB5">_xlfn.IFNA(IF(INDEX('DEQ RBC REF'!$A$5:$R$267,MATCH($T5,'DEQ RBC REF'!$A$5:$A$267, 0),AB$4)="--","", (INDEX('DEQ RBC REF'!$A$5:$R$267,MATCH($T5,'DEQ RBC REF'!$A$5:$A$267, 0), AB$4))), "")</f>
        <v>660</v>
      </c>
    </row>
    <row r="6" spans="1:28" ht="14.25" customHeight="1" x14ac:dyDescent="0.35">
      <c r="A6" t="s">
        <v>315</v>
      </c>
      <c r="B6" s="58" t="s">
        <v>316</v>
      </c>
      <c r="C6" s="6"/>
      <c r="D6" s="6" t="s">
        <v>37</v>
      </c>
      <c r="E6" s="92">
        <v>4.9999999999999996E-2</v>
      </c>
      <c r="F6" s="93" t="s">
        <v>37</v>
      </c>
      <c r="G6" s="92">
        <v>1.2999999999999998</v>
      </c>
      <c r="H6" s="93" t="s">
        <v>37</v>
      </c>
      <c r="I6" s="92">
        <v>0.6</v>
      </c>
      <c r="J6" s="93" t="s">
        <v>37</v>
      </c>
      <c r="K6" s="94" t="s">
        <v>37</v>
      </c>
      <c r="L6" s="6">
        <v>1</v>
      </c>
      <c r="M6" s="6">
        <v>1</v>
      </c>
      <c r="N6" s="60" t="s">
        <v>312</v>
      </c>
      <c r="O6" s="60">
        <v>1</v>
      </c>
      <c r="P6" s="60">
        <v>1</v>
      </c>
      <c r="Q6" s="60">
        <v>1</v>
      </c>
      <c r="R6" s="60">
        <v>1</v>
      </c>
      <c r="T6" s="95" t="s">
        <v>317</v>
      </c>
      <c r="U6" s="96" t="s">
        <v>318</v>
      </c>
      <c r="V6" s="97" t="str" cm="1">
        <f t="array" ref="V6">_xlfn.IFNA(IF(INDEX('DEQ RBC REF'!$A$5:$R$267,MATCH($T6,'DEQ RBC REF'!$A$5:$A$267, 0),V$4)="--","", (INDEX('DEQ RBC REF'!$A$5:$R$267,MATCH($T6,'DEQ RBC REF'!$A$5:$A$267, 0), V$4))), "")</f>
        <v/>
      </c>
      <c r="W6" s="97" cm="1">
        <f t="array" ref="W6">_xlfn.IFNA(IF(INDEX('DEQ RBC REF'!$A$5:$R$267,MATCH($T6,'DEQ RBC REF'!$A$5:$A$267, 0),W$4)="--","", (INDEX('DEQ RBC REF'!$A$5:$R$267,MATCH($T6,'DEQ RBC REF'!$A$5:$A$267, 0), W$4))), "")</f>
        <v>5000</v>
      </c>
      <c r="X6" s="97" t="str" cm="1">
        <f t="array" ref="X6">_xlfn.IFNA(IF(INDEX('DEQ RBC REF'!$A$5:$R$267,MATCH($T6,'DEQ RBC REF'!$A$5:$A$267, 0),X$4)="--","", (INDEX('DEQ RBC REF'!$A$5:$R$267,MATCH($T6,'DEQ RBC REF'!$A$5:$A$267, 0), X$4))), "")</f>
        <v/>
      </c>
      <c r="Y6" s="97" cm="1">
        <f t="array" ref="Y6">_xlfn.IFNA(IF(INDEX('DEQ RBC REF'!$A$5:$R$267,MATCH($T6,'DEQ RBC REF'!$A$5:$A$267, 0),Y$4)="--","", (INDEX('DEQ RBC REF'!$A$5:$R$267,MATCH($T6,'DEQ RBC REF'!$A$5:$A$267, 0), Y$4))), "")</f>
        <v>22000</v>
      </c>
      <c r="Z6" s="97" t="str" cm="1">
        <f t="array" ref="Z6">_xlfn.IFNA(IF(INDEX('DEQ RBC REF'!$A$5:$R$267,MATCH($T6,'DEQ RBC REF'!$A$5:$A$267, 0),Z$4)="--","", (INDEX('DEQ RBC REF'!$A$5:$R$267,MATCH($T6,'DEQ RBC REF'!$A$5:$A$267, 0), Z$4))), "")</f>
        <v/>
      </c>
      <c r="AA6" s="97" cm="1">
        <f t="array" ref="AA6">_xlfn.IFNA(IF(INDEX('DEQ RBC REF'!$A$5:$R$267,MATCH($T6,'DEQ RBC REF'!$A$5:$A$267, 0),AA$4)="--","", (INDEX('DEQ RBC REF'!$A$5:$R$267,MATCH($T6,'DEQ RBC REF'!$A$5:$A$267, 0), AA$4))), "")</f>
        <v>22000</v>
      </c>
      <c r="AB6" s="97" cm="1">
        <f t="array" ref="AB6">_xlfn.IFNA(IF(INDEX('DEQ RBC REF'!$A$5:$R$267,MATCH($T6,'DEQ RBC REF'!$A$5:$A$267, 0),AB$4)="--","", (INDEX('DEQ RBC REF'!$A$5:$R$267,MATCH($T6,'DEQ RBC REF'!$A$5:$A$267, 0), AB$4))), "")</f>
        <v>5000</v>
      </c>
    </row>
    <row r="7" spans="1:28" x14ac:dyDescent="0.35">
      <c r="A7" t="s">
        <v>319</v>
      </c>
      <c r="B7" s="58" t="s">
        <v>320</v>
      </c>
      <c r="C7" s="6"/>
      <c r="D7" s="6" t="s">
        <v>311</v>
      </c>
      <c r="E7" s="92" t="s">
        <v>37</v>
      </c>
      <c r="F7" s="93">
        <v>31000</v>
      </c>
      <c r="G7" s="92" t="s">
        <v>37</v>
      </c>
      <c r="H7" s="93">
        <v>136400</v>
      </c>
      <c r="I7" s="92" t="s">
        <v>37</v>
      </c>
      <c r="J7" s="93">
        <v>136400</v>
      </c>
      <c r="K7" s="94">
        <v>62000</v>
      </c>
      <c r="L7" s="6">
        <v>1</v>
      </c>
      <c r="M7" s="6">
        <v>1</v>
      </c>
      <c r="N7" s="60" t="s">
        <v>312</v>
      </c>
      <c r="O7" s="60">
        <v>1</v>
      </c>
      <c r="P7" s="60">
        <v>1</v>
      </c>
      <c r="Q7" s="60">
        <v>1</v>
      </c>
      <c r="R7" s="60">
        <v>1</v>
      </c>
      <c r="T7" s="95" t="s">
        <v>319</v>
      </c>
      <c r="U7" s="96" t="s">
        <v>320</v>
      </c>
      <c r="V7" s="97" t="str" cm="1">
        <f t="array" ref="V7">_xlfn.IFNA(IF(INDEX('DEQ RBC REF'!$A$5:$R$267,MATCH($T7,'DEQ RBC REF'!$A$5:$A$267, 0),V$4)="--","", (INDEX('DEQ RBC REF'!$A$5:$R$267,MATCH($T7,'DEQ RBC REF'!$A$5:$A$267, 0), V$4))), "")</f>
        <v/>
      </c>
      <c r="W7" s="97" cm="1">
        <f t="array" ref="W7">_xlfn.IFNA(IF(INDEX('DEQ RBC REF'!$A$5:$R$267,MATCH($T7,'DEQ RBC REF'!$A$5:$A$267, 0),W$4)="--","", (INDEX('DEQ RBC REF'!$A$5:$R$267,MATCH($T7,'DEQ RBC REF'!$A$5:$A$267, 0), W$4))), "")</f>
        <v>31000</v>
      </c>
      <c r="X7" s="97" t="str" cm="1">
        <f t="array" ref="X7">_xlfn.IFNA(IF(INDEX('DEQ RBC REF'!$A$5:$R$267,MATCH($T7,'DEQ RBC REF'!$A$5:$A$267, 0),X$4)="--","", (INDEX('DEQ RBC REF'!$A$5:$R$267,MATCH($T7,'DEQ RBC REF'!$A$5:$A$267, 0), X$4))), "")</f>
        <v/>
      </c>
      <c r="Y7" s="97" cm="1">
        <f t="array" ref="Y7">_xlfn.IFNA(IF(INDEX('DEQ RBC REF'!$A$5:$R$267,MATCH($T7,'DEQ RBC REF'!$A$5:$A$267, 0),Y$4)="--","", (INDEX('DEQ RBC REF'!$A$5:$R$267,MATCH($T7,'DEQ RBC REF'!$A$5:$A$267, 0), Y$4))), "")</f>
        <v>136400</v>
      </c>
      <c r="Z7" s="97" t="str" cm="1">
        <f t="array" ref="Z7">_xlfn.IFNA(IF(INDEX('DEQ RBC REF'!$A$5:$R$267,MATCH($T7,'DEQ RBC REF'!$A$5:$A$267, 0),Z$4)="--","", (INDEX('DEQ RBC REF'!$A$5:$R$267,MATCH($T7,'DEQ RBC REF'!$A$5:$A$267, 0), Z$4))), "")</f>
        <v/>
      </c>
      <c r="AA7" s="97" cm="1">
        <f t="array" ref="AA7">_xlfn.IFNA(IF(INDEX('DEQ RBC REF'!$A$5:$R$267,MATCH($T7,'DEQ RBC REF'!$A$5:$A$267, 0),AA$4)="--","", (INDEX('DEQ RBC REF'!$A$5:$R$267,MATCH($T7,'DEQ RBC REF'!$A$5:$A$267, 0), AA$4))), "")</f>
        <v>136400</v>
      </c>
      <c r="AB7" s="97" cm="1">
        <f t="array" ref="AB7">_xlfn.IFNA(IF(INDEX('DEQ RBC REF'!$A$5:$R$267,MATCH($T7,'DEQ RBC REF'!$A$5:$A$267, 0),AB$4)="--","", (INDEX('DEQ RBC REF'!$A$5:$R$267,MATCH($T7,'DEQ RBC REF'!$A$5:$A$267, 0), AB$4))), "")</f>
        <v>62000</v>
      </c>
    </row>
    <row r="8" spans="1:28" x14ac:dyDescent="0.35">
      <c r="A8" t="s">
        <v>321</v>
      </c>
      <c r="B8" s="58" t="s">
        <v>322</v>
      </c>
      <c r="C8" s="6"/>
      <c r="D8" s="6" t="s">
        <v>311</v>
      </c>
      <c r="E8" s="92" t="s">
        <v>37</v>
      </c>
      <c r="F8" s="93">
        <v>60</v>
      </c>
      <c r="G8" s="92" t="s">
        <v>37</v>
      </c>
      <c r="H8" s="93">
        <v>264</v>
      </c>
      <c r="I8" s="92" t="s">
        <v>37</v>
      </c>
      <c r="J8" s="93">
        <v>264</v>
      </c>
      <c r="K8" s="94" t="s">
        <v>37</v>
      </c>
      <c r="L8" s="6">
        <v>1</v>
      </c>
      <c r="M8" s="6">
        <v>1</v>
      </c>
      <c r="N8" s="60" t="s">
        <v>312</v>
      </c>
      <c r="O8" s="60">
        <v>1</v>
      </c>
      <c r="P8" s="60">
        <v>1</v>
      </c>
      <c r="Q8" s="60">
        <v>1</v>
      </c>
      <c r="R8" s="60">
        <v>1</v>
      </c>
      <c r="T8" s="95" t="s">
        <v>309</v>
      </c>
      <c r="U8" s="96" t="s">
        <v>323</v>
      </c>
      <c r="V8" s="97" cm="1">
        <f t="array" ref="V8">_xlfn.IFNA(IF(INDEX('DEQ RBC REF'!$A$5:$R$267,MATCH($T8,'DEQ RBC REF'!$A$5:$A$267, 0),V$4)="--","", (INDEX('DEQ RBC REF'!$A$5:$R$267,MATCH($T8,'DEQ RBC REF'!$A$5:$A$267, 0), V$4))), "")</f>
        <v>0.45454545454545447</v>
      </c>
      <c r="W8" s="97" cm="1">
        <f t="array" ref="W8">_xlfn.IFNA(IF(INDEX('DEQ RBC REF'!$A$5:$R$267,MATCH($T8,'DEQ RBC REF'!$A$5:$A$267, 0),W$4)="--","", (INDEX('DEQ RBC REF'!$A$5:$R$267,MATCH($T8,'DEQ RBC REF'!$A$5:$A$267, 0), W$4))), "")</f>
        <v>140</v>
      </c>
      <c r="X8" s="97" cm="1">
        <f t="array" ref="X8">_xlfn.IFNA(IF(INDEX('DEQ RBC REF'!$A$5:$R$267,MATCH($T8,'DEQ RBC REF'!$A$5:$A$267, 0),X$4)="--","", (INDEX('DEQ RBC REF'!$A$5:$R$267,MATCH($T8,'DEQ RBC REF'!$A$5:$A$267, 0), X$4))), "")</f>
        <v>11.818181818181817</v>
      </c>
      <c r="Y8" s="97" cm="1">
        <f t="array" ref="Y8">_xlfn.IFNA(IF(INDEX('DEQ RBC REF'!$A$5:$R$267,MATCH($T8,'DEQ RBC REF'!$A$5:$A$267, 0),Y$4)="--","", (INDEX('DEQ RBC REF'!$A$5:$R$267,MATCH($T8,'DEQ RBC REF'!$A$5:$A$267, 0), Y$4))), "")</f>
        <v>616</v>
      </c>
      <c r="Z8" s="97" cm="1">
        <f t="array" ref="Z8">_xlfn.IFNA(IF(INDEX('DEQ RBC REF'!$A$5:$R$267,MATCH($T8,'DEQ RBC REF'!$A$5:$A$267, 0),Z$4)="--","", (INDEX('DEQ RBC REF'!$A$5:$R$267,MATCH($T8,'DEQ RBC REF'!$A$5:$A$267, 0), Z$4))), "")</f>
        <v>5.4545454545454533</v>
      </c>
      <c r="AA8" s="97" cm="1">
        <f t="array" ref="AA8">_xlfn.IFNA(IF(INDEX('DEQ RBC REF'!$A$5:$R$267,MATCH($T8,'DEQ RBC REF'!$A$5:$A$267, 0),AA$4)="--","", (INDEX('DEQ RBC REF'!$A$5:$R$267,MATCH($T8,'DEQ RBC REF'!$A$5:$A$267, 0), AA$4))), "")</f>
        <v>616</v>
      </c>
      <c r="AB8" s="97" cm="1">
        <f t="array" ref="AB8">_xlfn.IFNA(IF(INDEX('DEQ RBC REF'!$A$5:$R$267,MATCH($T8,'DEQ RBC REF'!$A$5:$A$267, 0),AB$4)="--","", (INDEX('DEQ RBC REF'!$A$5:$R$267,MATCH($T8,'DEQ RBC REF'!$A$5:$A$267, 0), AB$4))), "")</f>
        <v>470</v>
      </c>
    </row>
    <row r="9" spans="1:28" x14ac:dyDescent="0.35">
      <c r="A9" t="s">
        <v>324</v>
      </c>
      <c r="B9" s="58" t="s">
        <v>325</v>
      </c>
      <c r="C9" s="6"/>
      <c r="D9" s="6" t="s">
        <v>326</v>
      </c>
      <c r="E9" s="92" t="s">
        <v>37</v>
      </c>
      <c r="F9" s="93">
        <v>0.35</v>
      </c>
      <c r="G9" s="92" t="s">
        <v>37</v>
      </c>
      <c r="H9" s="93">
        <v>1.54</v>
      </c>
      <c r="I9" s="92" t="s">
        <v>37</v>
      </c>
      <c r="J9" s="93">
        <v>1.54</v>
      </c>
      <c r="K9" s="94">
        <v>6.9</v>
      </c>
      <c r="L9" s="6">
        <v>1</v>
      </c>
      <c r="M9" s="6">
        <v>1</v>
      </c>
      <c r="N9" s="60" t="s">
        <v>312</v>
      </c>
      <c r="O9" s="60">
        <v>1</v>
      </c>
      <c r="P9" s="60">
        <v>1</v>
      </c>
      <c r="Q9" s="60">
        <v>1</v>
      </c>
      <c r="R9" s="60">
        <v>1</v>
      </c>
      <c r="T9" s="95" t="s">
        <v>324</v>
      </c>
      <c r="U9" s="96" t="s">
        <v>325</v>
      </c>
      <c r="V9" s="97" t="str" cm="1">
        <f t="array" ref="V9">_xlfn.IFNA(IF(INDEX('DEQ RBC REF'!$A$5:$R$267,MATCH($T9,'DEQ RBC REF'!$A$5:$A$267, 0),V$4)="--","", (INDEX('DEQ RBC REF'!$A$5:$R$267,MATCH($T9,'DEQ RBC REF'!$A$5:$A$267, 0), V$4))), "")</f>
        <v/>
      </c>
      <c r="W9" s="97" cm="1">
        <f t="array" ref="W9">_xlfn.IFNA(IF(INDEX('DEQ RBC REF'!$A$5:$R$267,MATCH($T9,'DEQ RBC REF'!$A$5:$A$267, 0),W$4)="--","", (INDEX('DEQ RBC REF'!$A$5:$R$267,MATCH($T9,'DEQ RBC REF'!$A$5:$A$267, 0), W$4))), "")</f>
        <v>0.35</v>
      </c>
      <c r="X9" s="97" t="str" cm="1">
        <f t="array" ref="X9">_xlfn.IFNA(IF(INDEX('DEQ RBC REF'!$A$5:$R$267,MATCH($T9,'DEQ RBC REF'!$A$5:$A$267, 0),X$4)="--","", (INDEX('DEQ RBC REF'!$A$5:$R$267,MATCH($T9,'DEQ RBC REF'!$A$5:$A$267, 0), X$4))), "")</f>
        <v/>
      </c>
      <c r="Y9" s="97" cm="1">
        <f t="array" ref="Y9">_xlfn.IFNA(IF(INDEX('DEQ RBC REF'!$A$5:$R$267,MATCH($T9,'DEQ RBC REF'!$A$5:$A$267, 0),Y$4)="--","", (INDEX('DEQ RBC REF'!$A$5:$R$267,MATCH($T9,'DEQ RBC REF'!$A$5:$A$267, 0), Y$4))), "")</f>
        <v>1.54</v>
      </c>
      <c r="Z9" s="97" t="str" cm="1">
        <f t="array" ref="Z9">_xlfn.IFNA(IF(INDEX('DEQ RBC REF'!$A$5:$R$267,MATCH($T9,'DEQ RBC REF'!$A$5:$A$267, 0),Z$4)="--","", (INDEX('DEQ RBC REF'!$A$5:$R$267,MATCH($T9,'DEQ RBC REF'!$A$5:$A$267, 0), Z$4))), "")</f>
        <v/>
      </c>
      <c r="AA9" s="97" cm="1">
        <f t="array" ref="AA9">_xlfn.IFNA(IF(INDEX('DEQ RBC REF'!$A$5:$R$267,MATCH($T9,'DEQ RBC REF'!$A$5:$A$267, 0),AA$4)="--","", (INDEX('DEQ RBC REF'!$A$5:$R$267,MATCH($T9,'DEQ RBC REF'!$A$5:$A$267, 0), AA$4))), "")</f>
        <v>1.54</v>
      </c>
      <c r="AB9" s="97" cm="1">
        <f t="array" ref="AB9">_xlfn.IFNA(IF(INDEX('DEQ RBC REF'!$A$5:$R$267,MATCH($T9,'DEQ RBC REF'!$A$5:$A$267, 0),AB$4)="--","", (INDEX('DEQ RBC REF'!$A$5:$R$267,MATCH($T9,'DEQ RBC REF'!$A$5:$A$267, 0), AB$4))), "")</f>
        <v>6.9</v>
      </c>
    </row>
    <row r="10" spans="1:28" x14ac:dyDescent="0.35">
      <c r="A10" t="s">
        <v>327</v>
      </c>
      <c r="B10" s="58" t="s">
        <v>328</v>
      </c>
      <c r="C10" s="6" t="s">
        <v>329</v>
      </c>
      <c r="D10" s="6" t="s">
        <v>311</v>
      </c>
      <c r="E10" s="92">
        <v>5.8823529411764696E-3</v>
      </c>
      <c r="F10" s="93">
        <v>6</v>
      </c>
      <c r="G10" s="92">
        <v>6.1904761904761893E-2</v>
      </c>
      <c r="H10" s="93">
        <v>26.400000000000002</v>
      </c>
      <c r="I10" s="92">
        <v>0.11999999999999998</v>
      </c>
      <c r="J10" s="93">
        <v>26.400000000000002</v>
      </c>
      <c r="K10" s="94" t="s">
        <v>37</v>
      </c>
      <c r="L10" s="6">
        <v>1</v>
      </c>
      <c r="M10" s="6">
        <v>1</v>
      </c>
      <c r="N10" s="60" t="s">
        <v>330</v>
      </c>
      <c r="O10" s="60">
        <v>1</v>
      </c>
      <c r="P10" s="60">
        <v>1</v>
      </c>
      <c r="Q10" s="60">
        <v>1</v>
      </c>
      <c r="R10" s="60">
        <v>1</v>
      </c>
      <c r="T10" s="95" t="s">
        <v>331</v>
      </c>
      <c r="U10" s="96" t="s">
        <v>332</v>
      </c>
      <c r="V10" s="97" cm="1">
        <f t="array" ref="V10">_xlfn.IFNA(IF(INDEX('DEQ RBC REF'!$A$5:$R$267,MATCH($T10,'DEQ RBC REF'!$A$5:$A$267, 0),V$4)="--","", (INDEX('DEQ RBC REF'!$A$5:$R$267,MATCH($T10,'DEQ RBC REF'!$A$5:$A$267, 0), V$4))), "")</f>
        <v>1.4705882352941176E-2</v>
      </c>
      <c r="W10" s="97" cm="1">
        <f t="array" ref="W10">_xlfn.IFNA(IF(INDEX('DEQ RBC REF'!$A$5:$R$267,MATCH($T10,'DEQ RBC REF'!$A$5:$A$267, 0),W$4)="--","", (INDEX('DEQ RBC REF'!$A$5:$R$267,MATCH($T10,'DEQ RBC REF'!$A$5:$A$267, 0), W$4))), "")</f>
        <v>5</v>
      </c>
      <c r="X10" s="97" cm="1">
        <f t="array" ref="X10">_xlfn.IFNA(IF(INDEX('DEQ RBC REF'!$A$5:$R$267,MATCH($T10,'DEQ RBC REF'!$A$5:$A$267, 0),X$4)="--","", (INDEX('DEQ RBC REF'!$A$5:$R$267,MATCH($T10,'DEQ RBC REF'!$A$5:$A$267, 0), X$4))), "")</f>
        <v>0.38235294117647056</v>
      </c>
      <c r="Y10" s="97" cm="1">
        <f t="array" ref="Y10">_xlfn.IFNA(IF(INDEX('DEQ RBC REF'!$A$5:$R$267,MATCH($T10,'DEQ RBC REF'!$A$5:$A$267, 0),Y$4)="--","", (INDEX('DEQ RBC REF'!$A$5:$R$267,MATCH($T10,'DEQ RBC REF'!$A$5:$A$267, 0), Y$4))), "")</f>
        <v>22</v>
      </c>
      <c r="Z10" s="97" cm="1">
        <f t="array" ref="Z10">_xlfn.IFNA(IF(INDEX('DEQ RBC REF'!$A$5:$R$267,MATCH($T10,'DEQ RBC REF'!$A$5:$A$267, 0),Z$4)="--","", (INDEX('DEQ RBC REF'!$A$5:$R$267,MATCH($T10,'DEQ RBC REF'!$A$5:$A$267, 0), Z$4))), "")</f>
        <v>0.1764705882352941</v>
      </c>
      <c r="AA10" s="97" cm="1">
        <f t="array" ref="AA10">_xlfn.IFNA(IF(INDEX('DEQ RBC REF'!$A$5:$R$267,MATCH($T10,'DEQ RBC REF'!$A$5:$A$267, 0),AA$4)="--","", (INDEX('DEQ RBC REF'!$A$5:$R$267,MATCH($T10,'DEQ RBC REF'!$A$5:$A$267, 0), AA$4))), "")</f>
        <v>22</v>
      </c>
      <c r="AB10" s="97" cm="1">
        <f t="array" ref="AB10">_xlfn.IFNA(IF(INDEX('DEQ RBC REF'!$A$5:$R$267,MATCH($T10,'DEQ RBC REF'!$A$5:$A$267, 0),AB$4)="--","", (INDEX('DEQ RBC REF'!$A$5:$R$267,MATCH($T10,'DEQ RBC REF'!$A$5:$A$267, 0), AB$4))), "")</f>
        <v>220</v>
      </c>
    </row>
    <row r="11" spans="1:28" x14ac:dyDescent="0.35">
      <c r="A11" t="s">
        <v>333</v>
      </c>
      <c r="B11" s="58" t="s">
        <v>334</v>
      </c>
      <c r="C11" s="6"/>
      <c r="D11" s="6" t="s">
        <v>311</v>
      </c>
      <c r="E11" s="92" t="s">
        <v>37</v>
      </c>
      <c r="F11" s="93">
        <v>1</v>
      </c>
      <c r="G11" s="92" t="s">
        <v>37</v>
      </c>
      <c r="H11" s="93">
        <v>4.4000000000000004</v>
      </c>
      <c r="I11" s="92" t="s">
        <v>37</v>
      </c>
      <c r="J11" s="93">
        <v>4.4000000000000004</v>
      </c>
      <c r="K11" s="94">
        <v>6000</v>
      </c>
      <c r="L11" s="6">
        <v>1</v>
      </c>
      <c r="M11" s="6">
        <v>1</v>
      </c>
      <c r="N11" s="60" t="s">
        <v>312</v>
      </c>
      <c r="O11" s="60">
        <v>1</v>
      </c>
      <c r="P11" s="60">
        <v>1</v>
      </c>
      <c r="Q11" s="60">
        <v>1</v>
      </c>
      <c r="R11" s="60">
        <v>1</v>
      </c>
      <c r="T11" s="95" t="s">
        <v>18</v>
      </c>
      <c r="U11" s="96" t="s">
        <v>335</v>
      </c>
      <c r="V11" s="97" t="str" cm="1">
        <f t="array" ref="V11">_xlfn.IFNA(IF(INDEX('DEQ RBC REF'!$A$5:$R$267,MATCH($T11,'DEQ RBC REF'!$A$5:$A$267, 0),V$4)="--","", (INDEX('DEQ RBC REF'!$A$5:$R$267,MATCH($T11,'DEQ RBC REF'!$A$5:$A$267, 0), V$4))), "")</f>
        <v/>
      </c>
      <c r="W11" s="97" cm="1">
        <f t="array" ref="W11">_xlfn.IFNA(IF(INDEX('DEQ RBC REF'!$A$5:$R$267,MATCH($T11,'DEQ RBC REF'!$A$5:$A$267, 0),W$4)="--","", (INDEX('DEQ RBC REF'!$A$5:$R$267,MATCH($T11,'DEQ RBC REF'!$A$5:$A$267, 0), W$4))), "")</f>
        <v>5</v>
      </c>
      <c r="X11" s="97" t="str" cm="1">
        <f t="array" ref="X11">_xlfn.IFNA(IF(INDEX('DEQ RBC REF'!$A$5:$R$267,MATCH($T11,'DEQ RBC REF'!$A$5:$A$267, 0),X$4)="--","", (INDEX('DEQ RBC REF'!$A$5:$R$267,MATCH($T11,'DEQ RBC REF'!$A$5:$A$267, 0), X$4))), "")</f>
        <v/>
      </c>
      <c r="Y11" s="97" cm="1">
        <f t="array" ref="Y11">_xlfn.IFNA(IF(INDEX('DEQ RBC REF'!$A$5:$R$267,MATCH($T11,'DEQ RBC REF'!$A$5:$A$267, 0),Y$4)="--","", (INDEX('DEQ RBC REF'!$A$5:$R$267,MATCH($T11,'DEQ RBC REF'!$A$5:$A$267, 0), Y$4))), "")</f>
        <v>22</v>
      </c>
      <c r="Z11" s="97" t="str" cm="1">
        <f t="array" ref="Z11">_xlfn.IFNA(IF(INDEX('DEQ RBC REF'!$A$5:$R$267,MATCH($T11,'DEQ RBC REF'!$A$5:$A$267, 0),Z$4)="--","", (INDEX('DEQ RBC REF'!$A$5:$R$267,MATCH($T11,'DEQ RBC REF'!$A$5:$A$267, 0), Z$4))), "")</f>
        <v/>
      </c>
      <c r="AA11" s="97" cm="1">
        <f t="array" ref="AA11">_xlfn.IFNA(IF(INDEX('DEQ RBC REF'!$A$5:$R$267,MATCH($T11,'DEQ RBC REF'!$A$5:$A$267, 0),AA$4)="--","", (INDEX('DEQ RBC REF'!$A$5:$R$267,MATCH($T11,'DEQ RBC REF'!$A$5:$A$267, 0), AA$4))), "")</f>
        <v>22</v>
      </c>
      <c r="AB11" s="97" t="str" cm="1">
        <f t="array" ref="AB11">_xlfn.IFNA(IF(INDEX('DEQ RBC REF'!$A$5:$R$267,MATCH($T11,'DEQ RBC REF'!$A$5:$A$267, 0),AB$4)="--","", (INDEX('DEQ RBC REF'!$A$5:$R$267,MATCH($T11,'DEQ RBC REF'!$A$5:$A$267, 0), AB$4))), "")</f>
        <v/>
      </c>
    </row>
    <row r="12" spans="1:28" x14ac:dyDescent="0.35">
      <c r="A12" t="s">
        <v>331</v>
      </c>
      <c r="B12" s="58" t="s">
        <v>332</v>
      </c>
      <c r="C12" s="6"/>
      <c r="D12" s="6" t="s">
        <v>311</v>
      </c>
      <c r="E12" s="92">
        <v>1.4705882352941176E-2</v>
      </c>
      <c r="F12" s="93">
        <v>5</v>
      </c>
      <c r="G12" s="92">
        <v>0.38235294117647056</v>
      </c>
      <c r="H12" s="93">
        <v>22</v>
      </c>
      <c r="I12" s="92">
        <v>0.1764705882352941</v>
      </c>
      <c r="J12" s="93">
        <v>22</v>
      </c>
      <c r="K12" s="94">
        <v>220</v>
      </c>
      <c r="L12" s="6">
        <v>1</v>
      </c>
      <c r="M12" s="6">
        <v>1</v>
      </c>
      <c r="N12" s="60" t="s">
        <v>312</v>
      </c>
      <c r="O12" s="60">
        <v>1</v>
      </c>
      <c r="P12" s="60">
        <v>1</v>
      </c>
      <c r="Q12" s="60">
        <v>1</v>
      </c>
      <c r="R12" s="60">
        <v>1</v>
      </c>
      <c r="T12" s="95" t="s">
        <v>336</v>
      </c>
      <c r="U12" s="96" t="s">
        <v>337</v>
      </c>
      <c r="V12" s="97" t="str" cm="1">
        <f t="array" ref="V12">_xlfn.IFNA(IF(INDEX('DEQ RBC REF'!$A$5:$R$267,MATCH($T12,'DEQ RBC REF'!$A$5:$A$267, 0),V$4)="--","", (INDEX('DEQ RBC REF'!$A$5:$R$267,MATCH($T12,'DEQ RBC REF'!$A$5:$A$267, 0), V$4))), "")</f>
        <v/>
      </c>
      <c r="W12" s="97" t="str" cm="1">
        <f t="array" ref="W12">_xlfn.IFNA(IF(INDEX('DEQ RBC REF'!$A$5:$R$267,MATCH($T12,'DEQ RBC REF'!$A$5:$A$267, 0),W$4)="--","", (INDEX('DEQ RBC REF'!$A$5:$R$267,MATCH($T12,'DEQ RBC REF'!$A$5:$A$267, 0), W$4))), "")</f>
        <v/>
      </c>
      <c r="X12" s="97" t="str" cm="1">
        <f t="array" ref="X12">_xlfn.IFNA(IF(INDEX('DEQ RBC REF'!$A$5:$R$267,MATCH($T12,'DEQ RBC REF'!$A$5:$A$267, 0),X$4)="--","", (INDEX('DEQ RBC REF'!$A$5:$R$267,MATCH($T12,'DEQ RBC REF'!$A$5:$A$267, 0), X$4))), "")</f>
        <v/>
      </c>
      <c r="Y12" s="97" t="str" cm="1">
        <f t="array" ref="Y12">_xlfn.IFNA(IF(INDEX('DEQ RBC REF'!$A$5:$R$267,MATCH($T12,'DEQ RBC REF'!$A$5:$A$267, 0),Y$4)="--","", (INDEX('DEQ RBC REF'!$A$5:$R$267,MATCH($T12,'DEQ RBC REF'!$A$5:$A$267, 0), Y$4))), "")</f>
        <v/>
      </c>
      <c r="Z12" s="97" t="str" cm="1">
        <f t="array" ref="Z12">_xlfn.IFNA(IF(INDEX('DEQ RBC REF'!$A$5:$R$267,MATCH($T12,'DEQ RBC REF'!$A$5:$A$267, 0),Z$4)="--","", (INDEX('DEQ RBC REF'!$A$5:$R$267,MATCH($T12,'DEQ RBC REF'!$A$5:$A$267, 0), Z$4))), "")</f>
        <v/>
      </c>
      <c r="AA12" s="97" t="str" cm="1">
        <f t="array" ref="AA12">_xlfn.IFNA(IF(INDEX('DEQ RBC REF'!$A$5:$R$267,MATCH($T12,'DEQ RBC REF'!$A$5:$A$267, 0),AA$4)="--","", (INDEX('DEQ RBC REF'!$A$5:$R$267,MATCH($T12,'DEQ RBC REF'!$A$5:$A$267, 0), AA$4))), "")</f>
        <v/>
      </c>
      <c r="AB12" s="97" t="str" cm="1">
        <f t="array" ref="AB12">_xlfn.IFNA(IF(INDEX('DEQ RBC REF'!$A$5:$R$267,MATCH($T12,'DEQ RBC REF'!$A$5:$A$267, 0),AB$4)="--","", (INDEX('DEQ RBC REF'!$A$5:$R$267,MATCH($T12,'DEQ RBC REF'!$A$5:$A$267, 0), AB$4))), "")</f>
        <v/>
      </c>
    </row>
    <row r="13" spans="1:28" x14ac:dyDescent="0.35">
      <c r="A13" t="s">
        <v>338</v>
      </c>
      <c r="B13" s="58" t="s">
        <v>339</v>
      </c>
      <c r="C13" s="6"/>
      <c r="D13" s="6" t="s">
        <v>37</v>
      </c>
      <c r="E13" s="92">
        <v>2.0408163265306123E-4</v>
      </c>
      <c r="F13" s="93" t="s">
        <v>37</v>
      </c>
      <c r="G13" s="92">
        <v>5.3061224489795921E-3</v>
      </c>
      <c r="H13" s="93" t="s">
        <v>37</v>
      </c>
      <c r="I13" s="92">
        <v>2.4489795918367346E-3</v>
      </c>
      <c r="J13" s="93" t="s">
        <v>37</v>
      </c>
      <c r="K13" s="94" t="s">
        <v>37</v>
      </c>
      <c r="L13" s="6">
        <v>1</v>
      </c>
      <c r="M13" s="6">
        <v>1</v>
      </c>
      <c r="N13" s="60" t="s">
        <v>312</v>
      </c>
      <c r="O13" s="60">
        <v>1</v>
      </c>
      <c r="P13" s="60">
        <v>1</v>
      </c>
      <c r="Q13" s="60">
        <v>1</v>
      </c>
      <c r="R13" s="60">
        <v>1</v>
      </c>
      <c r="T13" s="95" t="s">
        <v>340</v>
      </c>
      <c r="U13" s="96" t="s">
        <v>341</v>
      </c>
      <c r="V13" s="97" t="str" cm="1">
        <f t="array" ref="V13">_xlfn.IFNA(IF(INDEX('DEQ RBC REF'!$A$5:$R$267,MATCH($T13,'DEQ RBC REF'!$A$5:$A$267, 0),V$4)="--","", (INDEX('DEQ RBC REF'!$A$5:$R$267,MATCH($T13,'DEQ RBC REF'!$A$5:$A$267, 0), V$4))), "")</f>
        <v/>
      </c>
      <c r="W13" s="97" cm="1">
        <f t="array" ref="W13">_xlfn.IFNA(IF(INDEX('DEQ RBC REF'!$A$5:$R$267,MATCH($T13,'DEQ RBC REF'!$A$5:$A$267, 0),W$4)="--","", (INDEX('DEQ RBC REF'!$A$5:$R$267,MATCH($T13,'DEQ RBC REF'!$A$5:$A$267, 0), W$4))), "")</f>
        <v>500</v>
      </c>
      <c r="X13" s="97" t="str" cm="1">
        <f t="array" ref="X13">_xlfn.IFNA(IF(INDEX('DEQ RBC REF'!$A$5:$R$267,MATCH($T13,'DEQ RBC REF'!$A$5:$A$267, 0),X$4)="--","", (INDEX('DEQ RBC REF'!$A$5:$R$267,MATCH($T13,'DEQ RBC REF'!$A$5:$A$267, 0), X$4))), "")</f>
        <v/>
      </c>
      <c r="Y13" s="97" cm="1">
        <f t="array" ref="Y13">_xlfn.IFNA(IF(INDEX('DEQ RBC REF'!$A$5:$R$267,MATCH($T13,'DEQ RBC REF'!$A$5:$A$267, 0),Y$4)="--","", (INDEX('DEQ RBC REF'!$A$5:$R$267,MATCH($T13,'DEQ RBC REF'!$A$5:$A$267, 0), Y$4))), "")</f>
        <v>2200</v>
      </c>
      <c r="Z13" s="97" t="str" cm="1">
        <f t="array" ref="Z13">_xlfn.IFNA(IF(INDEX('DEQ RBC REF'!$A$5:$R$267,MATCH($T13,'DEQ RBC REF'!$A$5:$A$267, 0),Z$4)="--","", (INDEX('DEQ RBC REF'!$A$5:$R$267,MATCH($T13,'DEQ RBC REF'!$A$5:$A$267, 0), Z$4))), "")</f>
        <v/>
      </c>
      <c r="AA13" s="97" cm="1">
        <f t="array" ref="AA13">_xlfn.IFNA(IF(INDEX('DEQ RBC REF'!$A$5:$R$267,MATCH($T13,'DEQ RBC REF'!$A$5:$A$267, 0),AA$4)="--","", (INDEX('DEQ RBC REF'!$A$5:$R$267,MATCH($T13,'DEQ RBC REF'!$A$5:$A$267, 0), AA$4))), "")</f>
        <v>2200</v>
      </c>
      <c r="AB13" s="97" cm="1">
        <f t="array" ref="AB13">_xlfn.IFNA(IF(INDEX('DEQ RBC REF'!$A$5:$R$267,MATCH($T13,'DEQ RBC REF'!$A$5:$A$267, 0),AB$4)="--","", (INDEX('DEQ RBC REF'!$A$5:$R$267,MATCH($T13,'DEQ RBC REF'!$A$5:$A$267, 0), AB$4))), "")</f>
        <v>1200</v>
      </c>
    </row>
    <row r="14" spans="1:28" x14ac:dyDescent="0.35">
      <c r="A14" t="s">
        <v>342</v>
      </c>
      <c r="B14" s="58" t="s">
        <v>343</v>
      </c>
      <c r="C14" s="6"/>
      <c r="D14" s="6" t="s">
        <v>311</v>
      </c>
      <c r="E14" s="92">
        <v>0.16666666666666666</v>
      </c>
      <c r="F14" s="93">
        <v>1</v>
      </c>
      <c r="G14" s="92">
        <v>4.333333333333333</v>
      </c>
      <c r="H14" s="93">
        <v>4.4000000000000004</v>
      </c>
      <c r="I14" s="92">
        <v>2</v>
      </c>
      <c r="J14" s="93">
        <v>4.4000000000000004</v>
      </c>
      <c r="K14" s="94" t="s">
        <v>37</v>
      </c>
      <c r="L14" s="6">
        <v>1</v>
      </c>
      <c r="M14" s="6">
        <v>1</v>
      </c>
      <c r="N14" s="60" t="s">
        <v>312</v>
      </c>
      <c r="O14" s="60">
        <v>1</v>
      </c>
      <c r="P14" s="60">
        <v>1</v>
      </c>
      <c r="Q14" s="60">
        <v>1</v>
      </c>
      <c r="R14" s="60">
        <v>1</v>
      </c>
      <c r="T14" s="95" t="s">
        <v>344</v>
      </c>
      <c r="U14" s="96" t="s">
        <v>345</v>
      </c>
      <c r="V14" s="97" t="str" cm="1">
        <f t="array" ref="V14">_xlfn.IFNA(IF(INDEX('DEQ RBC REF'!$A$5:$R$267,MATCH($T14,'DEQ RBC REF'!$A$5:$A$267, 0),V$4)="--","", (INDEX('DEQ RBC REF'!$A$5:$R$267,MATCH($T14,'DEQ RBC REF'!$A$5:$A$267, 0), V$4))), "")</f>
        <v/>
      </c>
      <c r="W14" s="97" cm="1">
        <f t="array" ref="W14">_xlfn.IFNA(IF(INDEX('DEQ RBC REF'!$A$5:$R$267,MATCH($T14,'DEQ RBC REF'!$A$5:$A$267, 0),W$4)="--","", (INDEX('DEQ RBC REF'!$A$5:$R$267,MATCH($T14,'DEQ RBC REF'!$A$5:$A$267, 0), W$4))), "")</f>
        <v>0.3</v>
      </c>
      <c r="X14" s="97" t="str" cm="1">
        <f t="array" ref="X14">_xlfn.IFNA(IF(INDEX('DEQ RBC REF'!$A$5:$R$267,MATCH($T14,'DEQ RBC REF'!$A$5:$A$267, 0),X$4)="--","", (INDEX('DEQ RBC REF'!$A$5:$R$267,MATCH($T14,'DEQ RBC REF'!$A$5:$A$267, 0), X$4))), "")</f>
        <v/>
      </c>
      <c r="Y14" s="97" cm="1">
        <f t="array" ref="Y14">_xlfn.IFNA(IF(INDEX('DEQ RBC REF'!$A$5:$R$267,MATCH($T14,'DEQ RBC REF'!$A$5:$A$267, 0),Y$4)="--","", (INDEX('DEQ RBC REF'!$A$5:$R$267,MATCH($T14,'DEQ RBC REF'!$A$5:$A$267, 0), Y$4))), "")</f>
        <v>1.32</v>
      </c>
      <c r="Z14" s="97" t="str" cm="1">
        <f t="array" ref="Z14">_xlfn.IFNA(IF(INDEX('DEQ RBC REF'!$A$5:$R$267,MATCH($T14,'DEQ RBC REF'!$A$5:$A$267, 0),Z$4)="--","", (INDEX('DEQ RBC REF'!$A$5:$R$267,MATCH($T14,'DEQ RBC REF'!$A$5:$A$267, 0), Z$4))), "")</f>
        <v/>
      </c>
      <c r="AA14" s="97" cm="1">
        <f t="array" ref="AA14">_xlfn.IFNA(IF(INDEX('DEQ RBC REF'!$A$5:$R$267,MATCH($T14,'DEQ RBC REF'!$A$5:$A$267, 0),AA$4)="--","", (INDEX('DEQ RBC REF'!$A$5:$R$267,MATCH($T14,'DEQ RBC REF'!$A$5:$A$267, 0), AA$4))), "")</f>
        <v>1.32</v>
      </c>
      <c r="AB14" s="97" cm="1">
        <f t="array" ref="AB14">_xlfn.IFNA(IF(INDEX('DEQ RBC REF'!$A$5:$R$267,MATCH($T14,'DEQ RBC REF'!$A$5:$A$267, 0),AB$4)="--","", (INDEX('DEQ RBC REF'!$A$5:$R$267,MATCH($T14,'DEQ RBC REF'!$A$5:$A$267, 0), AB$4))), "")</f>
        <v>1</v>
      </c>
    </row>
    <row r="15" spans="1:28" x14ac:dyDescent="0.35">
      <c r="A15" t="s">
        <v>18</v>
      </c>
      <c r="B15" s="58" t="s">
        <v>335</v>
      </c>
      <c r="C15" s="6" t="s">
        <v>346</v>
      </c>
      <c r="D15" s="6" t="s">
        <v>326</v>
      </c>
      <c r="E15" s="92" t="s">
        <v>37</v>
      </c>
      <c r="F15" s="93">
        <v>5</v>
      </c>
      <c r="G15" s="92" t="s">
        <v>37</v>
      </c>
      <c r="H15" s="93">
        <v>22</v>
      </c>
      <c r="I15" s="92" t="s">
        <v>37</v>
      </c>
      <c r="J15" s="93">
        <v>22</v>
      </c>
      <c r="K15" s="94" t="s">
        <v>37</v>
      </c>
      <c r="L15" s="6">
        <v>1</v>
      </c>
      <c r="M15" s="6">
        <v>1</v>
      </c>
      <c r="N15" s="60" t="s">
        <v>312</v>
      </c>
      <c r="O15" s="60">
        <v>1</v>
      </c>
      <c r="P15" s="60">
        <v>1</v>
      </c>
      <c r="Q15" s="60">
        <v>1</v>
      </c>
      <c r="R15" s="60">
        <v>1</v>
      </c>
      <c r="T15" s="95" t="s">
        <v>347</v>
      </c>
      <c r="U15" s="96" t="s">
        <v>348</v>
      </c>
      <c r="V15" s="97" cm="1">
        <f t="array" ref="V15">_xlfn.IFNA(IF(INDEX('DEQ RBC REF'!$A$5:$R$267,MATCH($T15,'DEQ RBC REF'!$A$5:$A$267, 0),V$4)="--","", (INDEX('DEQ RBC REF'!$A$5:$R$267,MATCH($T15,'DEQ RBC REF'!$A$5:$A$267, 0), V$4))), "")</f>
        <v>2.3975065931431311E-5</v>
      </c>
      <c r="W15" s="97" cm="1">
        <f t="array" ref="W15">_xlfn.IFNA(IF(INDEX('DEQ RBC REF'!$A$5:$R$267,MATCH($T15,'DEQ RBC REF'!$A$5:$A$267, 0),W$4)="--","", (INDEX('DEQ RBC REF'!$A$5:$R$267,MATCH($T15,'DEQ RBC REF'!$A$5:$A$267, 0), W$4))), "")</f>
        <v>1.7045454545454544E-4</v>
      </c>
      <c r="X15" s="97" cm="1">
        <f t="array" ref="X15">_xlfn.IFNA(IF(INDEX('DEQ RBC REF'!$A$5:$R$267,MATCH($T15,'DEQ RBC REF'!$A$5:$A$267, 0),X$4)="--","", (INDEX('DEQ RBC REF'!$A$5:$R$267,MATCH($T15,'DEQ RBC REF'!$A$5:$A$267, 0), X$4))), "")</f>
        <v>1.3436692506459949E-3</v>
      </c>
      <c r="Y15" s="97" cm="1">
        <f t="array" ref="Y15">_xlfn.IFNA(IF(INDEX('DEQ RBC REF'!$A$5:$R$267,MATCH($T15,'DEQ RBC REF'!$A$5:$A$267, 0),Y$4)="--","", (INDEX('DEQ RBC REF'!$A$5:$R$267,MATCH($T15,'DEQ RBC REF'!$A$5:$A$267, 0), Y$4))), "")</f>
        <v>2.3571428571428576E-3</v>
      </c>
      <c r="Z15" s="97" cm="1">
        <f t="array" ref="Z15">_xlfn.IFNA(IF(INDEX('DEQ RBC REF'!$A$5:$R$267,MATCH($T15,'DEQ RBC REF'!$A$5:$A$267, 0),Z$4)="--","", (INDEX('DEQ RBC REF'!$A$5:$R$267,MATCH($T15,'DEQ RBC REF'!$A$5:$A$267, 0), Z$4))), "")</f>
        <v>6.2015503875968985E-4</v>
      </c>
      <c r="AA15" s="97" cm="1">
        <f t="array" ref="AA15">_xlfn.IFNA(IF(INDEX('DEQ RBC REF'!$A$5:$R$267,MATCH($T15,'DEQ RBC REF'!$A$5:$A$267, 0),AA$4)="--","", (INDEX('DEQ RBC REF'!$A$5:$R$267,MATCH($T15,'DEQ RBC REF'!$A$5:$A$267, 0), AA$4))), "")</f>
        <v>2.3571428571428571E-3</v>
      </c>
      <c r="AB15" s="97" cm="1">
        <f t="array" ref="AB15">_xlfn.IFNA(IF(INDEX('DEQ RBC REF'!$A$5:$R$267,MATCH($T15,'DEQ RBC REF'!$A$5:$A$267, 0),AB$4)="--","", (INDEX('DEQ RBC REF'!$A$5:$R$267,MATCH($T15,'DEQ RBC REF'!$A$5:$A$267, 0), AB$4))), "")</f>
        <v>0.2</v>
      </c>
    </row>
    <row r="16" spans="1:28" x14ac:dyDescent="0.35">
      <c r="A16" t="s">
        <v>340</v>
      </c>
      <c r="B16" s="58" t="s">
        <v>341</v>
      </c>
      <c r="C16" s="6"/>
      <c r="D16" s="6" t="s">
        <v>311</v>
      </c>
      <c r="E16" s="92" t="s">
        <v>37</v>
      </c>
      <c r="F16" s="93">
        <v>500</v>
      </c>
      <c r="G16" s="92" t="s">
        <v>37</v>
      </c>
      <c r="H16" s="93">
        <v>2200</v>
      </c>
      <c r="I16" s="92" t="s">
        <v>37</v>
      </c>
      <c r="J16" s="93">
        <v>2200</v>
      </c>
      <c r="K16" s="94">
        <v>1200</v>
      </c>
      <c r="L16" s="6">
        <v>1</v>
      </c>
      <c r="M16" s="6">
        <v>1</v>
      </c>
      <c r="N16" s="60" t="s">
        <v>312</v>
      </c>
      <c r="O16" s="60">
        <v>1</v>
      </c>
      <c r="P16" s="60">
        <v>1</v>
      </c>
      <c r="Q16" s="60">
        <v>1</v>
      </c>
      <c r="R16" s="60">
        <v>1</v>
      </c>
      <c r="T16" s="95" t="s">
        <v>349</v>
      </c>
      <c r="U16" s="96" t="s">
        <v>350</v>
      </c>
      <c r="V16" s="97" t="str" cm="1">
        <f t="array" ref="V16">_xlfn.IFNA(IF(INDEX('DEQ RBC REF'!$A$5:$R$267,MATCH($T16,'DEQ RBC REF'!$A$5:$A$267, 0),V$4)="--","", (INDEX('DEQ RBC REF'!$A$5:$R$267,MATCH($T16,'DEQ RBC REF'!$A$5:$A$267, 0), V$4))), "")</f>
        <v/>
      </c>
      <c r="W16" s="97" t="str" cm="1">
        <f t="array" ref="W16">_xlfn.IFNA(IF(INDEX('DEQ RBC REF'!$A$5:$R$267,MATCH($T16,'DEQ RBC REF'!$A$5:$A$267, 0),W$4)="--","", (INDEX('DEQ RBC REF'!$A$5:$R$267,MATCH($T16,'DEQ RBC REF'!$A$5:$A$267, 0), W$4))), "")</f>
        <v/>
      </c>
      <c r="X16" s="97" t="str" cm="1">
        <f t="array" ref="X16">_xlfn.IFNA(IF(INDEX('DEQ RBC REF'!$A$5:$R$267,MATCH($T16,'DEQ RBC REF'!$A$5:$A$267, 0),X$4)="--","", (INDEX('DEQ RBC REF'!$A$5:$R$267,MATCH($T16,'DEQ RBC REF'!$A$5:$A$267, 0), X$4))), "")</f>
        <v/>
      </c>
      <c r="Y16" s="97" t="str" cm="1">
        <f t="array" ref="Y16">_xlfn.IFNA(IF(INDEX('DEQ RBC REF'!$A$5:$R$267,MATCH($T16,'DEQ RBC REF'!$A$5:$A$267, 0),Y$4)="--","", (INDEX('DEQ RBC REF'!$A$5:$R$267,MATCH($T16,'DEQ RBC REF'!$A$5:$A$267, 0), Y$4))), "")</f>
        <v/>
      </c>
      <c r="Z16" s="97" t="str" cm="1">
        <f t="array" ref="Z16">_xlfn.IFNA(IF(INDEX('DEQ RBC REF'!$A$5:$R$267,MATCH($T16,'DEQ RBC REF'!$A$5:$A$267, 0),Z$4)="--","", (INDEX('DEQ RBC REF'!$A$5:$R$267,MATCH($T16,'DEQ RBC REF'!$A$5:$A$267, 0), Z$4))), "")</f>
        <v/>
      </c>
      <c r="AA16" s="97" t="str" cm="1">
        <f t="array" ref="AA16">_xlfn.IFNA(IF(INDEX('DEQ RBC REF'!$A$5:$R$267,MATCH($T16,'DEQ RBC REF'!$A$5:$A$267, 0),AA$4)="--","", (INDEX('DEQ RBC REF'!$A$5:$R$267,MATCH($T16,'DEQ RBC REF'!$A$5:$A$267, 0), AA$4))), "")</f>
        <v/>
      </c>
      <c r="AB16" s="97" t="str" cm="1">
        <f t="array" ref="AB16">_xlfn.IFNA(IF(INDEX('DEQ RBC REF'!$A$5:$R$267,MATCH($T16,'DEQ RBC REF'!$A$5:$A$267, 0),AB$4)="--","", (INDEX('DEQ RBC REF'!$A$5:$R$267,MATCH($T16,'DEQ RBC REF'!$A$5:$A$267, 0), AB$4))), "")</f>
        <v/>
      </c>
    </row>
    <row r="17" spans="1:28" x14ac:dyDescent="0.35">
      <c r="A17" t="s">
        <v>351</v>
      </c>
      <c r="B17" s="58" t="s">
        <v>352</v>
      </c>
      <c r="C17" s="6"/>
      <c r="D17" s="6" t="s">
        <v>326</v>
      </c>
      <c r="E17" s="92">
        <v>0.625</v>
      </c>
      <c r="F17" s="93">
        <v>1</v>
      </c>
      <c r="G17" s="92">
        <v>16.25</v>
      </c>
      <c r="H17" s="93">
        <v>4.4000000000000004</v>
      </c>
      <c r="I17" s="92">
        <v>7.5</v>
      </c>
      <c r="J17" s="93">
        <v>4.4000000000000004</v>
      </c>
      <c r="K17" s="94" t="s">
        <v>37</v>
      </c>
      <c r="L17" s="6">
        <v>1</v>
      </c>
      <c r="M17" s="6">
        <v>1</v>
      </c>
      <c r="N17" s="60" t="s">
        <v>312</v>
      </c>
      <c r="O17" s="60">
        <v>1</v>
      </c>
      <c r="P17" s="60">
        <v>1</v>
      </c>
      <c r="Q17" s="60">
        <v>1</v>
      </c>
      <c r="R17" s="60">
        <v>1</v>
      </c>
      <c r="T17" s="95" t="s">
        <v>353</v>
      </c>
      <c r="U17" s="96" t="s">
        <v>354</v>
      </c>
      <c r="V17" s="97" cm="1">
        <f t="array" ref="V17">_xlfn.IFNA(IF(INDEX('DEQ RBC REF'!$A$5:$R$267,MATCH($T17,'DEQ RBC REF'!$A$5:$A$267, 0),V$4)="--","", (INDEX('DEQ RBC REF'!$A$5:$R$267,MATCH($T17,'DEQ RBC REF'!$A$5:$A$267, 0), V$4))), "")</f>
        <v>0.12820512820512819</v>
      </c>
      <c r="W17" s="97" cm="1">
        <f t="array" ref="W17">_xlfn.IFNA(IF(INDEX('DEQ RBC REF'!$A$5:$R$267,MATCH($T17,'DEQ RBC REF'!$A$5:$A$267, 0),W$4)="--","", (INDEX('DEQ RBC REF'!$A$5:$R$267,MATCH($T17,'DEQ RBC REF'!$A$5:$A$267, 0), W$4))), "")</f>
        <v>3</v>
      </c>
      <c r="X17" s="97" cm="1">
        <f t="array" ref="X17">_xlfn.IFNA(IF(INDEX('DEQ RBC REF'!$A$5:$R$267,MATCH($T17,'DEQ RBC REF'!$A$5:$A$267, 0),X$4)="--","", (INDEX('DEQ RBC REF'!$A$5:$R$267,MATCH($T17,'DEQ RBC REF'!$A$5:$A$267, 0), X$4))), "")</f>
        <v>3.333333333333333</v>
      </c>
      <c r="Y17" s="97" cm="1">
        <f t="array" ref="Y17">_xlfn.IFNA(IF(INDEX('DEQ RBC REF'!$A$5:$R$267,MATCH($T17,'DEQ RBC REF'!$A$5:$A$267, 0),Y$4)="--","", (INDEX('DEQ RBC REF'!$A$5:$R$267,MATCH($T17,'DEQ RBC REF'!$A$5:$A$267, 0), Y$4))), "")</f>
        <v>13.200000000000001</v>
      </c>
      <c r="Z17" s="97" cm="1">
        <f t="array" ref="Z17">_xlfn.IFNA(IF(INDEX('DEQ RBC REF'!$A$5:$R$267,MATCH($T17,'DEQ RBC REF'!$A$5:$A$267, 0),Z$4)="--","", (INDEX('DEQ RBC REF'!$A$5:$R$267,MATCH($T17,'DEQ RBC REF'!$A$5:$A$267, 0), Z$4))), "")</f>
        <v>1.5384615384615383</v>
      </c>
      <c r="AA17" s="97" cm="1">
        <f t="array" ref="AA17">_xlfn.IFNA(IF(INDEX('DEQ RBC REF'!$A$5:$R$267,MATCH($T17,'DEQ RBC REF'!$A$5:$A$267, 0),AA$4)="--","", (INDEX('DEQ RBC REF'!$A$5:$R$267,MATCH($T17,'DEQ RBC REF'!$A$5:$A$267, 0), AA$4))), "")</f>
        <v>13.200000000000001</v>
      </c>
      <c r="AB17" s="97" cm="1">
        <f t="array" ref="AB17">_xlfn.IFNA(IF(INDEX('DEQ RBC REF'!$A$5:$R$267,MATCH($T17,'DEQ RBC REF'!$A$5:$A$267, 0),AB$4)="--","", (INDEX('DEQ RBC REF'!$A$5:$R$267,MATCH($T17,'DEQ RBC REF'!$A$5:$A$267, 0), AB$4))), "")</f>
        <v>29</v>
      </c>
    </row>
    <row r="18" spans="1:28" ht="20.25" customHeight="1" x14ac:dyDescent="0.35">
      <c r="A18" t="s">
        <v>344</v>
      </c>
      <c r="B18" s="58" t="s">
        <v>345</v>
      </c>
      <c r="C18" s="6"/>
      <c r="D18" s="6" t="s">
        <v>311</v>
      </c>
      <c r="E18" s="92" t="s">
        <v>37</v>
      </c>
      <c r="F18" s="93">
        <v>0.3</v>
      </c>
      <c r="G18" s="92" t="s">
        <v>37</v>
      </c>
      <c r="H18" s="93">
        <v>1.32</v>
      </c>
      <c r="I18" s="92" t="s">
        <v>37</v>
      </c>
      <c r="J18" s="93">
        <v>1.32</v>
      </c>
      <c r="K18" s="94">
        <v>1</v>
      </c>
      <c r="L18" s="6">
        <v>1</v>
      </c>
      <c r="M18" s="6">
        <v>1</v>
      </c>
      <c r="N18" s="60" t="s">
        <v>312</v>
      </c>
      <c r="O18" s="60">
        <v>1</v>
      </c>
      <c r="P18" s="60">
        <v>1</v>
      </c>
      <c r="Q18" s="60">
        <v>1</v>
      </c>
      <c r="R18" s="60">
        <v>1</v>
      </c>
      <c r="T18" s="95" t="s">
        <v>355</v>
      </c>
      <c r="U18" s="96" t="s">
        <v>356</v>
      </c>
      <c r="V18" s="97" cm="1">
        <f t="array" ref="V18">_xlfn.IFNA(IF(INDEX('DEQ RBC REF'!$A$5:$R$267,MATCH($T18,'DEQ RBC REF'!$A$5:$A$267, 0),V$4)="--","", (INDEX('DEQ RBC REF'!$A$5:$R$267,MATCH($T18,'DEQ RBC REF'!$A$5:$A$267, 0), V$4))), "")</f>
        <v>4.2625745950554133E-5</v>
      </c>
      <c r="W18" s="97" cm="1">
        <f t="array" ref="W18">_xlfn.IFNA(IF(INDEX('DEQ RBC REF'!$A$5:$R$267,MATCH($T18,'DEQ RBC REF'!$A$5:$A$267, 0),W$4)="--","", (INDEX('DEQ RBC REF'!$A$5:$R$267,MATCH($T18,'DEQ RBC REF'!$A$5:$A$267, 0), W$4))), "")</f>
        <v>2E-3</v>
      </c>
      <c r="X18" s="97" cm="1">
        <f t="array" ref="X18">_xlfn.IFNA(IF(INDEX('DEQ RBC REF'!$A$5:$R$267,MATCH($T18,'DEQ RBC REF'!$A$5:$A$267, 0),X$4)="--","", (INDEX('DEQ RBC REF'!$A$5:$R$267,MATCH($T18,'DEQ RBC REF'!$A$5:$A$267, 0), X$4))), "")</f>
        <v>1.5632515632515633E-3</v>
      </c>
      <c r="Y18" s="97" cm="1">
        <f t="array" ref="Y18">_xlfn.IFNA(IF(INDEX('DEQ RBC REF'!$A$5:$R$267,MATCH($T18,'DEQ RBC REF'!$A$5:$A$267, 0),Y$4)="--","", (INDEX('DEQ RBC REF'!$A$5:$R$267,MATCH($T18,'DEQ RBC REF'!$A$5:$A$267, 0), Y$4))), "")</f>
        <v>8.8000000000000005E-3</v>
      </c>
      <c r="Z18" s="97" cm="1">
        <f t="array" ref="Z18">_xlfn.IFNA(IF(INDEX('DEQ RBC REF'!$A$5:$R$267,MATCH($T18,'DEQ RBC REF'!$A$5:$A$267, 0),Z$4)="--","", (INDEX('DEQ RBC REF'!$A$5:$R$267,MATCH($T18,'DEQ RBC REF'!$A$5:$A$267, 0), Z$4))), "")</f>
        <v>3.0303030303030307E-3</v>
      </c>
      <c r="AA18" s="97" cm="1">
        <f t="array" ref="AA18">_xlfn.IFNA(IF(INDEX('DEQ RBC REF'!$A$5:$R$267,MATCH($T18,'DEQ RBC REF'!$A$5:$A$267, 0),AA$4)="--","", (INDEX('DEQ RBC REF'!$A$5:$R$267,MATCH($T18,'DEQ RBC REF'!$A$5:$A$267, 0), AA$4))), "")</f>
        <v>8.8000000000000005E-3</v>
      </c>
      <c r="AB18" s="97" cm="1">
        <f t="array" ref="AB18">_xlfn.IFNA(IF(INDEX('DEQ RBC REF'!$A$5:$R$267,MATCH($T18,'DEQ RBC REF'!$A$5:$A$267, 0),AB$4)="--","", (INDEX('DEQ RBC REF'!$A$5:$R$267,MATCH($T18,'DEQ RBC REF'!$A$5:$A$267, 0), AB$4))), "")</f>
        <v>2E-3</v>
      </c>
    </row>
    <row r="19" spans="1:28" x14ac:dyDescent="0.35">
      <c r="A19" t="s">
        <v>357</v>
      </c>
      <c r="B19" s="58" t="s">
        <v>358</v>
      </c>
      <c r="C19" s="6"/>
      <c r="D19" s="6" t="s">
        <v>37</v>
      </c>
      <c r="E19" s="92">
        <v>0.14084507042253522</v>
      </c>
      <c r="F19" s="93" t="s">
        <v>37</v>
      </c>
      <c r="G19" s="92">
        <v>3.6619718309859155</v>
      </c>
      <c r="H19" s="93" t="s">
        <v>37</v>
      </c>
      <c r="I19" s="92">
        <v>1.6901408450704225</v>
      </c>
      <c r="J19" s="93" t="s">
        <v>37</v>
      </c>
      <c r="K19" s="94" t="s">
        <v>37</v>
      </c>
      <c r="L19" s="6">
        <v>1</v>
      </c>
      <c r="M19" s="6">
        <v>1</v>
      </c>
      <c r="N19" s="60" t="s">
        <v>312</v>
      </c>
      <c r="O19" s="60">
        <v>1</v>
      </c>
      <c r="P19" s="60">
        <v>1</v>
      </c>
      <c r="Q19" s="60">
        <v>1</v>
      </c>
      <c r="R19" s="60">
        <v>1</v>
      </c>
      <c r="T19" s="95" t="s">
        <v>20</v>
      </c>
      <c r="U19" s="96" t="s">
        <v>359</v>
      </c>
      <c r="V19" s="97" cm="1">
        <f t="array" ref="V19">_xlfn.IFNA(IF(INDEX('DEQ RBC REF'!$A$5:$R$267,MATCH($T19,'DEQ RBC REF'!$A$5:$A$267, 0),V$4)="--","", (INDEX('DEQ RBC REF'!$A$5:$R$267,MATCH($T19,'DEQ RBC REF'!$A$5:$A$267, 0), V$4))), "")</f>
        <v>4.1666666666666669E-4</v>
      </c>
      <c r="W19" s="97" cm="1">
        <f t="array" ref="W19">_xlfn.IFNA(IF(INDEX('DEQ RBC REF'!$A$5:$R$267,MATCH($T19,'DEQ RBC REF'!$A$5:$A$267, 0),W$4)="--","", (INDEX('DEQ RBC REF'!$A$5:$R$267,MATCH($T19,'DEQ RBC REF'!$A$5:$A$267, 0), W$4))), "")</f>
        <v>7.0000000000000001E-3</v>
      </c>
      <c r="X19" s="97" cm="1">
        <f t="array" ref="X19">_xlfn.IFNA(IF(INDEX('DEQ RBC REF'!$A$5:$R$267,MATCH($T19,'DEQ RBC REF'!$A$5:$A$267, 0),X$4)="--","", (INDEX('DEQ RBC REF'!$A$5:$R$267,MATCH($T19,'DEQ RBC REF'!$A$5:$A$267, 0), X$4))), "")</f>
        <v>1.0833333333333334E-2</v>
      </c>
      <c r="Y19" s="97" cm="1">
        <f t="array" ref="Y19">_xlfn.IFNA(IF(INDEX('DEQ RBC REF'!$A$5:$R$267,MATCH($T19,'DEQ RBC REF'!$A$5:$A$267, 0),Y$4)="--","", (INDEX('DEQ RBC REF'!$A$5:$R$267,MATCH($T19,'DEQ RBC REF'!$A$5:$A$267, 0), Y$4))), "")</f>
        <v>3.0800000000000004E-2</v>
      </c>
      <c r="Z19" s="97" cm="1">
        <f t="array" ref="Z19">_xlfn.IFNA(IF(INDEX('DEQ RBC REF'!$A$5:$R$267,MATCH($T19,'DEQ RBC REF'!$A$5:$A$267, 0),Z$4)="--","", (INDEX('DEQ RBC REF'!$A$5:$R$267,MATCH($T19,'DEQ RBC REF'!$A$5:$A$267, 0), Z$4))), "")</f>
        <v>5.0000000000000001E-3</v>
      </c>
      <c r="AA19" s="97" cm="1">
        <f t="array" ref="AA19">_xlfn.IFNA(IF(INDEX('DEQ RBC REF'!$A$5:$R$267,MATCH($T19,'DEQ RBC REF'!$A$5:$A$267, 0),AA$4)="--","", (INDEX('DEQ RBC REF'!$A$5:$R$267,MATCH($T19,'DEQ RBC REF'!$A$5:$A$267, 0), AA$4))), "")</f>
        <v>3.0800000000000004E-2</v>
      </c>
      <c r="AB19" s="97" cm="1">
        <f t="array" ref="AB19">_xlfn.IFNA(IF(INDEX('DEQ RBC REF'!$A$5:$R$267,MATCH($T19,'DEQ RBC REF'!$A$5:$A$267, 0),AB$4)="--","", (INDEX('DEQ RBC REF'!$A$5:$R$267,MATCH($T19,'DEQ RBC REF'!$A$5:$A$267, 0), AB$4))), "")</f>
        <v>0.02</v>
      </c>
    </row>
    <row r="20" spans="1:28" ht="18" customHeight="1" x14ac:dyDescent="0.35">
      <c r="A20" t="s">
        <v>347</v>
      </c>
      <c r="B20" s="58" t="s">
        <v>348</v>
      </c>
      <c r="C20" s="6" t="s">
        <v>346</v>
      </c>
      <c r="D20" s="6" t="s">
        <v>311</v>
      </c>
      <c r="E20" s="92">
        <v>2.3975065931431311E-5</v>
      </c>
      <c r="F20" s="93">
        <v>1.7045454545454544E-4</v>
      </c>
      <c r="G20" s="92">
        <v>1.3436692506459949E-3</v>
      </c>
      <c r="H20" s="93">
        <v>2.3571428571428576E-3</v>
      </c>
      <c r="I20" s="92">
        <v>6.2015503875968985E-4</v>
      </c>
      <c r="J20" s="93">
        <v>2.3571428571428571E-3</v>
      </c>
      <c r="K20" s="94">
        <v>0.2</v>
      </c>
      <c r="L20" s="6">
        <v>1</v>
      </c>
      <c r="M20" s="6">
        <v>1</v>
      </c>
      <c r="N20" s="60" t="s">
        <v>312</v>
      </c>
      <c r="O20" s="60">
        <v>9.6999999999999993</v>
      </c>
      <c r="P20" s="60">
        <v>4.5</v>
      </c>
      <c r="Q20" s="60">
        <v>88</v>
      </c>
      <c r="R20" s="60">
        <v>28</v>
      </c>
      <c r="T20" s="95" t="s">
        <v>21</v>
      </c>
      <c r="U20" s="96" t="s">
        <v>360</v>
      </c>
      <c r="V20" s="97" cm="1">
        <f t="array" ref="V20">_xlfn.IFNA(IF(INDEX('DEQ RBC REF'!$A$5:$R$267,MATCH($T20,'DEQ RBC REF'!$A$5:$A$267, 0),V$4)="--","", (INDEX('DEQ RBC REF'!$A$5:$R$267,MATCH($T20,'DEQ RBC REF'!$A$5:$A$267, 0), V$4))), "")</f>
        <v>5.5555555555555556E-4</v>
      </c>
      <c r="W20" s="97" cm="1">
        <f t="array" ref="W20">_xlfn.IFNA(IF(INDEX('DEQ RBC REF'!$A$5:$R$267,MATCH($T20,'DEQ RBC REF'!$A$5:$A$267, 0),W$4)="--","", (INDEX('DEQ RBC REF'!$A$5:$R$267,MATCH($T20,'DEQ RBC REF'!$A$5:$A$267, 0), W$4))), "")</f>
        <v>5.0000000000000001E-3</v>
      </c>
      <c r="X20" s="97" cm="1">
        <f t="array" ref="X20">_xlfn.IFNA(IF(INDEX('DEQ RBC REF'!$A$5:$R$267,MATCH($T20,'DEQ RBC REF'!$A$5:$A$267, 0),X$4)="--","", (INDEX('DEQ RBC REF'!$A$5:$R$267,MATCH($T20,'DEQ RBC REF'!$A$5:$A$267, 0), X$4))), "")</f>
        <v>1.4444444444444444E-2</v>
      </c>
      <c r="Y20" s="97" cm="1">
        <f t="array" ref="Y20">_xlfn.IFNA(IF(INDEX('DEQ RBC REF'!$A$5:$R$267,MATCH($T20,'DEQ RBC REF'!$A$5:$A$267, 0),Y$4)="--","", (INDEX('DEQ RBC REF'!$A$5:$R$267,MATCH($T20,'DEQ RBC REF'!$A$5:$A$267, 0), Y$4))), "")</f>
        <v>3.6666666666666667E-2</v>
      </c>
      <c r="Z20" s="97" cm="1">
        <f t="array" ref="Z20">_xlfn.IFNA(IF(INDEX('DEQ RBC REF'!$A$5:$R$267,MATCH($T20,'DEQ RBC REF'!$A$5:$A$267, 0),Z$4)="--","", (INDEX('DEQ RBC REF'!$A$5:$R$267,MATCH($T20,'DEQ RBC REF'!$A$5:$A$267, 0), Z$4))), "")</f>
        <v>6.6666666666666662E-3</v>
      </c>
      <c r="AA20" s="97" cm="1">
        <f t="array" ref="AA20">_xlfn.IFNA(IF(INDEX('DEQ RBC REF'!$A$5:$R$267,MATCH($T20,'DEQ RBC REF'!$A$5:$A$267, 0),AA$4)="--","", (INDEX('DEQ RBC REF'!$A$5:$R$267,MATCH($T20,'DEQ RBC REF'!$A$5:$A$267, 0), AA$4))), "")</f>
        <v>3.6666666666666674E-2</v>
      </c>
      <c r="AB20" s="97" cm="1">
        <f t="array" ref="AB20">_xlfn.IFNA(IF(INDEX('DEQ RBC REF'!$A$5:$R$267,MATCH($T20,'DEQ RBC REF'!$A$5:$A$267, 0),AB$4)="--","", (INDEX('DEQ RBC REF'!$A$5:$R$267,MATCH($T20,'DEQ RBC REF'!$A$5:$A$267, 0), AB$4))), "")</f>
        <v>0.03</v>
      </c>
    </row>
    <row r="21" spans="1:28" x14ac:dyDescent="0.35">
      <c r="A21" t="s">
        <v>361</v>
      </c>
      <c r="B21" s="58" t="s">
        <v>362</v>
      </c>
      <c r="C21" s="6"/>
      <c r="D21" s="6" t="s">
        <v>311</v>
      </c>
      <c r="E21" s="92" t="s">
        <v>37</v>
      </c>
      <c r="F21" s="93">
        <v>1.4999999999999999E-2</v>
      </c>
      <c r="G21" s="92" t="s">
        <v>37</v>
      </c>
      <c r="H21" s="93">
        <v>6.6000000000000003E-2</v>
      </c>
      <c r="I21" s="92" t="s">
        <v>37</v>
      </c>
      <c r="J21" s="93">
        <v>6.6000000000000003E-2</v>
      </c>
      <c r="K21" s="94">
        <v>0.2</v>
      </c>
      <c r="L21" s="6">
        <v>1</v>
      </c>
      <c r="M21" s="6">
        <v>1</v>
      </c>
      <c r="N21" s="60" t="s">
        <v>312</v>
      </c>
      <c r="O21" s="60">
        <v>1</v>
      </c>
      <c r="P21" s="60">
        <v>1</v>
      </c>
      <c r="Q21" s="60">
        <v>1</v>
      </c>
      <c r="R21" s="60">
        <v>1</v>
      </c>
      <c r="T21" s="95">
        <v>89</v>
      </c>
      <c r="U21" s="96" t="s">
        <v>363</v>
      </c>
      <c r="V21" s="97" t="str" cm="1">
        <f t="array" ref="V21">_xlfn.IFNA(IF(INDEX('DEQ RBC REF'!$A$5:$R$267,MATCH($T21,'DEQ RBC REF'!$A$5:$A$267, 0),V$4)="--","", (INDEX('DEQ RBC REF'!$A$5:$R$267,MATCH($T21,'DEQ RBC REF'!$A$5:$A$267, 0), V$4))), "")</f>
        <v/>
      </c>
      <c r="W21" s="97" t="str" cm="1">
        <f t="array" ref="W21">_xlfn.IFNA(IF(INDEX('DEQ RBC REF'!$A$5:$R$267,MATCH($T21,'DEQ RBC REF'!$A$5:$A$267, 0),W$4)="--","", (INDEX('DEQ RBC REF'!$A$5:$R$267,MATCH($T21,'DEQ RBC REF'!$A$5:$A$267, 0), W$4))), "")</f>
        <v/>
      </c>
      <c r="X21" s="97" t="str" cm="1">
        <f t="array" ref="X21">_xlfn.IFNA(IF(INDEX('DEQ RBC REF'!$A$5:$R$267,MATCH($T21,'DEQ RBC REF'!$A$5:$A$267, 0),X$4)="--","", (INDEX('DEQ RBC REF'!$A$5:$R$267,MATCH($T21,'DEQ RBC REF'!$A$5:$A$267, 0), X$4))), "")</f>
        <v/>
      </c>
      <c r="Y21" s="97" t="str" cm="1">
        <f t="array" ref="Y21">_xlfn.IFNA(IF(INDEX('DEQ RBC REF'!$A$5:$R$267,MATCH($T21,'DEQ RBC REF'!$A$5:$A$267, 0),Y$4)="--","", (INDEX('DEQ RBC REF'!$A$5:$R$267,MATCH($T21,'DEQ RBC REF'!$A$5:$A$267, 0), Y$4))), "")</f>
        <v/>
      </c>
      <c r="Z21" s="97" t="str" cm="1">
        <f t="array" ref="Z21">_xlfn.IFNA(IF(INDEX('DEQ RBC REF'!$A$5:$R$267,MATCH($T21,'DEQ RBC REF'!$A$5:$A$267, 0),Z$4)="--","", (INDEX('DEQ RBC REF'!$A$5:$R$267,MATCH($T21,'DEQ RBC REF'!$A$5:$A$267, 0), Z$4))), "")</f>
        <v/>
      </c>
      <c r="AA21" s="97" t="str" cm="1">
        <f t="array" ref="AA21">_xlfn.IFNA(IF(INDEX('DEQ RBC REF'!$A$5:$R$267,MATCH($T21,'DEQ RBC REF'!$A$5:$A$267, 0),AA$4)="--","", (INDEX('DEQ RBC REF'!$A$5:$R$267,MATCH($T21,'DEQ RBC REF'!$A$5:$A$267, 0), AA$4))), "")</f>
        <v/>
      </c>
      <c r="AB21" s="97" t="str" cm="1">
        <f t="array" ref="AB21">_xlfn.IFNA(IF(INDEX('DEQ RBC REF'!$A$5:$R$267,MATCH($T21,'DEQ RBC REF'!$A$5:$A$267, 0),AB$4)="--","", (INDEX('DEQ RBC REF'!$A$5:$R$267,MATCH($T21,'DEQ RBC REF'!$A$5:$A$267, 0), AB$4))), "")</f>
        <v/>
      </c>
    </row>
    <row r="22" spans="1:28" x14ac:dyDescent="0.35">
      <c r="A22" t="s">
        <v>364</v>
      </c>
      <c r="B22" s="58" t="s">
        <v>365</v>
      </c>
      <c r="C22" s="6" t="s">
        <v>366</v>
      </c>
      <c r="D22" s="6" t="s">
        <v>37</v>
      </c>
      <c r="E22" s="92">
        <v>4.3478260869565214E-6</v>
      </c>
      <c r="F22" s="93" t="s">
        <v>37</v>
      </c>
      <c r="G22" s="92">
        <v>1.1304347826086956E-4</v>
      </c>
      <c r="H22" s="93" t="s">
        <v>37</v>
      </c>
      <c r="I22" s="92">
        <v>5.2173913043478256E-5</v>
      </c>
      <c r="J22" s="93" t="s">
        <v>37</v>
      </c>
      <c r="K22" s="94" t="s">
        <v>37</v>
      </c>
      <c r="L22" s="6">
        <v>1</v>
      </c>
      <c r="M22" s="6">
        <v>1</v>
      </c>
      <c r="N22" s="60" t="s">
        <v>312</v>
      </c>
      <c r="O22" s="60">
        <v>1</v>
      </c>
      <c r="P22" s="60">
        <v>1</v>
      </c>
      <c r="Q22" s="60">
        <v>1</v>
      </c>
      <c r="R22" s="60">
        <v>1</v>
      </c>
      <c r="T22" s="95" t="s">
        <v>24</v>
      </c>
      <c r="U22" s="96" t="s">
        <v>367</v>
      </c>
      <c r="V22" s="97" cm="1">
        <f t="array" ref="V22">_xlfn.IFNA(IF(INDEX('DEQ RBC REF'!$A$5:$R$267,MATCH($T22,'DEQ RBC REF'!$A$5:$A$267, 0),V$4)="--","", (INDEX('DEQ RBC REF'!$A$5:$R$267,MATCH($T22,'DEQ RBC REF'!$A$5:$A$267, 0), V$4))), "")</f>
        <v>3.0637254901960784E-5</v>
      </c>
      <c r="W22" s="97" cm="1">
        <f t="array" ref="W22">_xlfn.IFNA(IF(INDEX('DEQ RBC REF'!$A$5:$R$267,MATCH($T22,'DEQ RBC REF'!$A$5:$A$267, 0),W$4)="--","", (INDEX('DEQ RBC REF'!$A$5:$R$267,MATCH($T22,'DEQ RBC REF'!$A$5:$A$267, 0), W$4))), "")</f>
        <v>8.3333333333333343E-2</v>
      </c>
      <c r="X22" s="97" cm="1">
        <f t="array" ref="X22">_xlfn.IFNA(IF(INDEX('DEQ RBC REF'!$A$5:$R$267,MATCH($T22,'DEQ RBC REF'!$A$5:$A$267, 0),X$4)="--","", (INDEX('DEQ RBC REF'!$A$5:$R$267,MATCH($T22,'DEQ RBC REF'!$A$5:$A$267, 0), X$4))), "")</f>
        <v>5.1587301587301582E-4</v>
      </c>
      <c r="Y22" s="97" cm="1">
        <f t="array" ref="Y22">_xlfn.IFNA(IF(INDEX('DEQ RBC REF'!$A$5:$R$267,MATCH($T22,'DEQ RBC REF'!$A$5:$A$267, 0),Y$4)="--","", (INDEX('DEQ RBC REF'!$A$5:$R$267,MATCH($T22,'DEQ RBC REF'!$A$5:$A$267, 0), Y$4))), "")</f>
        <v>0.88000000000000012</v>
      </c>
      <c r="Z22" s="97" cm="1">
        <f t="array" ref="Z22">_xlfn.IFNA(IF(INDEX('DEQ RBC REF'!$A$5:$R$267,MATCH($T22,'DEQ RBC REF'!$A$5:$A$267, 0),Z$4)="--","", (INDEX('DEQ RBC REF'!$A$5:$R$267,MATCH($T22,'DEQ RBC REF'!$A$5:$A$267, 0), Z$4))), "")</f>
        <v>1E-3</v>
      </c>
      <c r="AA22" s="97" cm="1">
        <f t="array" ref="AA22">_xlfn.IFNA(IF(INDEX('DEQ RBC REF'!$A$5:$R$267,MATCH($T22,'DEQ RBC REF'!$A$5:$A$267, 0),AA$4)="--","", (INDEX('DEQ RBC REF'!$A$5:$R$267,MATCH($T22,'DEQ RBC REF'!$A$5:$A$267, 0), AA$4))), "")</f>
        <v>0.88000000000000012</v>
      </c>
      <c r="AB22" s="97" cm="1">
        <f t="array" ref="AB22">_xlfn.IFNA(IF(INDEX('DEQ RBC REF'!$A$5:$R$267,MATCH($T22,'DEQ RBC REF'!$A$5:$A$267, 0),AB$4)="--","", (INDEX('DEQ RBC REF'!$A$5:$R$267,MATCH($T22,'DEQ RBC REF'!$A$5:$A$267, 0), AB$4))), "")</f>
        <v>0.3</v>
      </c>
    </row>
    <row r="23" spans="1:28" x14ac:dyDescent="0.35">
      <c r="A23" t="s">
        <v>368</v>
      </c>
      <c r="B23" s="58" t="s">
        <v>369</v>
      </c>
      <c r="C23" s="6"/>
      <c r="D23" s="6" t="s">
        <v>37</v>
      </c>
      <c r="E23" s="92">
        <v>3.2258064516129031E-2</v>
      </c>
      <c r="F23" s="93" t="s">
        <v>37</v>
      </c>
      <c r="G23" s="92">
        <v>0.83870967741935476</v>
      </c>
      <c r="H23" s="93" t="s">
        <v>37</v>
      </c>
      <c r="I23" s="92">
        <v>0.38709677419354838</v>
      </c>
      <c r="J23" s="93" t="s">
        <v>37</v>
      </c>
      <c r="K23" s="94" t="s">
        <v>37</v>
      </c>
      <c r="L23" s="6">
        <v>1</v>
      </c>
      <c r="M23" s="6">
        <v>1</v>
      </c>
      <c r="N23" s="60" t="s">
        <v>312</v>
      </c>
      <c r="O23" s="60">
        <v>1</v>
      </c>
      <c r="P23" s="60">
        <v>1</v>
      </c>
      <c r="Q23" s="60">
        <v>1</v>
      </c>
      <c r="R23" s="60">
        <v>1</v>
      </c>
      <c r="T23" s="95" t="s">
        <v>218</v>
      </c>
      <c r="U23" s="96" t="s">
        <v>370</v>
      </c>
      <c r="V23" s="97" t="str" cm="1">
        <f t="array" ref="V23">_xlfn.IFNA(IF(INDEX('DEQ RBC REF'!$A$5:$R$267,MATCH($T23,'DEQ RBC REF'!$A$5:$A$267, 0),V$4)="--","", (INDEX('DEQ RBC REF'!$A$5:$R$267,MATCH($T23,'DEQ RBC REF'!$A$5:$A$267, 0), V$4))), "")</f>
        <v/>
      </c>
      <c r="W23" s="97" cm="1">
        <f t="array" ref="W23">_xlfn.IFNA(IF(INDEX('DEQ RBC REF'!$A$5:$R$267,MATCH($T23,'DEQ RBC REF'!$A$5:$A$267, 0),W$4)="--","", (INDEX('DEQ RBC REF'!$A$5:$R$267,MATCH($T23,'DEQ RBC REF'!$A$5:$A$267, 0), W$4))), "")</f>
        <v>0.1</v>
      </c>
      <c r="X23" s="97" t="str" cm="1">
        <f t="array" ref="X23">_xlfn.IFNA(IF(INDEX('DEQ RBC REF'!$A$5:$R$267,MATCH($T23,'DEQ RBC REF'!$A$5:$A$267, 0),X$4)="--","", (INDEX('DEQ RBC REF'!$A$5:$R$267,MATCH($T23,'DEQ RBC REF'!$A$5:$A$267, 0), X$4))), "")</f>
        <v/>
      </c>
      <c r="Y23" s="97" cm="1">
        <f t="array" ref="Y23">_xlfn.IFNA(IF(INDEX('DEQ RBC REF'!$A$5:$R$267,MATCH($T23,'DEQ RBC REF'!$A$5:$A$267, 0),Y$4)="--","", (INDEX('DEQ RBC REF'!$A$5:$R$267,MATCH($T23,'DEQ RBC REF'!$A$5:$A$267, 0), Y$4))), "")</f>
        <v>0.44000000000000006</v>
      </c>
      <c r="Z23" s="97" t="str" cm="1">
        <f t="array" ref="Z23">_xlfn.IFNA(IF(INDEX('DEQ RBC REF'!$A$5:$R$267,MATCH($T23,'DEQ RBC REF'!$A$5:$A$267, 0),Z$4)="--","", (INDEX('DEQ RBC REF'!$A$5:$R$267,MATCH($T23,'DEQ RBC REF'!$A$5:$A$267, 0), Z$4))), "")</f>
        <v/>
      </c>
      <c r="AA23" s="97" cm="1">
        <f t="array" ref="AA23">_xlfn.IFNA(IF(INDEX('DEQ RBC REF'!$A$5:$R$267,MATCH($T23,'DEQ RBC REF'!$A$5:$A$267, 0),AA$4)="--","", (INDEX('DEQ RBC REF'!$A$5:$R$267,MATCH($T23,'DEQ RBC REF'!$A$5:$A$267, 0), AA$4))), "")</f>
        <v>0.44000000000000006</v>
      </c>
      <c r="AB23" s="97" t="str" cm="1">
        <f t="array" ref="AB23">_xlfn.IFNA(IF(INDEX('DEQ RBC REF'!$A$5:$R$267,MATCH($T23,'DEQ RBC REF'!$A$5:$A$267, 0),AB$4)="--","", (INDEX('DEQ RBC REF'!$A$5:$R$267,MATCH($T23,'DEQ RBC REF'!$A$5:$A$267, 0), AB$4))), "")</f>
        <v/>
      </c>
    </row>
    <row r="24" spans="1:28" x14ac:dyDescent="0.35">
      <c r="A24" t="s">
        <v>353</v>
      </c>
      <c r="B24" s="58" t="s">
        <v>354</v>
      </c>
      <c r="C24" s="6"/>
      <c r="D24" s="6" t="s">
        <v>311</v>
      </c>
      <c r="E24" s="92">
        <v>0.12820512820512819</v>
      </c>
      <c r="F24" s="93">
        <v>3</v>
      </c>
      <c r="G24" s="92">
        <v>3.333333333333333</v>
      </c>
      <c r="H24" s="93">
        <v>13.200000000000001</v>
      </c>
      <c r="I24" s="92">
        <v>1.5384615384615383</v>
      </c>
      <c r="J24" s="93">
        <v>13.200000000000001</v>
      </c>
      <c r="K24" s="94">
        <v>29</v>
      </c>
      <c r="L24" s="6">
        <v>1</v>
      </c>
      <c r="M24" s="6">
        <v>1</v>
      </c>
      <c r="N24" s="60" t="s">
        <v>312</v>
      </c>
      <c r="O24" s="60">
        <v>1</v>
      </c>
      <c r="P24" s="60">
        <v>1</v>
      </c>
      <c r="Q24" s="60">
        <v>1</v>
      </c>
      <c r="R24" s="60">
        <v>1</v>
      </c>
      <c r="T24" s="95" t="s">
        <v>25</v>
      </c>
      <c r="U24" s="96" t="s">
        <v>371</v>
      </c>
      <c r="V24" s="97" t="str" cm="1">
        <f t="array" ref="V24">_xlfn.IFNA(IF(INDEX('DEQ RBC REF'!$A$5:$R$267,MATCH($T24,'DEQ RBC REF'!$A$5:$A$267, 0),V$4)="--","", (INDEX('DEQ RBC REF'!$A$5:$R$267,MATCH($T24,'DEQ RBC REF'!$A$5:$A$267, 0), V$4))), "")</f>
        <v/>
      </c>
      <c r="W24" s="97" t="str" cm="1">
        <f t="array" ref="W24">_xlfn.IFNA(IF(INDEX('DEQ RBC REF'!$A$5:$R$267,MATCH($T24,'DEQ RBC REF'!$A$5:$A$267, 0),W$4)="--","", (INDEX('DEQ RBC REF'!$A$5:$R$267,MATCH($T24,'DEQ RBC REF'!$A$5:$A$267, 0), W$4))), "")</f>
        <v/>
      </c>
      <c r="X24" s="97" t="str" cm="1">
        <f t="array" ref="X24">_xlfn.IFNA(IF(INDEX('DEQ RBC REF'!$A$5:$R$267,MATCH($T24,'DEQ RBC REF'!$A$5:$A$267, 0),X$4)="--","", (INDEX('DEQ RBC REF'!$A$5:$R$267,MATCH($T24,'DEQ RBC REF'!$A$5:$A$267, 0), X$4))), "")</f>
        <v/>
      </c>
      <c r="Y24" s="97" t="str" cm="1">
        <f t="array" ref="Y24">_xlfn.IFNA(IF(INDEX('DEQ RBC REF'!$A$5:$R$267,MATCH($T24,'DEQ RBC REF'!$A$5:$A$267, 0),Y$4)="--","", (INDEX('DEQ RBC REF'!$A$5:$R$267,MATCH($T24,'DEQ RBC REF'!$A$5:$A$267, 0), Y$4))), "")</f>
        <v/>
      </c>
      <c r="Z24" s="97" t="str" cm="1">
        <f t="array" ref="Z24">_xlfn.IFNA(IF(INDEX('DEQ RBC REF'!$A$5:$R$267,MATCH($T24,'DEQ RBC REF'!$A$5:$A$267, 0),Z$4)="--","", (INDEX('DEQ RBC REF'!$A$5:$R$267,MATCH($T24,'DEQ RBC REF'!$A$5:$A$267, 0), Z$4))), "")</f>
        <v/>
      </c>
      <c r="AA24" s="97" t="str" cm="1">
        <f t="array" ref="AA24">_xlfn.IFNA(IF(INDEX('DEQ RBC REF'!$A$5:$R$267,MATCH($T24,'DEQ RBC REF'!$A$5:$A$267, 0),AA$4)="--","", (INDEX('DEQ RBC REF'!$A$5:$R$267,MATCH($T24,'DEQ RBC REF'!$A$5:$A$267, 0), AA$4))), "")</f>
        <v/>
      </c>
      <c r="AB24" s="97" cm="1">
        <f t="array" ref="AB24">_xlfn.IFNA(IF(INDEX('DEQ RBC REF'!$A$5:$R$267,MATCH($T24,'DEQ RBC REF'!$A$5:$A$267, 0),AB$4)="--","", (INDEX('DEQ RBC REF'!$A$5:$R$267,MATCH($T24,'DEQ RBC REF'!$A$5:$A$267, 0), AB$4))), "")</f>
        <v>100</v>
      </c>
    </row>
    <row r="25" spans="1:28" x14ac:dyDescent="0.35">
      <c r="A25" t="s">
        <v>372</v>
      </c>
      <c r="B25" s="58" t="s">
        <v>373</v>
      </c>
      <c r="C25" s="6" t="s">
        <v>329</v>
      </c>
      <c r="D25" s="6" t="s">
        <v>37</v>
      </c>
      <c r="E25" s="92">
        <v>4.2016806722689068E-6</v>
      </c>
      <c r="F25" s="93" t="s">
        <v>37</v>
      </c>
      <c r="G25" s="92">
        <v>4.4217687074829926E-5</v>
      </c>
      <c r="H25" s="93" t="s">
        <v>37</v>
      </c>
      <c r="I25" s="92">
        <v>8.5714285714285699E-5</v>
      </c>
      <c r="J25" s="93" t="s">
        <v>37</v>
      </c>
      <c r="K25" s="94" t="s">
        <v>37</v>
      </c>
      <c r="L25" s="6">
        <v>1</v>
      </c>
      <c r="M25" s="6">
        <v>1</v>
      </c>
      <c r="N25" s="60" t="s">
        <v>330</v>
      </c>
      <c r="O25" s="60">
        <v>1</v>
      </c>
      <c r="P25" s="60">
        <v>1</v>
      </c>
      <c r="Q25" s="60">
        <v>1</v>
      </c>
      <c r="R25" s="60">
        <v>1</v>
      </c>
      <c r="T25" s="95">
        <v>200</v>
      </c>
      <c r="U25" s="96" t="s">
        <v>374</v>
      </c>
      <c r="V25" s="97" cm="1">
        <f t="array" ref="V25">_xlfn.IFNA(IF(INDEX('DEQ RBC REF'!$A$5:$R$267,MATCH($T25,'DEQ RBC REF'!$A$5:$A$267, 0),V$4)="--","", (INDEX('DEQ RBC REF'!$A$5:$R$267,MATCH($T25,'DEQ RBC REF'!$A$5:$A$267, 0), V$4))), "")</f>
        <v>0.1</v>
      </c>
      <c r="W25" s="97" cm="1">
        <f t="array" ref="W25">_xlfn.IFNA(IF(INDEX('DEQ RBC REF'!$A$5:$R$267,MATCH($T25,'DEQ RBC REF'!$A$5:$A$267, 0),W$4)="--","", (INDEX('DEQ RBC REF'!$A$5:$R$267,MATCH($T25,'DEQ RBC REF'!$A$5:$A$267, 0), W$4))), "")</f>
        <v>5</v>
      </c>
      <c r="X25" s="97" cm="1">
        <f t="array" ref="X25">_xlfn.IFNA(IF(INDEX('DEQ RBC REF'!$A$5:$R$267,MATCH($T25,'DEQ RBC REF'!$A$5:$A$267, 0),X$4)="--","", (INDEX('DEQ RBC REF'!$A$5:$R$267,MATCH($T25,'DEQ RBC REF'!$A$5:$A$267, 0), X$4))), "")</f>
        <v>2.6</v>
      </c>
      <c r="Y25" s="97" cm="1">
        <f t="array" ref="Y25">_xlfn.IFNA(IF(INDEX('DEQ RBC REF'!$A$5:$R$267,MATCH($T25,'DEQ RBC REF'!$A$5:$A$267, 0),Y$4)="--","", (INDEX('DEQ RBC REF'!$A$5:$R$267,MATCH($T25,'DEQ RBC REF'!$A$5:$A$267, 0), Y$4))), "")</f>
        <v>22</v>
      </c>
      <c r="Z25" s="97" cm="1">
        <f t="array" ref="Z25">_xlfn.IFNA(IF(INDEX('DEQ RBC REF'!$A$5:$R$267,MATCH($T25,'DEQ RBC REF'!$A$5:$A$267, 0),Z$4)="--","", (INDEX('DEQ RBC REF'!$A$5:$R$267,MATCH($T25,'DEQ RBC REF'!$A$5:$A$267, 0), Z$4))), "")</f>
        <v>1.2000000000000002</v>
      </c>
      <c r="AA25" s="97" cm="1">
        <f t="array" ref="AA25">_xlfn.IFNA(IF(INDEX('DEQ RBC REF'!$A$5:$R$267,MATCH($T25,'DEQ RBC REF'!$A$5:$A$267, 0),AA$4)="--","", (INDEX('DEQ RBC REF'!$A$5:$R$267,MATCH($T25,'DEQ RBC REF'!$A$5:$A$267, 0), AA$4))), "")</f>
        <v>22</v>
      </c>
      <c r="AB25" s="97" t="str" cm="1">
        <f t="array" ref="AB25">_xlfn.IFNA(IF(INDEX('DEQ RBC REF'!$A$5:$R$267,MATCH($T25,'DEQ RBC REF'!$A$5:$A$267, 0),AB$4)="--","", (INDEX('DEQ RBC REF'!$A$5:$R$267,MATCH($T25,'DEQ RBC REF'!$A$5:$A$267, 0), AB$4))), "")</f>
        <v/>
      </c>
    </row>
    <row r="26" spans="1:28" x14ac:dyDescent="0.35">
      <c r="A26" t="s">
        <v>375</v>
      </c>
      <c r="B26" s="58" t="s">
        <v>376</v>
      </c>
      <c r="C26" s="6"/>
      <c r="D26" s="6" t="s">
        <v>311</v>
      </c>
      <c r="E26" s="92">
        <v>2.0408163265306121E-2</v>
      </c>
      <c r="F26" s="93">
        <v>1</v>
      </c>
      <c r="G26" s="92">
        <v>0.53061224489795911</v>
      </c>
      <c r="H26" s="93">
        <v>4.4000000000000004</v>
      </c>
      <c r="I26" s="92">
        <v>0.24489795918367346</v>
      </c>
      <c r="J26" s="93">
        <v>4.4000000000000004</v>
      </c>
      <c r="K26" s="94">
        <v>240</v>
      </c>
      <c r="L26" s="6">
        <v>1</v>
      </c>
      <c r="M26" s="6">
        <v>1</v>
      </c>
      <c r="N26" s="60" t="s">
        <v>312</v>
      </c>
      <c r="O26" s="60">
        <v>1</v>
      </c>
      <c r="P26" s="60">
        <v>1</v>
      </c>
      <c r="Q26" s="60">
        <v>1</v>
      </c>
      <c r="R26" s="60">
        <v>1</v>
      </c>
      <c r="T26" s="95" t="s">
        <v>377</v>
      </c>
      <c r="U26" s="96" t="s">
        <v>378</v>
      </c>
      <c r="V26" s="97" cm="1">
        <f t="array" ref="V26">_xlfn.IFNA(IF(INDEX('DEQ RBC REF'!$A$5:$R$267,MATCH($T26,'DEQ RBC REF'!$A$5:$A$267, 0),V$4)="--","", (INDEX('DEQ RBC REF'!$A$5:$R$267,MATCH($T26,'DEQ RBC REF'!$A$5:$A$267, 0), V$4))), "")</f>
        <v>0.39999999999999997</v>
      </c>
      <c r="W26" s="97" cm="1">
        <f t="array" ref="W26">_xlfn.IFNA(IF(INDEX('DEQ RBC REF'!$A$5:$R$267,MATCH($T26,'DEQ RBC REF'!$A$5:$A$267, 0),W$4)="--","", (INDEX('DEQ RBC REF'!$A$5:$R$267,MATCH($T26,'DEQ RBC REF'!$A$5:$A$267, 0), W$4))), "")</f>
        <v>260</v>
      </c>
      <c r="X26" s="97" cm="1">
        <f t="array" ref="X26">_xlfn.IFNA(IF(INDEX('DEQ RBC REF'!$A$5:$R$267,MATCH($T26,'DEQ RBC REF'!$A$5:$A$267, 0),X$4)="--","", (INDEX('DEQ RBC REF'!$A$5:$R$267,MATCH($T26,'DEQ RBC REF'!$A$5:$A$267, 0), X$4))), "")</f>
        <v>10.399999999999999</v>
      </c>
      <c r="Y26" s="97" cm="1">
        <f t="array" ref="Y26">_xlfn.IFNA(IF(INDEX('DEQ RBC REF'!$A$5:$R$267,MATCH($T26,'DEQ RBC REF'!$A$5:$A$267, 0),Y$4)="--","", (INDEX('DEQ RBC REF'!$A$5:$R$267,MATCH($T26,'DEQ RBC REF'!$A$5:$A$267, 0), Y$4))), "")</f>
        <v>1144</v>
      </c>
      <c r="Z26" s="97" cm="1">
        <f t="array" ref="Z26">_xlfn.IFNA(IF(INDEX('DEQ RBC REF'!$A$5:$R$267,MATCH($T26,'DEQ RBC REF'!$A$5:$A$267, 0),Z$4)="--","", (INDEX('DEQ RBC REF'!$A$5:$R$267,MATCH($T26,'DEQ RBC REF'!$A$5:$A$267, 0), Z$4))), "")</f>
        <v>4.8</v>
      </c>
      <c r="AA26" s="97" cm="1">
        <f t="array" ref="AA26">_xlfn.IFNA(IF(INDEX('DEQ RBC REF'!$A$5:$R$267,MATCH($T26,'DEQ RBC REF'!$A$5:$A$267, 0),AA$4)="--","", (INDEX('DEQ RBC REF'!$A$5:$R$267,MATCH($T26,'DEQ RBC REF'!$A$5:$A$267, 0), AA$4))), "")</f>
        <v>1144</v>
      </c>
      <c r="AB26" s="97" cm="1">
        <f t="array" ref="AB26">_xlfn.IFNA(IF(INDEX('DEQ RBC REF'!$A$5:$R$267,MATCH($T26,'DEQ RBC REF'!$A$5:$A$267, 0),AB$4)="--","", (INDEX('DEQ RBC REF'!$A$5:$R$267,MATCH($T26,'DEQ RBC REF'!$A$5:$A$267, 0), AB$4))), "")</f>
        <v>22000</v>
      </c>
    </row>
    <row r="27" spans="1:28" x14ac:dyDescent="0.35">
      <c r="A27" t="s">
        <v>20</v>
      </c>
      <c r="B27" s="58" t="s">
        <v>359</v>
      </c>
      <c r="C27" s="6" t="s">
        <v>346</v>
      </c>
      <c r="D27" s="6" t="s">
        <v>311</v>
      </c>
      <c r="E27" s="92">
        <v>4.1666666666666669E-4</v>
      </c>
      <c r="F27" s="93">
        <v>7.0000000000000001E-3</v>
      </c>
      <c r="G27" s="92">
        <v>1.0833333333333334E-2</v>
      </c>
      <c r="H27" s="93">
        <v>3.0800000000000004E-2</v>
      </c>
      <c r="I27" s="92">
        <v>5.0000000000000001E-3</v>
      </c>
      <c r="J27" s="93">
        <v>3.0800000000000004E-2</v>
      </c>
      <c r="K27" s="94">
        <v>0.02</v>
      </c>
      <c r="L27" s="6">
        <v>1</v>
      </c>
      <c r="M27" s="6">
        <v>1</v>
      </c>
      <c r="N27" s="60" t="s">
        <v>312</v>
      </c>
      <c r="O27" s="60">
        <v>1</v>
      </c>
      <c r="P27" s="60">
        <v>1</v>
      </c>
      <c r="Q27" s="60">
        <v>1</v>
      </c>
      <c r="R27" s="60">
        <v>1</v>
      </c>
      <c r="T27" s="95">
        <v>239</v>
      </c>
      <c r="U27" s="96" t="s">
        <v>17</v>
      </c>
      <c r="V27" s="97" t="str" cm="1">
        <f t="array" ref="V27">_xlfn.IFNA(IF(INDEX('DEQ RBC REF'!$A$5:$R$267,MATCH($T27,'DEQ RBC REF'!$A$5:$A$267, 0),V$4)="--","", (INDEX('DEQ RBC REF'!$A$5:$R$267,MATCH($T27,'DEQ RBC REF'!$A$5:$A$267, 0), V$4))), "")</f>
        <v/>
      </c>
      <c r="W27" s="97" cm="1">
        <f t="array" ref="W27">_xlfn.IFNA(IF(INDEX('DEQ RBC REF'!$A$5:$R$267,MATCH($T27,'DEQ RBC REF'!$A$5:$A$267, 0),W$4)="--","", (INDEX('DEQ RBC REF'!$A$5:$R$267,MATCH($T27,'DEQ RBC REF'!$A$5:$A$267, 0), W$4))), "")</f>
        <v>2.2807017543859649</v>
      </c>
      <c r="X27" s="97" t="str" cm="1">
        <f t="array" ref="X27">_xlfn.IFNA(IF(INDEX('DEQ RBC REF'!$A$5:$R$267,MATCH($T27,'DEQ RBC REF'!$A$5:$A$267, 0),X$4)="--","", (INDEX('DEQ RBC REF'!$A$5:$R$267,MATCH($T27,'DEQ RBC REF'!$A$5:$A$267, 0), X$4))), "")</f>
        <v/>
      </c>
      <c r="Y27" s="97" cm="1">
        <f t="array" ref="Y27">_xlfn.IFNA(IF(INDEX('DEQ RBC REF'!$A$5:$R$267,MATCH($T27,'DEQ RBC REF'!$A$5:$A$267, 0),Y$4)="--","", (INDEX('DEQ RBC REF'!$A$5:$R$267,MATCH($T27,'DEQ RBC REF'!$A$5:$A$267, 0), Y$4))), "")</f>
        <v>19.724137931034488</v>
      </c>
      <c r="Z27" s="97" t="str" cm="1">
        <f t="array" ref="Z27">_xlfn.IFNA(IF(INDEX('DEQ RBC REF'!$A$5:$R$267,MATCH($T27,'DEQ RBC REF'!$A$5:$A$267, 0),Z$4)="--","", (INDEX('DEQ RBC REF'!$A$5:$R$267,MATCH($T27,'DEQ RBC REF'!$A$5:$A$267, 0), Z$4))), "")</f>
        <v/>
      </c>
      <c r="AA27" s="97" cm="1">
        <f t="array" ref="AA27">_xlfn.IFNA(IF(INDEX('DEQ RBC REF'!$A$5:$R$267,MATCH($T27,'DEQ RBC REF'!$A$5:$A$267, 0),AA$4)="--","", (INDEX('DEQ RBC REF'!$A$5:$R$267,MATCH($T27,'DEQ RBC REF'!$A$5:$A$267, 0), AA$4))), "")</f>
        <v>19.724137931034484</v>
      </c>
      <c r="AB27" s="97" cm="1">
        <f t="array" ref="AB27">_xlfn.IFNA(IF(INDEX('DEQ RBC REF'!$A$5:$R$267,MATCH($T27,'DEQ RBC REF'!$A$5:$A$267, 0),AB$4)="--","", (INDEX('DEQ RBC REF'!$A$5:$R$267,MATCH($T27,'DEQ RBC REF'!$A$5:$A$267, 0), AB$4))), "")</f>
        <v>240</v>
      </c>
    </row>
    <row r="28" spans="1:28" ht="29" x14ac:dyDescent="0.35">
      <c r="A28" t="s">
        <v>379</v>
      </c>
      <c r="B28" s="58" t="s">
        <v>380</v>
      </c>
      <c r="C28" s="6"/>
      <c r="D28" s="6" t="s">
        <v>311</v>
      </c>
      <c r="E28" s="92">
        <v>1.408450704225352E-3</v>
      </c>
      <c r="F28" s="93" t="s">
        <v>37</v>
      </c>
      <c r="G28" s="92">
        <v>3.6619718309859148E-2</v>
      </c>
      <c r="H28" s="93" t="s">
        <v>37</v>
      </c>
      <c r="I28" s="92">
        <v>1.6901408450704224E-2</v>
      </c>
      <c r="J28" s="93" t="s">
        <v>37</v>
      </c>
      <c r="K28" s="94">
        <v>120</v>
      </c>
      <c r="L28" s="6">
        <v>1</v>
      </c>
      <c r="M28" s="6">
        <v>1</v>
      </c>
      <c r="N28" s="60" t="s">
        <v>312</v>
      </c>
      <c r="O28" s="60">
        <v>1</v>
      </c>
      <c r="P28" s="60">
        <v>1</v>
      </c>
      <c r="Q28" s="60">
        <v>1</v>
      </c>
      <c r="R28" s="60">
        <v>1</v>
      </c>
      <c r="T28" s="95" t="s">
        <v>381</v>
      </c>
      <c r="U28" s="96" t="s">
        <v>382</v>
      </c>
      <c r="V28" s="97" cm="1">
        <f t="array" ref="V28">_xlfn.IFNA(IF(INDEX('DEQ RBC REF'!$A$5:$R$267,MATCH($T28,'DEQ RBC REF'!$A$5:$A$267, 0),V$4)="--","", (INDEX('DEQ RBC REF'!$A$5:$R$267,MATCH($T28,'DEQ RBC REF'!$A$5:$A$267, 0), V$4))), "")</f>
        <v>0.16666666666666666</v>
      </c>
      <c r="W28" s="97" cm="1">
        <f t="array" ref="W28">_xlfn.IFNA(IF(INDEX('DEQ RBC REF'!$A$5:$R$267,MATCH($T28,'DEQ RBC REF'!$A$5:$A$267, 0),W$4)="--","", (INDEX('DEQ RBC REF'!$A$5:$R$267,MATCH($T28,'DEQ RBC REF'!$A$5:$A$267, 0), W$4))), "")</f>
        <v>9</v>
      </c>
      <c r="X28" s="97" cm="1">
        <f t="array" ref="X28">_xlfn.IFNA(IF(INDEX('DEQ RBC REF'!$A$5:$R$267,MATCH($T28,'DEQ RBC REF'!$A$5:$A$267, 0),X$4)="--","", (INDEX('DEQ RBC REF'!$A$5:$R$267,MATCH($T28,'DEQ RBC REF'!$A$5:$A$267, 0), X$4))), "")</f>
        <v>4.333333333333333</v>
      </c>
      <c r="Y28" s="97" cm="1">
        <f t="array" ref="Y28">_xlfn.IFNA(IF(INDEX('DEQ RBC REF'!$A$5:$R$267,MATCH($T28,'DEQ RBC REF'!$A$5:$A$267, 0),Y$4)="--","", (INDEX('DEQ RBC REF'!$A$5:$R$267,MATCH($T28,'DEQ RBC REF'!$A$5:$A$267, 0), Y$4))), "")</f>
        <v>39.6</v>
      </c>
      <c r="Z28" s="97" cm="1">
        <f t="array" ref="Z28">_xlfn.IFNA(IF(INDEX('DEQ RBC REF'!$A$5:$R$267,MATCH($T28,'DEQ RBC REF'!$A$5:$A$267, 0),Z$4)="--","", (INDEX('DEQ RBC REF'!$A$5:$R$267,MATCH($T28,'DEQ RBC REF'!$A$5:$A$267, 0), Z$4))), "")</f>
        <v>2</v>
      </c>
      <c r="AA28" s="97" cm="1">
        <f t="array" ref="AA28">_xlfn.IFNA(IF(INDEX('DEQ RBC REF'!$A$5:$R$267,MATCH($T28,'DEQ RBC REF'!$A$5:$A$267, 0),AA$4)="--","", (INDEX('DEQ RBC REF'!$A$5:$R$267,MATCH($T28,'DEQ RBC REF'!$A$5:$A$267, 0), AA$4))), "")</f>
        <v>39.6</v>
      </c>
      <c r="AB28" s="97" cm="1">
        <f t="array" ref="AB28">_xlfn.IFNA(IF(INDEX('DEQ RBC REF'!$A$5:$R$267,MATCH($T28,'DEQ RBC REF'!$A$5:$A$267, 0),AB$4)="--","", (INDEX('DEQ RBC REF'!$A$5:$R$267,MATCH($T28,'DEQ RBC REF'!$A$5:$A$267, 0), AB$4))), "")</f>
        <v>49</v>
      </c>
    </row>
    <row r="29" spans="1:28" ht="20.25" customHeight="1" x14ac:dyDescent="0.35">
      <c r="A29" t="s">
        <v>383</v>
      </c>
      <c r="B29" s="58" t="s">
        <v>384</v>
      </c>
      <c r="C29" s="6"/>
      <c r="D29" s="6" t="s">
        <v>326</v>
      </c>
      <c r="E29" s="92">
        <v>7.6923076923076926E-5</v>
      </c>
      <c r="F29" s="93" t="s">
        <v>37</v>
      </c>
      <c r="G29" s="92">
        <v>2E-3</v>
      </c>
      <c r="H29" s="93" t="s">
        <v>37</v>
      </c>
      <c r="I29" s="92">
        <v>9.2307692307692316E-4</v>
      </c>
      <c r="J29" s="93" t="s">
        <v>37</v>
      </c>
      <c r="K29" s="94">
        <v>1.4</v>
      </c>
      <c r="L29" s="6">
        <v>1</v>
      </c>
      <c r="M29" s="6">
        <v>1</v>
      </c>
      <c r="N29" s="60" t="s">
        <v>312</v>
      </c>
      <c r="O29" s="60">
        <v>1</v>
      </c>
      <c r="P29" s="60">
        <v>1</v>
      </c>
      <c r="Q29" s="60">
        <v>1</v>
      </c>
      <c r="R29" s="60">
        <v>1</v>
      </c>
      <c r="T29" s="95" t="s">
        <v>385</v>
      </c>
      <c r="U29" s="96" t="s">
        <v>386</v>
      </c>
      <c r="V29" s="97" t="str" cm="1">
        <f t="array" ref="V29">_xlfn.IFNA(IF(INDEX('DEQ RBC REF'!$A$5:$R$267,MATCH($T29,'DEQ RBC REF'!$A$5:$A$267, 0),V$4)="--","", (INDEX('DEQ RBC REF'!$A$5:$R$267,MATCH($T29,'DEQ RBC REF'!$A$5:$A$267, 0), V$4))), "")</f>
        <v/>
      </c>
      <c r="W29" s="97" cm="1">
        <f t="array" ref="W29">_xlfn.IFNA(IF(INDEX('DEQ RBC REF'!$A$5:$R$267,MATCH($T29,'DEQ RBC REF'!$A$5:$A$267, 0),W$4)="--","", (INDEX('DEQ RBC REF'!$A$5:$R$267,MATCH($T29,'DEQ RBC REF'!$A$5:$A$267, 0), W$4))), "")</f>
        <v>6.9000000000000006E-2</v>
      </c>
      <c r="X29" s="97" t="str" cm="1">
        <f t="array" ref="X29">_xlfn.IFNA(IF(INDEX('DEQ RBC REF'!$A$5:$R$267,MATCH($T29,'DEQ RBC REF'!$A$5:$A$267, 0),X$4)="--","", (INDEX('DEQ RBC REF'!$A$5:$R$267,MATCH($T29,'DEQ RBC REF'!$A$5:$A$267, 0), X$4))), "")</f>
        <v/>
      </c>
      <c r="Y29" s="97" cm="1">
        <f t="array" ref="Y29">_xlfn.IFNA(IF(INDEX('DEQ RBC REF'!$A$5:$R$267,MATCH($T29,'DEQ RBC REF'!$A$5:$A$267, 0),Y$4)="--","", (INDEX('DEQ RBC REF'!$A$5:$R$267,MATCH($T29,'DEQ RBC REF'!$A$5:$A$267, 0), Y$4))), "")</f>
        <v>0.30360000000000004</v>
      </c>
      <c r="Z29" s="97" t="str" cm="1">
        <f t="array" ref="Z29">_xlfn.IFNA(IF(INDEX('DEQ RBC REF'!$A$5:$R$267,MATCH($T29,'DEQ RBC REF'!$A$5:$A$267, 0),Z$4)="--","", (INDEX('DEQ RBC REF'!$A$5:$R$267,MATCH($T29,'DEQ RBC REF'!$A$5:$A$267, 0), Z$4))), "")</f>
        <v/>
      </c>
      <c r="AA29" s="97" cm="1">
        <f t="array" ref="AA29">_xlfn.IFNA(IF(INDEX('DEQ RBC REF'!$A$5:$R$267,MATCH($T29,'DEQ RBC REF'!$A$5:$A$267, 0),AA$4)="--","", (INDEX('DEQ RBC REF'!$A$5:$R$267,MATCH($T29,'DEQ RBC REF'!$A$5:$A$267, 0), AA$4))), "")</f>
        <v>0.30360000000000004</v>
      </c>
      <c r="AB29" s="97" cm="1">
        <f t="array" ref="AB29">_xlfn.IFNA(IF(INDEX('DEQ RBC REF'!$A$5:$R$267,MATCH($T29,'DEQ RBC REF'!$A$5:$A$267, 0),AB$4)="--","", (INDEX('DEQ RBC REF'!$A$5:$R$267,MATCH($T29,'DEQ RBC REF'!$A$5:$A$267, 0), AB$4))), "")</f>
        <v>0.21</v>
      </c>
    </row>
    <row r="30" spans="1:28" ht="29" x14ac:dyDescent="0.35">
      <c r="A30" t="s">
        <v>387</v>
      </c>
      <c r="B30" s="58" t="s">
        <v>388</v>
      </c>
      <c r="C30" s="6" t="s">
        <v>389</v>
      </c>
      <c r="D30" s="6" t="s">
        <v>37</v>
      </c>
      <c r="E30" s="92">
        <v>8.0128205128205135E-2</v>
      </c>
      <c r="F30" s="93" t="s">
        <v>37</v>
      </c>
      <c r="G30" s="92">
        <v>10.833333333333334</v>
      </c>
      <c r="H30" s="93" t="s">
        <v>37</v>
      </c>
      <c r="I30" s="92">
        <v>5</v>
      </c>
      <c r="J30" s="93" t="s">
        <v>37</v>
      </c>
      <c r="K30" s="94" t="s">
        <v>37</v>
      </c>
      <c r="L30" s="6">
        <v>1</v>
      </c>
      <c r="M30" s="6">
        <v>1</v>
      </c>
      <c r="N30" s="60" t="s">
        <v>312</v>
      </c>
      <c r="O30" s="60">
        <v>5.2</v>
      </c>
      <c r="P30" s="60">
        <v>1</v>
      </c>
      <c r="Q30" s="60">
        <v>1</v>
      </c>
      <c r="R30" s="60">
        <v>1</v>
      </c>
      <c r="T30" s="95" t="s">
        <v>390</v>
      </c>
      <c r="U30" s="96" t="s">
        <v>391</v>
      </c>
      <c r="V30" s="97" t="str" cm="1">
        <f t="array" ref="V30">_xlfn.IFNA(IF(INDEX('DEQ RBC REF'!$A$5:$R$267,MATCH($T30,'DEQ RBC REF'!$A$5:$A$267, 0),V$4)="--","", (INDEX('DEQ RBC REF'!$A$5:$R$267,MATCH($T30,'DEQ RBC REF'!$A$5:$A$267, 0), V$4))), "")</f>
        <v/>
      </c>
      <c r="W30" s="97" cm="1">
        <f t="array" ref="W30">_xlfn.IFNA(IF(INDEX('DEQ RBC REF'!$A$5:$R$267,MATCH($T30,'DEQ RBC REF'!$A$5:$A$267, 0),W$4)="--","", (INDEX('DEQ RBC REF'!$A$5:$R$267,MATCH($T30,'DEQ RBC REF'!$A$5:$A$267, 0), W$4))), "")</f>
        <v>700</v>
      </c>
      <c r="X30" s="97" t="str" cm="1">
        <f t="array" ref="X30">_xlfn.IFNA(IF(INDEX('DEQ RBC REF'!$A$5:$R$267,MATCH($T30,'DEQ RBC REF'!$A$5:$A$267, 0),X$4)="--","", (INDEX('DEQ RBC REF'!$A$5:$R$267,MATCH($T30,'DEQ RBC REF'!$A$5:$A$267, 0), X$4))), "")</f>
        <v/>
      </c>
      <c r="Y30" s="97" cm="1">
        <f t="array" ref="Y30">_xlfn.IFNA(IF(INDEX('DEQ RBC REF'!$A$5:$R$267,MATCH($T30,'DEQ RBC REF'!$A$5:$A$267, 0),Y$4)="--","", (INDEX('DEQ RBC REF'!$A$5:$R$267,MATCH($T30,'DEQ RBC REF'!$A$5:$A$267, 0), Y$4))), "")</f>
        <v>3080.0000000000005</v>
      </c>
      <c r="Z30" s="97" t="str" cm="1">
        <f t="array" ref="Z30">_xlfn.IFNA(IF(INDEX('DEQ RBC REF'!$A$5:$R$267,MATCH($T30,'DEQ RBC REF'!$A$5:$A$267, 0),Z$4)="--","", (INDEX('DEQ RBC REF'!$A$5:$R$267,MATCH($T30,'DEQ RBC REF'!$A$5:$A$267, 0), Z$4))), "")</f>
        <v/>
      </c>
      <c r="AA30" s="97" cm="1">
        <f t="array" ref="AA30">_xlfn.IFNA(IF(INDEX('DEQ RBC REF'!$A$5:$R$267,MATCH($T30,'DEQ RBC REF'!$A$5:$A$267, 0),AA$4)="--","", (INDEX('DEQ RBC REF'!$A$5:$R$267,MATCH($T30,'DEQ RBC REF'!$A$5:$A$267, 0), AA$4))), "")</f>
        <v>3080.0000000000005</v>
      </c>
      <c r="AB30" s="97" t="str" cm="1">
        <f t="array" ref="AB30">_xlfn.IFNA(IF(INDEX('DEQ RBC REF'!$A$5:$R$267,MATCH($T30,'DEQ RBC REF'!$A$5:$A$267, 0),AB$4)="--","", (INDEX('DEQ RBC REF'!$A$5:$R$267,MATCH($T30,'DEQ RBC REF'!$A$5:$A$267, 0), AB$4))), "")</f>
        <v/>
      </c>
    </row>
    <row r="31" spans="1:28" x14ac:dyDescent="0.35">
      <c r="A31" t="s">
        <v>392</v>
      </c>
      <c r="B31" s="58" t="s">
        <v>393</v>
      </c>
      <c r="C31" s="6"/>
      <c r="D31" s="6" t="s">
        <v>37</v>
      </c>
      <c r="E31" s="92">
        <v>0.90909090909090895</v>
      </c>
      <c r="F31" s="93" t="s">
        <v>37</v>
      </c>
      <c r="G31" s="92">
        <v>23.636363636363633</v>
      </c>
      <c r="H31" s="93" t="s">
        <v>37</v>
      </c>
      <c r="I31" s="92">
        <v>10.909090909090907</v>
      </c>
      <c r="J31" s="93" t="s">
        <v>37</v>
      </c>
      <c r="K31" s="94" t="s">
        <v>37</v>
      </c>
      <c r="L31" s="6">
        <v>1</v>
      </c>
      <c r="M31" s="6">
        <v>1</v>
      </c>
      <c r="N31" s="60" t="s">
        <v>312</v>
      </c>
      <c r="O31" s="60">
        <v>1</v>
      </c>
      <c r="P31" s="60">
        <v>1</v>
      </c>
      <c r="Q31" s="60">
        <v>1</v>
      </c>
      <c r="R31" s="60">
        <v>1</v>
      </c>
      <c r="T31" s="95" t="s">
        <v>394</v>
      </c>
      <c r="U31" s="96" t="s">
        <v>395</v>
      </c>
      <c r="V31" s="97" t="str" cm="1">
        <f t="array" ref="V31">_xlfn.IFNA(IF(INDEX('DEQ RBC REF'!$A$5:$R$267,MATCH($T31,'DEQ RBC REF'!$A$5:$A$267, 0),V$4)="--","", (INDEX('DEQ RBC REF'!$A$5:$R$267,MATCH($T31,'DEQ RBC REF'!$A$5:$A$267, 0), V$4))), "")</f>
        <v/>
      </c>
      <c r="W31" s="97" cm="1">
        <f t="array" ref="W31">_xlfn.IFNA(IF(INDEX('DEQ RBC REF'!$A$5:$R$267,MATCH($T31,'DEQ RBC REF'!$A$5:$A$267, 0),W$4)="--","", (INDEX('DEQ RBC REF'!$A$5:$R$267,MATCH($T31,'DEQ RBC REF'!$A$5:$A$267, 0), W$4))), "")</f>
        <v>20</v>
      </c>
      <c r="X31" s="97" t="str" cm="1">
        <f t="array" ref="X31">_xlfn.IFNA(IF(INDEX('DEQ RBC REF'!$A$5:$R$267,MATCH($T31,'DEQ RBC REF'!$A$5:$A$267, 0),X$4)="--","", (INDEX('DEQ RBC REF'!$A$5:$R$267,MATCH($T31,'DEQ RBC REF'!$A$5:$A$267, 0), X$4))), "")</f>
        <v/>
      </c>
      <c r="Y31" s="97" cm="1">
        <f t="array" ref="Y31">_xlfn.IFNA(IF(INDEX('DEQ RBC REF'!$A$5:$R$267,MATCH($T31,'DEQ RBC REF'!$A$5:$A$267, 0),Y$4)="--","", (INDEX('DEQ RBC REF'!$A$5:$R$267,MATCH($T31,'DEQ RBC REF'!$A$5:$A$267, 0), Y$4))), "")</f>
        <v>88</v>
      </c>
      <c r="Z31" s="97" t="str" cm="1">
        <f t="array" ref="Z31">_xlfn.IFNA(IF(INDEX('DEQ RBC REF'!$A$5:$R$267,MATCH($T31,'DEQ RBC REF'!$A$5:$A$267, 0),Z$4)="--","", (INDEX('DEQ RBC REF'!$A$5:$R$267,MATCH($T31,'DEQ RBC REF'!$A$5:$A$267, 0), Z$4))), "")</f>
        <v/>
      </c>
      <c r="AA31" s="97" cm="1">
        <f t="array" ref="AA31">_xlfn.IFNA(IF(INDEX('DEQ RBC REF'!$A$5:$R$267,MATCH($T31,'DEQ RBC REF'!$A$5:$A$267, 0),AA$4)="--","", (INDEX('DEQ RBC REF'!$A$5:$R$267,MATCH($T31,'DEQ RBC REF'!$A$5:$A$267, 0), AA$4))), "")</f>
        <v>88</v>
      </c>
      <c r="AB31" s="97" cm="1">
        <f t="array" ref="AB31">_xlfn.IFNA(IF(INDEX('DEQ RBC REF'!$A$5:$R$267,MATCH($T31,'DEQ RBC REF'!$A$5:$A$267, 0),AB$4)="--","", (INDEX('DEQ RBC REF'!$A$5:$R$267,MATCH($T31,'DEQ RBC REF'!$A$5:$A$267, 0), AB$4))), "")</f>
        <v>2100</v>
      </c>
    </row>
    <row r="32" spans="1:28" ht="29" x14ac:dyDescent="0.35">
      <c r="A32" t="s">
        <v>396</v>
      </c>
      <c r="B32" s="58" t="s">
        <v>397</v>
      </c>
      <c r="C32" s="6"/>
      <c r="D32" s="6" t="s">
        <v>311</v>
      </c>
      <c r="E32" s="92" t="s">
        <v>37</v>
      </c>
      <c r="F32" s="93">
        <v>5</v>
      </c>
      <c r="G32" s="92" t="s">
        <v>37</v>
      </c>
      <c r="H32" s="93">
        <v>22</v>
      </c>
      <c r="I32" s="92" t="s">
        <v>37</v>
      </c>
      <c r="J32" s="93">
        <v>22</v>
      </c>
      <c r="K32" s="94">
        <v>3900</v>
      </c>
      <c r="L32" s="6">
        <v>1</v>
      </c>
      <c r="M32" s="6">
        <v>1</v>
      </c>
      <c r="N32" s="60" t="s">
        <v>312</v>
      </c>
      <c r="O32" s="60">
        <v>1</v>
      </c>
      <c r="P32" s="60">
        <v>1</v>
      </c>
      <c r="Q32" s="60">
        <v>1</v>
      </c>
      <c r="R32" s="60">
        <v>1</v>
      </c>
      <c r="T32" s="95" t="s">
        <v>398</v>
      </c>
      <c r="U32" s="96" t="s">
        <v>399</v>
      </c>
      <c r="V32" s="97" t="str" cm="1">
        <f t="array" ref="V32">_xlfn.IFNA(IF(INDEX('DEQ RBC REF'!$A$5:$R$267,MATCH($T32,'DEQ RBC REF'!$A$5:$A$267, 0),V$4)="--","", (INDEX('DEQ RBC REF'!$A$5:$R$267,MATCH($T32,'DEQ RBC REF'!$A$5:$A$267, 0), V$4))), "")</f>
        <v/>
      </c>
      <c r="W32" s="97" cm="1">
        <f t="array" ref="W32">_xlfn.IFNA(IF(INDEX('DEQ RBC REF'!$A$5:$R$267,MATCH($T32,'DEQ RBC REF'!$A$5:$A$267, 0),W$4)="--","", (INDEX('DEQ RBC REF'!$A$5:$R$267,MATCH($T32,'DEQ RBC REF'!$A$5:$A$267, 0), W$4))), "")</f>
        <v>200</v>
      </c>
      <c r="X32" s="97" t="str" cm="1">
        <f t="array" ref="X32">_xlfn.IFNA(IF(INDEX('DEQ RBC REF'!$A$5:$R$267,MATCH($T32,'DEQ RBC REF'!$A$5:$A$267, 0),X$4)="--","", (INDEX('DEQ RBC REF'!$A$5:$R$267,MATCH($T32,'DEQ RBC REF'!$A$5:$A$267, 0), X$4))), "")</f>
        <v/>
      </c>
      <c r="Y32" s="97" cm="1">
        <f t="array" ref="Y32">_xlfn.IFNA(IF(INDEX('DEQ RBC REF'!$A$5:$R$267,MATCH($T32,'DEQ RBC REF'!$A$5:$A$267, 0),Y$4)="--","", (INDEX('DEQ RBC REF'!$A$5:$R$267,MATCH($T32,'DEQ RBC REF'!$A$5:$A$267, 0), Y$4))), "")</f>
        <v>880.00000000000011</v>
      </c>
      <c r="Z32" s="97" t="str" cm="1">
        <f t="array" ref="Z32">_xlfn.IFNA(IF(INDEX('DEQ RBC REF'!$A$5:$R$267,MATCH($T32,'DEQ RBC REF'!$A$5:$A$267, 0),Z$4)="--","", (INDEX('DEQ RBC REF'!$A$5:$R$267,MATCH($T32,'DEQ RBC REF'!$A$5:$A$267, 0), Z$4))), "")</f>
        <v/>
      </c>
      <c r="AA32" s="97" cm="1">
        <f t="array" ref="AA32">_xlfn.IFNA(IF(INDEX('DEQ RBC REF'!$A$5:$R$267,MATCH($T32,'DEQ RBC REF'!$A$5:$A$267, 0),AA$4)="--","", (INDEX('DEQ RBC REF'!$A$5:$R$267,MATCH($T32,'DEQ RBC REF'!$A$5:$A$267, 0), AA$4))), "")</f>
        <v>880.00000000000011</v>
      </c>
      <c r="AB32" s="97" cm="1">
        <f t="array" ref="AB32">_xlfn.IFNA(IF(INDEX('DEQ RBC REF'!$A$5:$R$267,MATCH($T32,'DEQ RBC REF'!$A$5:$A$267, 0),AB$4)="--","", (INDEX('DEQ RBC REF'!$A$5:$R$267,MATCH($T32,'DEQ RBC REF'!$A$5:$A$267, 0), AB$4))), "")</f>
        <v>3200</v>
      </c>
    </row>
    <row r="33" spans="1:28" ht="29" x14ac:dyDescent="0.35">
      <c r="A33" t="s">
        <v>400</v>
      </c>
      <c r="B33" s="58" t="s">
        <v>401</v>
      </c>
      <c r="C33" s="6"/>
      <c r="D33" s="6" t="s">
        <v>311</v>
      </c>
      <c r="E33" s="92">
        <v>0.47619047619047622</v>
      </c>
      <c r="F33" s="93">
        <v>33.1</v>
      </c>
      <c r="G33" s="92">
        <v>12.380952380952381</v>
      </c>
      <c r="H33" s="93">
        <v>145.64000000000001</v>
      </c>
      <c r="I33" s="92">
        <v>5.7142857142857144</v>
      </c>
      <c r="J33" s="93">
        <v>145.64000000000001</v>
      </c>
      <c r="K33" s="94">
        <v>1654</v>
      </c>
      <c r="L33" s="6">
        <v>1</v>
      </c>
      <c r="M33" s="6">
        <v>1</v>
      </c>
      <c r="N33" s="60" t="s">
        <v>312</v>
      </c>
      <c r="O33" s="60">
        <v>1</v>
      </c>
      <c r="P33" s="60">
        <v>1</v>
      </c>
      <c r="Q33" s="60">
        <v>1</v>
      </c>
      <c r="R33" s="60">
        <v>1</v>
      </c>
      <c r="T33" s="95" t="s">
        <v>29</v>
      </c>
      <c r="U33" s="96" t="s">
        <v>402</v>
      </c>
      <c r="V33" s="97" t="str" cm="1">
        <f t="array" ref="V33">_xlfn.IFNA(IF(INDEX('DEQ RBC REF'!$A$5:$R$267,MATCH($T33,'DEQ RBC REF'!$A$5:$A$267, 0),V$4)="--","", (INDEX('DEQ RBC REF'!$A$5:$R$267,MATCH($T33,'DEQ RBC REF'!$A$5:$A$267, 0), V$4))), "")</f>
        <v/>
      </c>
      <c r="W33" s="97" cm="1">
        <f t="array" ref="W33">_xlfn.IFNA(IF(INDEX('DEQ RBC REF'!$A$5:$R$267,MATCH($T33,'DEQ RBC REF'!$A$5:$A$267, 0),W$4)="--","", (INDEX('DEQ RBC REF'!$A$5:$R$267,MATCH($T33,'DEQ RBC REF'!$A$5:$A$267, 0), W$4))), "")</f>
        <v>0.15</v>
      </c>
      <c r="X33" s="97" t="str" cm="1">
        <f t="array" ref="X33">_xlfn.IFNA(IF(INDEX('DEQ RBC REF'!$A$5:$R$267,MATCH($T33,'DEQ RBC REF'!$A$5:$A$267, 0),X$4)="--","", (INDEX('DEQ RBC REF'!$A$5:$R$267,MATCH($T33,'DEQ RBC REF'!$A$5:$A$267, 0), X$4))), "")</f>
        <v/>
      </c>
      <c r="Y33" s="97" cm="1">
        <f t="array" ref="Y33">_xlfn.IFNA(IF(INDEX('DEQ RBC REF'!$A$5:$R$267,MATCH($T33,'DEQ RBC REF'!$A$5:$A$267, 0),Y$4)="--","", (INDEX('DEQ RBC REF'!$A$5:$R$267,MATCH($T33,'DEQ RBC REF'!$A$5:$A$267, 0), Y$4))), "")</f>
        <v>0.66</v>
      </c>
      <c r="Z33" s="97" t="str" cm="1">
        <f t="array" ref="Z33">_xlfn.IFNA(IF(INDEX('DEQ RBC REF'!$A$5:$R$267,MATCH($T33,'DEQ RBC REF'!$A$5:$A$267, 0),Z$4)="--","", (INDEX('DEQ RBC REF'!$A$5:$R$267,MATCH($T33,'DEQ RBC REF'!$A$5:$A$267, 0), Z$4))), "")</f>
        <v/>
      </c>
      <c r="AA33" s="97" cm="1">
        <f t="array" ref="AA33">_xlfn.IFNA(IF(INDEX('DEQ RBC REF'!$A$5:$R$267,MATCH($T33,'DEQ RBC REF'!$A$5:$A$267, 0),AA$4)="--","", (INDEX('DEQ RBC REF'!$A$5:$R$267,MATCH($T33,'DEQ RBC REF'!$A$5:$A$267, 0), AA$4))), "")</f>
        <v>0.66</v>
      </c>
      <c r="AB33" s="97" cm="1">
        <f t="array" ref="AB33">_xlfn.IFNA(IF(INDEX('DEQ RBC REF'!$A$5:$R$267,MATCH($T33,'DEQ RBC REF'!$A$5:$A$267, 0),AB$4)="--","", (INDEX('DEQ RBC REF'!$A$5:$R$267,MATCH($T33,'DEQ RBC REF'!$A$5:$A$267, 0), AB$4))), "")</f>
        <v>0.15</v>
      </c>
    </row>
    <row r="34" spans="1:28" x14ac:dyDescent="0.35">
      <c r="A34" t="s">
        <v>313</v>
      </c>
      <c r="B34" s="58" t="s">
        <v>314</v>
      </c>
      <c r="C34" s="6"/>
      <c r="D34" s="6" t="s">
        <v>311</v>
      </c>
      <c r="E34" s="92">
        <v>3.3003300330033E-2</v>
      </c>
      <c r="F34" s="93">
        <v>2</v>
      </c>
      <c r="G34" s="92">
        <v>0.85808580858085803</v>
      </c>
      <c r="H34" s="93">
        <v>8.8000000000000007</v>
      </c>
      <c r="I34" s="92">
        <v>0.396039603960396</v>
      </c>
      <c r="J34" s="93">
        <v>8.8000000000000007</v>
      </c>
      <c r="K34" s="94">
        <v>660</v>
      </c>
      <c r="L34" s="6">
        <v>1</v>
      </c>
      <c r="M34" s="6">
        <v>1</v>
      </c>
      <c r="N34" s="60" t="s">
        <v>312</v>
      </c>
      <c r="O34" s="60">
        <v>1</v>
      </c>
      <c r="P34" s="60">
        <v>1</v>
      </c>
      <c r="Q34" s="60">
        <v>1</v>
      </c>
      <c r="R34" s="60">
        <v>1</v>
      </c>
      <c r="T34" s="95" t="s">
        <v>26</v>
      </c>
      <c r="U34" s="96" t="s">
        <v>403</v>
      </c>
      <c r="V34" s="97" t="str" cm="1">
        <f t="array" ref="V34">_xlfn.IFNA(IF(INDEX('DEQ RBC REF'!$A$5:$R$267,MATCH($T34,'DEQ RBC REF'!$A$5:$A$267, 0),V$4)="--","", (INDEX('DEQ RBC REF'!$A$5:$R$267,MATCH($T34,'DEQ RBC REF'!$A$5:$A$267, 0), V$4))), "")</f>
        <v/>
      </c>
      <c r="W34" s="97" cm="1">
        <f t="array" ref="W34">_xlfn.IFNA(IF(INDEX('DEQ RBC REF'!$A$5:$R$267,MATCH($T34,'DEQ RBC REF'!$A$5:$A$267, 0),W$4)="--","", (INDEX('DEQ RBC REF'!$A$5:$R$267,MATCH($T34,'DEQ RBC REF'!$A$5:$A$267, 0), W$4))), "")</f>
        <v>0.09</v>
      </c>
      <c r="X34" s="97" t="str" cm="1">
        <f t="array" ref="X34">_xlfn.IFNA(IF(INDEX('DEQ RBC REF'!$A$5:$R$267,MATCH($T34,'DEQ RBC REF'!$A$5:$A$267, 0),X$4)="--","", (INDEX('DEQ RBC REF'!$A$5:$R$267,MATCH($T34,'DEQ RBC REF'!$A$5:$A$267, 0), X$4))), "")</f>
        <v/>
      </c>
      <c r="Y34" s="97" cm="1">
        <f t="array" ref="Y34">_xlfn.IFNA(IF(INDEX('DEQ RBC REF'!$A$5:$R$267,MATCH($T34,'DEQ RBC REF'!$A$5:$A$267, 0),Y$4)="--","", (INDEX('DEQ RBC REF'!$A$5:$R$267,MATCH($T34,'DEQ RBC REF'!$A$5:$A$267, 0), Y$4))), "")</f>
        <v>0.39600000000000002</v>
      </c>
      <c r="Z34" s="97" t="str" cm="1">
        <f t="array" ref="Z34">_xlfn.IFNA(IF(INDEX('DEQ RBC REF'!$A$5:$R$267,MATCH($T34,'DEQ RBC REF'!$A$5:$A$267, 0),Z$4)="--","", (INDEX('DEQ RBC REF'!$A$5:$R$267,MATCH($T34,'DEQ RBC REF'!$A$5:$A$267, 0), Z$4))), "")</f>
        <v/>
      </c>
      <c r="AA34" s="97" cm="1">
        <f t="array" ref="AA34">_xlfn.IFNA(IF(INDEX('DEQ RBC REF'!$A$5:$R$267,MATCH($T34,'DEQ RBC REF'!$A$5:$A$267, 0),AA$4)="--","", (INDEX('DEQ RBC REF'!$A$5:$R$267,MATCH($T34,'DEQ RBC REF'!$A$5:$A$267, 0), AA$4))), "")</f>
        <v>0.39600000000000002</v>
      </c>
      <c r="AB34" s="97" cm="1">
        <f t="array" ref="AB34">_xlfn.IFNA(IF(INDEX('DEQ RBC REF'!$A$5:$R$267,MATCH($T34,'DEQ RBC REF'!$A$5:$A$267, 0),AB$4)="--","", (INDEX('DEQ RBC REF'!$A$5:$R$267,MATCH($T34,'DEQ RBC REF'!$A$5:$A$267, 0), AB$4))), "")</f>
        <v>0.3</v>
      </c>
    </row>
    <row r="35" spans="1:28" ht="29" x14ac:dyDescent="0.35">
      <c r="A35" t="s">
        <v>317</v>
      </c>
      <c r="B35" s="58" t="s">
        <v>404</v>
      </c>
      <c r="C35" s="6"/>
      <c r="D35" s="6" t="s">
        <v>311</v>
      </c>
      <c r="E35" s="92" t="s">
        <v>37</v>
      </c>
      <c r="F35" s="93">
        <v>5000</v>
      </c>
      <c r="G35" s="92" t="s">
        <v>37</v>
      </c>
      <c r="H35" s="93">
        <v>22000</v>
      </c>
      <c r="I35" s="92" t="s">
        <v>37</v>
      </c>
      <c r="J35" s="93">
        <v>22000</v>
      </c>
      <c r="K35" s="94">
        <v>5000</v>
      </c>
      <c r="L35" s="6">
        <v>1</v>
      </c>
      <c r="M35" s="6">
        <v>1</v>
      </c>
      <c r="N35" s="60" t="s">
        <v>312</v>
      </c>
      <c r="O35" s="60">
        <v>1</v>
      </c>
      <c r="P35" s="60">
        <v>1</v>
      </c>
      <c r="Q35" s="60">
        <v>1</v>
      </c>
      <c r="R35" s="60">
        <v>1</v>
      </c>
      <c r="T35" s="95" t="s">
        <v>405</v>
      </c>
      <c r="U35" s="96" t="s">
        <v>406</v>
      </c>
      <c r="V35" s="97" t="str" cm="1">
        <f t="array" ref="V35">_xlfn.IFNA(IF(INDEX('DEQ RBC REF'!$A$5:$R$267,MATCH($T35,'DEQ RBC REF'!$A$5:$A$267, 0),V$4)="--","", (INDEX('DEQ RBC REF'!$A$5:$R$267,MATCH($T35,'DEQ RBC REF'!$A$5:$A$267, 0), V$4))), "")</f>
        <v/>
      </c>
      <c r="W35" s="97" cm="1">
        <f t="array" ref="W35">_xlfn.IFNA(IF(INDEX('DEQ RBC REF'!$A$5:$R$267,MATCH($T35,'DEQ RBC REF'!$A$5:$A$267, 0),W$4)="--","", (INDEX('DEQ RBC REF'!$A$5:$R$267,MATCH($T35,'DEQ RBC REF'!$A$5:$A$267, 0), W$4))), "")</f>
        <v>7.6923076923076927E-2</v>
      </c>
      <c r="X35" s="97" t="str" cm="1">
        <f t="array" ref="X35">_xlfn.IFNA(IF(INDEX('DEQ RBC REF'!$A$5:$R$267,MATCH($T35,'DEQ RBC REF'!$A$5:$A$267, 0),X$4)="--","", (INDEX('DEQ RBC REF'!$A$5:$R$267,MATCH($T35,'DEQ RBC REF'!$A$5:$A$267, 0), X$4))), "")</f>
        <v/>
      </c>
      <c r="Y35" s="97" cm="1">
        <f t="array" ref="Y35">_xlfn.IFNA(IF(INDEX('DEQ RBC REF'!$A$5:$R$267,MATCH($T35,'DEQ RBC REF'!$A$5:$A$267, 0),Y$4)="--","", (INDEX('DEQ RBC REF'!$A$5:$R$267,MATCH($T35,'DEQ RBC REF'!$A$5:$A$267, 0), Y$4))), "")</f>
        <v>0.62857142857142856</v>
      </c>
      <c r="Z35" s="97" t="str" cm="1">
        <f t="array" ref="Z35">_xlfn.IFNA(IF(INDEX('DEQ RBC REF'!$A$5:$R$267,MATCH($T35,'DEQ RBC REF'!$A$5:$A$267, 0),Z$4)="--","", (INDEX('DEQ RBC REF'!$A$5:$R$267,MATCH($T35,'DEQ RBC REF'!$A$5:$A$267, 0), Z$4))), "")</f>
        <v/>
      </c>
      <c r="AA35" s="97" cm="1">
        <f t="array" ref="AA35">_xlfn.IFNA(IF(INDEX('DEQ RBC REF'!$A$5:$R$267,MATCH($T35,'DEQ RBC REF'!$A$5:$A$267, 0),AA$4)="--","", (INDEX('DEQ RBC REF'!$A$5:$R$267,MATCH($T35,'DEQ RBC REF'!$A$5:$A$267, 0), AA$4))), "")</f>
        <v>0.62857142857142856</v>
      </c>
      <c r="AB35" s="97" cm="1">
        <f t="array" ref="AB35">_xlfn.IFNA(IF(INDEX('DEQ RBC REF'!$A$5:$R$267,MATCH($T35,'DEQ RBC REF'!$A$5:$A$267, 0),AB$4)="--","", (INDEX('DEQ RBC REF'!$A$5:$R$267,MATCH($T35,'DEQ RBC REF'!$A$5:$A$267, 0), AB$4))), "")</f>
        <v>0.6</v>
      </c>
    </row>
    <row r="36" spans="1:28" x14ac:dyDescent="0.35">
      <c r="A36" t="s">
        <v>407</v>
      </c>
      <c r="B36" s="58" t="s">
        <v>408</v>
      </c>
      <c r="C36" s="6"/>
      <c r="D36" s="6" t="s">
        <v>311</v>
      </c>
      <c r="E36" s="92" t="s">
        <v>37</v>
      </c>
      <c r="F36" s="93">
        <v>30000</v>
      </c>
      <c r="G36" s="92" t="s">
        <v>37</v>
      </c>
      <c r="H36" s="93">
        <v>132000</v>
      </c>
      <c r="I36" s="92" t="s">
        <v>37</v>
      </c>
      <c r="J36" s="93">
        <v>132000</v>
      </c>
      <c r="K36" s="94" t="s">
        <v>37</v>
      </c>
      <c r="L36" s="6">
        <v>1</v>
      </c>
      <c r="M36" s="6">
        <v>1</v>
      </c>
      <c r="N36" s="60" t="s">
        <v>312</v>
      </c>
      <c r="O36" s="60">
        <v>1</v>
      </c>
      <c r="P36" s="60">
        <v>1</v>
      </c>
      <c r="Q36" s="60">
        <v>1</v>
      </c>
      <c r="R36" s="60">
        <v>1</v>
      </c>
      <c r="T36" s="95" t="s">
        <v>409</v>
      </c>
      <c r="U36" s="96" t="s">
        <v>410</v>
      </c>
      <c r="V36" s="97" t="str" cm="1">
        <f t="array" ref="V36">_xlfn.IFNA(IF(INDEX('DEQ RBC REF'!$A$5:$R$267,MATCH($T36,'DEQ RBC REF'!$A$5:$A$267, 0),V$4)="--","", (INDEX('DEQ RBC REF'!$A$5:$R$267,MATCH($T36,'DEQ RBC REF'!$A$5:$A$267, 0), V$4))), "")</f>
        <v/>
      </c>
      <c r="W36" s="97" cm="1">
        <f t="array" ref="W36">_xlfn.IFNA(IF(INDEX('DEQ RBC REF'!$A$5:$R$267,MATCH($T36,'DEQ RBC REF'!$A$5:$A$267, 0),W$4)="--","", (INDEX('DEQ RBC REF'!$A$5:$R$267,MATCH($T36,'DEQ RBC REF'!$A$5:$A$267, 0), W$4))), "")</f>
        <v>4000</v>
      </c>
      <c r="X36" s="97" t="str" cm="1">
        <f t="array" ref="X36">_xlfn.IFNA(IF(INDEX('DEQ RBC REF'!$A$5:$R$267,MATCH($T36,'DEQ RBC REF'!$A$5:$A$267, 0),X$4)="--","", (INDEX('DEQ RBC REF'!$A$5:$R$267,MATCH($T36,'DEQ RBC REF'!$A$5:$A$267, 0), X$4))), "")</f>
        <v/>
      </c>
      <c r="Y36" s="97" cm="1">
        <f t="array" ref="Y36">_xlfn.IFNA(IF(INDEX('DEQ RBC REF'!$A$5:$R$267,MATCH($T36,'DEQ RBC REF'!$A$5:$A$267, 0),Y$4)="--","", (INDEX('DEQ RBC REF'!$A$5:$R$267,MATCH($T36,'DEQ RBC REF'!$A$5:$A$267, 0), Y$4))), "")</f>
        <v>17600</v>
      </c>
      <c r="Z36" s="97" t="str" cm="1">
        <f t="array" ref="Z36">_xlfn.IFNA(IF(INDEX('DEQ RBC REF'!$A$5:$R$267,MATCH($T36,'DEQ RBC REF'!$A$5:$A$267, 0),Z$4)="--","", (INDEX('DEQ RBC REF'!$A$5:$R$267,MATCH($T36,'DEQ RBC REF'!$A$5:$A$267, 0), Z$4))), "")</f>
        <v/>
      </c>
      <c r="AA36" s="97" cm="1">
        <f t="array" ref="AA36">_xlfn.IFNA(IF(INDEX('DEQ RBC REF'!$A$5:$R$267,MATCH($T36,'DEQ RBC REF'!$A$5:$A$267, 0),AA$4)="--","", (INDEX('DEQ RBC REF'!$A$5:$R$267,MATCH($T36,'DEQ RBC REF'!$A$5:$A$267, 0), AA$4))), "")</f>
        <v>17600</v>
      </c>
      <c r="AB36" s="97" cm="1">
        <f t="array" ref="AB36">_xlfn.IFNA(IF(INDEX('DEQ RBC REF'!$A$5:$R$267,MATCH($T36,'DEQ RBC REF'!$A$5:$A$267, 0),AB$4)="--","", (INDEX('DEQ RBC REF'!$A$5:$R$267,MATCH($T36,'DEQ RBC REF'!$A$5:$A$267, 0), AB$4))), "")</f>
        <v>28000</v>
      </c>
    </row>
    <row r="37" spans="1:28" x14ac:dyDescent="0.35">
      <c r="A37" t="s">
        <v>21</v>
      </c>
      <c r="B37" s="58" t="s">
        <v>360</v>
      </c>
      <c r="C37" s="6" t="s">
        <v>411</v>
      </c>
      <c r="D37" s="6" t="s">
        <v>311</v>
      </c>
      <c r="E37" s="92">
        <v>5.5555555555555556E-4</v>
      </c>
      <c r="F37" s="93">
        <v>5.0000000000000001E-3</v>
      </c>
      <c r="G37" s="92">
        <v>1.4444444444444444E-2</v>
      </c>
      <c r="H37" s="93">
        <v>3.6666666666666667E-2</v>
      </c>
      <c r="I37" s="92">
        <v>6.6666666666666662E-3</v>
      </c>
      <c r="J37" s="93">
        <v>3.6666666666666674E-2</v>
      </c>
      <c r="K37" s="94">
        <v>0.03</v>
      </c>
      <c r="L37" s="6">
        <v>1</v>
      </c>
      <c r="M37" s="6">
        <v>1</v>
      </c>
      <c r="N37" s="60" t="s">
        <v>312</v>
      </c>
      <c r="O37" s="60">
        <v>1</v>
      </c>
      <c r="P37" s="60">
        <v>1</v>
      </c>
      <c r="Q37" s="60">
        <v>2</v>
      </c>
      <c r="R37" s="60">
        <v>1.2</v>
      </c>
      <c r="T37" s="95" t="s">
        <v>412</v>
      </c>
      <c r="U37" s="96" t="s">
        <v>413</v>
      </c>
      <c r="V37" s="97" t="str" cm="1">
        <f t="array" ref="V37">_xlfn.IFNA(IF(INDEX('DEQ RBC REF'!$A$5:$R$267,MATCH($T37,'DEQ RBC REF'!$A$5:$A$267, 0),V$4)="--","", (INDEX('DEQ RBC REF'!$A$5:$R$267,MATCH($T37,'DEQ RBC REF'!$A$5:$A$267, 0), V$4))), "")</f>
        <v/>
      </c>
      <c r="W37" s="97" cm="1">
        <f t="array" ref="W37">_xlfn.IFNA(IF(INDEX('DEQ RBC REF'!$A$5:$R$267,MATCH($T37,'DEQ RBC REF'!$A$5:$A$267, 0),W$4)="--","", (INDEX('DEQ RBC REF'!$A$5:$R$267,MATCH($T37,'DEQ RBC REF'!$A$5:$A$267, 0), W$4))), "")</f>
        <v>700</v>
      </c>
      <c r="X37" s="97" t="str" cm="1">
        <f t="array" ref="X37">_xlfn.IFNA(IF(INDEX('DEQ RBC REF'!$A$5:$R$267,MATCH($T37,'DEQ RBC REF'!$A$5:$A$267, 0),X$4)="--","", (INDEX('DEQ RBC REF'!$A$5:$R$267,MATCH($T37,'DEQ RBC REF'!$A$5:$A$267, 0), X$4))), "")</f>
        <v/>
      </c>
      <c r="Y37" s="97" cm="1">
        <f t="array" ref="Y37">_xlfn.IFNA(IF(INDEX('DEQ RBC REF'!$A$5:$R$267,MATCH($T37,'DEQ RBC REF'!$A$5:$A$267, 0),Y$4)="--","", (INDEX('DEQ RBC REF'!$A$5:$R$267,MATCH($T37,'DEQ RBC REF'!$A$5:$A$267, 0), Y$4))), "")</f>
        <v>3080.0000000000005</v>
      </c>
      <c r="Z37" s="97" t="str" cm="1">
        <f t="array" ref="Z37">_xlfn.IFNA(IF(INDEX('DEQ RBC REF'!$A$5:$R$267,MATCH($T37,'DEQ RBC REF'!$A$5:$A$267, 0),Z$4)="--","", (INDEX('DEQ RBC REF'!$A$5:$R$267,MATCH($T37,'DEQ RBC REF'!$A$5:$A$267, 0), Z$4))), "")</f>
        <v/>
      </c>
      <c r="AA37" s="97" cm="1">
        <f t="array" ref="AA37">_xlfn.IFNA(IF(INDEX('DEQ RBC REF'!$A$5:$R$267,MATCH($T37,'DEQ RBC REF'!$A$5:$A$267, 0),AA$4)="--","", (INDEX('DEQ RBC REF'!$A$5:$R$267,MATCH($T37,'DEQ RBC REF'!$A$5:$A$267, 0), AA$4))), "")</f>
        <v>3080.0000000000005</v>
      </c>
      <c r="AB37" s="97" t="str" cm="1">
        <f t="array" ref="AB37">_xlfn.IFNA(IF(INDEX('DEQ RBC REF'!$A$5:$R$267,MATCH($T37,'DEQ RBC REF'!$A$5:$A$267, 0),AB$4)="--","", (INDEX('DEQ RBC REF'!$A$5:$R$267,MATCH($T37,'DEQ RBC REF'!$A$5:$A$267, 0), AB$4))), "")</f>
        <v/>
      </c>
    </row>
    <row r="38" spans="1:28" x14ac:dyDescent="0.35">
      <c r="A38" t="s">
        <v>414</v>
      </c>
      <c r="B38" s="58" t="s">
        <v>415</v>
      </c>
      <c r="C38" s="6"/>
      <c r="D38" s="6" t="s">
        <v>311</v>
      </c>
      <c r="E38" s="92" t="s">
        <v>37</v>
      </c>
      <c r="F38" s="93">
        <v>2.2000000000000002</v>
      </c>
      <c r="G38" s="92" t="s">
        <v>37</v>
      </c>
      <c r="H38" s="93">
        <v>9.6800000000000015</v>
      </c>
      <c r="I38" s="92" t="s">
        <v>37</v>
      </c>
      <c r="J38" s="93">
        <v>9.6800000000000015</v>
      </c>
      <c r="K38" s="94">
        <v>50</v>
      </c>
      <c r="L38" s="6">
        <v>1</v>
      </c>
      <c r="M38" s="6">
        <v>1</v>
      </c>
      <c r="N38" s="60" t="s">
        <v>312</v>
      </c>
      <c r="O38" s="60">
        <v>1</v>
      </c>
      <c r="P38" s="60">
        <v>1</v>
      </c>
      <c r="Q38" s="60">
        <v>1</v>
      </c>
      <c r="R38" s="60">
        <v>1</v>
      </c>
      <c r="T38" s="95" t="s">
        <v>416</v>
      </c>
      <c r="U38" s="96" t="s">
        <v>417</v>
      </c>
      <c r="V38" s="97" t="str" cm="1">
        <f t="array" ref="V38">_xlfn.IFNA(IF(INDEX('DEQ RBC REF'!$A$5:$R$267,MATCH($T38,'DEQ RBC REF'!$A$5:$A$267, 0),V$4)="--","", (INDEX('DEQ RBC REF'!$A$5:$R$267,MATCH($T38,'DEQ RBC REF'!$A$5:$A$267, 0), V$4))), "")</f>
        <v/>
      </c>
      <c r="W38" s="97" t="str" cm="1">
        <f t="array" ref="W38">_xlfn.IFNA(IF(INDEX('DEQ RBC REF'!$A$5:$R$267,MATCH($T38,'DEQ RBC REF'!$A$5:$A$267, 0),W$4)="--","", (INDEX('DEQ RBC REF'!$A$5:$R$267,MATCH($T38,'DEQ RBC REF'!$A$5:$A$267, 0), W$4))), "")</f>
        <v/>
      </c>
      <c r="X38" s="97" t="str" cm="1">
        <f t="array" ref="X38">_xlfn.IFNA(IF(INDEX('DEQ RBC REF'!$A$5:$R$267,MATCH($T38,'DEQ RBC REF'!$A$5:$A$267, 0),X$4)="--","", (INDEX('DEQ RBC REF'!$A$5:$R$267,MATCH($T38,'DEQ RBC REF'!$A$5:$A$267, 0), X$4))), "")</f>
        <v/>
      </c>
      <c r="Y38" s="97" t="str" cm="1">
        <f t="array" ref="Y38">_xlfn.IFNA(IF(INDEX('DEQ RBC REF'!$A$5:$R$267,MATCH($T38,'DEQ RBC REF'!$A$5:$A$267, 0),Y$4)="--","", (INDEX('DEQ RBC REF'!$A$5:$R$267,MATCH($T38,'DEQ RBC REF'!$A$5:$A$267, 0), Y$4))), "")</f>
        <v/>
      </c>
      <c r="Z38" s="97" t="str" cm="1">
        <f t="array" ref="Z38">_xlfn.IFNA(IF(INDEX('DEQ RBC REF'!$A$5:$R$267,MATCH($T38,'DEQ RBC REF'!$A$5:$A$267, 0),Z$4)="--","", (INDEX('DEQ RBC REF'!$A$5:$R$267,MATCH($T38,'DEQ RBC REF'!$A$5:$A$267, 0), Z$4))), "")</f>
        <v/>
      </c>
      <c r="AA38" s="97" t="str" cm="1">
        <f t="array" ref="AA38">_xlfn.IFNA(IF(INDEX('DEQ RBC REF'!$A$5:$R$267,MATCH($T38,'DEQ RBC REF'!$A$5:$A$267, 0),AA$4)="--","", (INDEX('DEQ RBC REF'!$A$5:$R$267,MATCH($T38,'DEQ RBC REF'!$A$5:$A$267, 0), AA$4))), "")</f>
        <v/>
      </c>
      <c r="AB38" s="97" t="str" cm="1">
        <f t="array" ref="AB38">_xlfn.IFNA(IF(INDEX('DEQ RBC REF'!$A$5:$R$267,MATCH($T38,'DEQ RBC REF'!$A$5:$A$267, 0),AB$4)="--","", (INDEX('DEQ RBC REF'!$A$5:$R$267,MATCH($T38,'DEQ RBC REF'!$A$5:$A$267, 0), AB$4))), "")</f>
        <v/>
      </c>
    </row>
    <row r="39" spans="1:28" x14ac:dyDescent="0.35">
      <c r="A39" t="s">
        <v>418</v>
      </c>
      <c r="B39" s="58" t="s">
        <v>419</v>
      </c>
      <c r="C39" s="6"/>
      <c r="D39" s="6" t="s">
        <v>311</v>
      </c>
      <c r="E39" s="92" t="s">
        <v>37</v>
      </c>
      <c r="F39" s="93">
        <v>800</v>
      </c>
      <c r="G39" s="92" t="s">
        <v>37</v>
      </c>
      <c r="H39" s="93">
        <v>3520.0000000000005</v>
      </c>
      <c r="I39" s="92" t="s">
        <v>37</v>
      </c>
      <c r="J39" s="93">
        <v>3520.0000000000005</v>
      </c>
      <c r="K39" s="94">
        <v>6200</v>
      </c>
      <c r="L39" s="6">
        <v>1</v>
      </c>
      <c r="M39" s="6">
        <v>1</v>
      </c>
      <c r="N39" s="60" t="s">
        <v>312</v>
      </c>
      <c r="O39" s="60">
        <v>1</v>
      </c>
      <c r="P39" s="60">
        <v>1</v>
      </c>
      <c r="Q39" s="60">
        <v>1</v>
      </c>
      <c r="R39" s="60">
        <v>1</v>
      </c>
      <c r="T39" s="95" t="s">
        <v>420</v>
      </c>
      <c r="U39" s="96" t="s">
        <v>421</v>
      </c>
      <c r="V39" s="97" cm="1">
        <f t="array" ref="V39">_xlfn.IFNA(IF(INDEX('DEQ RBC REF'!$A$5:$R$267,MATCH($T39,'DEQ RBC REF'!$A$5:$A$267, 0),V$4)="--","", (INDEX('DEQ RBC REF'!$A$5:$R$267,MATCH($T39,'DEQ RBC REF'!$A$5:$A$267, 0), V$4))), "")</f>
        <v>2.9411764705882353E-2</v>
      </c>
      <c r="W39" s="97" cm="1">
        <f t="array" ref="W39">_xlfn.IFNA(IF(INDEX('DEQ RBC REF'!$A$5:$R$267,MATCH($T39,'DEQ RBC REF'!$A$5:$A$267, 0),W$4)="--","", (INDEX('DEQ RBC REF'!$A$5:$R$267,MATCH($T39,'DEQ RBC REF'!$A$5:$A$267, 0), W$4))), "")</f>
        <v>3.7</v>
      </c>
      <c r="X39" s="97" cm="1">
        <f t="array" ref="X39">_xlfn.IFNA(IF(INDEX('DEQ RBC REF'!$A$5:$R$267,MATCH($T39,'DEQ RBC REF'!$A$5:$A$267, 0),X$4)="--","", (INDEX('DEQ RBC REF'!$A$5:$R$267,MATCH($T39,'DEQ RBC REF'!$A$5:$A$267, 0), X$4))), "")</f>
        <v>0.76470588235294112</v>
      </c>
      <c r="Y39" s="97" cm="1">
        <f t="array" ref="Y39">_xlfn.IFNA(IF(INDEX('DEQ RBC REF'!$A$5:$R$267,MATCH($T39,'DEQ RBC REF'!$A$5:$A$267, 0),Y$4)="--","", (INDEX('DEQ RBC REF'!$A$5:$R$267,MATCH($T39,'DEQ RBC REF'!$A$5:$A$267, 0), Y$4))), "")</f>
        <v>16.28</v>
      </c>
      <c r="Z39" s="97" cm="1">
        <f t="array" ref="Z39">_xlfn.IFNA(IF(INDEX('DEQ RBC REF'!$A$5:$R$267,MATCH($T39,'DEQ RBC REF'!$A$5:$A$267, 0),Z$4)="--","", (INDEX('DEQ RBC REF'!$A$5:$R$267,MATCH($T39,'DEQ RBC REF'!$A$5:$A$267, 0), Z$4))), "")</f>
        <v>0.3529411764705882</v>
      </c>
      <c r="AA39" s="97" cm="1">
        <f t="array" ref="AA39">_xlfn.IFNA(IF(INDEX('DEQ RBC REF'!$A$5:$R$267,MATCH($T39,'DEQ RBC REF'!$A$5:$A$267, 0),AA$4)="--","", (INDEX('DEQ RBC REF'!$A$5:$R$267,MATCH($T39,'DEQ RBC REF'!$A$5:$A$267, 0), AA$4))), "")</f>
        <v>16.28</v>
      </c>
      <c r="AB39" s="97" cm="1">
        <f t="array" ref="AB39">_xlfn.IFNA(IF(INDEX('DEQ RBC REF'!$A$5:$R$267,MATCH($T39,'DEQ RBC REF'!$A$5:$A$267, 0),AB$4)="--","", (INDEX('DEQ RBC REF'!$A$5:$R$267,MATCH($T39,'DEQ RBC REF'!$A$5:$A$267, 0), AB$4))), "")</f>
        <v>200</v>
      </c>
    </row>
    <row r="40" spans="1:28" x14ac:dyDescent="0.35">
      <c r="A40" t="s">
        <v>422</v>
      </c>
      <c r="B40" s="58" t="s">
        <v>423</v>
      </c>
      <c r="C40" s="6"/>
      <c r="D40" s="6" t="s">
        <v>311</v>
      </c>
      <c r="E40" s="92">
        <v>0.16666666666666666</v>
      </c>
      <c r="F40" s="93">
        <v>100</v>
      </c>
      <c r="G40" s="92">
        <v>4.333333333333333</v>
      </c>
      <c r="H40" s="93">
        <v>440.00000000000006</v>
      </c>
      <c r="I40" s="92">
        <v>2</v>
      </c>
      <c r="J40" s="93">
        <v>440.00000000000006</v>
      </c>
      <c r="K40" s="94">
        <v>1900</v>
      </c>
      <c r="L40" s="6">
        <v>1</v>
      </c>
      <c r="M40" s="6">
        <v>1</v>
      </c>
      <c r="N40" s="60" t="s">
        <v>312</v>
      </c>
      <c r="O40" s="60">
        <v>1</v>
      </c>
      <c r="P40" s="60">
        <v>1</v>
      </c>
      <c r="Q40" s="60">
        <v>1</v>
      </c>
      <c r="R40" s="60">
        <v>1</v>
      </c>
      <c r="T40" s="95">
        <v>365</v>
      </c>
      <c r="U40" s="96" t="s">
        <v>424</v>
      </c>
      <c r="V40" s="97" cm="1">
        <f t="array" ref="V40">_xlfn.IFNA(IF(INDEX('DEQ RBC REF'!$A$5:$R$267,MATCH($T40,'DEQ RBC REF'!$A$5:$A$267, 0),V$4)="--","", (INDEX('DEQ RBC REF'!$A$5:$R$267,MATCH($T40,'DEQ RBC REF'!$A$5:$A$267, 0), V$4))), "")</f>
        <v>3.8461538461538464E-3</v>
      </c>
      <c r="W40" s="97" cm="1">
        <f t="array" ref="W40">_xlfn.IFNA(IF(INDEX('DEQ RBC REF'!$A$5:$R$267,MATCH($T40,'DEQ RBC REF'!$A$5:$A$267, 0),W$4)="--","", (INDEX('DEQ RBC REF'!$A$5:$R$267,MATCH($T40,'DEQ RBC REF'!$A$5:$A$267, 0), W$4))), "")</f>
        <v>1.4E-2</v>
      </c>
      <c r="X40" s="97" cm="1">
        <f t="array" ref="X40">_xlfn.IFNA(IF(INDEX('DEQ RBC REF'!$A$5:$R$267,MATCH($T40,'DEQ RBC REF'!$A$5:$A$267, 0),X$4)="--","", (INDEX('DEQ RBC REF'!$A$5:$R$267,MATCH($T40,'DEQ RBC REF'!$A$5:$A$267, 0), X$4))), "")</f>
        <v>0.1</v>
      </c>
      <c r="Y40" s="97" cm="1">
        <f t="array" ref="Y40">_xlfn.IFNA(IF(INDEX('DEQ RBC REF'!$A$5:$R$267,MATCH($T40,'DEQ RBC REF'!$A$5:$A$267, 0),Y$4)="--","", (INDEX('DEQ RBC REF'!$A$5:$R$267,MATCH($T40,'DEQ RBC REF'!$A$5:$A$267, 0), Y$4))), "")</f>
        <v>6.1600000000000009E-2</v>
      </c>
      <c r="Z40" s="97" cm="1">
        <f t="array" ref="Z40">_xlfn.IFNA(IF(INDEX('DEQ RBC REF'!$A$5:$R$267,MATCH($T40,'DEQ RBC REF'!$A$5:$A$267, 0),Z$4)="--","", (INDEX('DEQ RBC REF'!$A$5:$R$267,MATCH($T40,'DEQ RBC REF'!$A$5:$A$267, 0), Z$4))), "")</f>
        <v>4.6153846153846156E-2</v>
      </c>
      <c r="AA40" s="97" cm="1">
        <f t="array" ref="AA40">_xlfn.IFNA(IF(INDEX('DEQ RBC REF'!$A$5:$R$267,MATCH($T40,'DEQ RBC REF'!$A$5:$A$267, 0),AA$4)="--","", (INDEX('DEQ RBC REF'!$A$5:$R$267,MATCH($T40,'DEQ RBC REF'!$A$5:$A$267, 0), AA$4))), "")</f>
        <v>6.1600000000000009E-2</v>
      </c>
      <c r="AB40" s="97" cm="1">
        <f t="array" ref="AB40">_xlfn.IFNA(IF(INDEX('DEQ RBC REF'!$A$5:$R$267,MATCH($T40,'DEQ RBC REF'!$A$5:$A$267, 0),AB$4)="--","", (INDEX('DEQ RBC REF'!$A$5:$R$267,MATCH($T40,'DEQ RBC REF'!$A$5:$A$267, 0), AB$4))), "")</f>
        <v>0.2</v>
      </c>
    </row>
    <row r="41" spans="1:28" x14ac:dyDescent="0.35">
      <c r="A41" t="s">
        <v>425</v>
      </c>
      <c r="B41" s="58" t="s">
        <v>426</v>
      </c>
      <c r="C41" s="6"/>
      <c r="D41" s="6" t="s">
        <v>311</v>
      </c>
      <c r="E41" s="92" t="s">
        <v>37</v>
      </c>
      <c r="F41" s="93">
        <v>10</v>
      </c>
      <c r="G41" s="92" t="s">
        <v>37</v>
      </c>
      <c r="H41" s="93">
        <v>44</v>
      </c>
      <c r="I41" s="92" t="s">
        <v>37</v>
      </c>
      <c r="J41" s="93">
        <v>44</v>
      </c>
      <c r="K41" s="94">
        <v>660</v>
      </c>
      <c r="L41" s="6">
        <v>1</v>
      </c>
      <c r="M41" s="6">
        <v>1</v>
      </c>
      <c r="N41" s="60" t="s">
        <v>312</v>
      </c>
      <c r="O41" s="60">
        <v>1</v>
      </c>
      <c r="P41" s="60">
        <v>1</v>
      </c>
      <c r="Q41" s="60">
        <v>1</v>
      </c>
      <c r="R41" s="60">
        <v>1</v>
      </c>
      <c r="T41" s="95" t="s">
        <v>427</v>
      </c>
      <c r="U41" s="96" t="s">
        <v>428</v>
      </c>
      <c r="V41" s="97" t="str" cm="1">
        <f t="array" ref="V41">_xlfn.IFNA(IF(INDEX('DEQ RBC REF'!$A$5:$R$267,MATCH($T41,'DEQ RBC REF'!$A$5:$A$267, 0),V$4)="--","", (INDEX('DEQ RBC REF'!$A$5:$R$267,MATCH($T41,'DEQ RBC REF'!$A$5:$A$267, 0), V$4))), "")</f>
        <v/>
      </c>
      <c r="W41" s="97" t="str" cm="1">
        <f t="array" ref="W41">_xlfn.IFNA(IF(INDEX('DEQ RBC REF'!$A$5:$R$267,MATCH($T41,'DEQ RBC REF'!$A$5:$A$267, 0),W$4)="--","", (INDEX('DEQ RBC REF'!$A$5:$R$267,MATCH($T41,'DEQ RBC REF'!$A$5:$A$267, 0), W$4))), "")</f>
        <v/>
      </c>
      <c r="X41" s="97" t="str" cm="1">
        <f t="array" ref="X41">_xlfn.IFNA(IF(INDEX('DEQ RBC REF'!$A$5:$R$267,MATCH($T41,'DEQ RBC REF'!$A$5:$A$267, 0),X$4)="--","", (INDEX('DEQ RBC REF'!$A$5:$R$267,MATCH($T41,'DEQ RBC REF'!$A$5:$A$267, 0), X$4))), "")</f>
        <v/>
      </c>
      <c r="Y41" s="97" t="str" cm="1">
        <f t="array" ref="Y41">_xlfn.IFNA(IF(INDEX('DEQ RBC REF'!$A$5:$R$267,MATCH($T41,'DEQ RBC REF'!$A$5:$A$267, 0),Y$4)="--","", (INDEX('DEQ RBC REF'!$A$5:$R$267,MATCH($T41,'DEQ RBC REF'!$A$5:$A$267, 0), Y$4))), "")</f>
        <v/>
      </c>
      <c r="Z41" s="97" t="str" cm="1">
        <f t="array" ref="Z41">_xlfn.IFNA(IF(INDEX('DEQ RBC REF'!$A$5:$R$267,MATCH($T41,'DEQ RBC REF'!$A$5:$A$267, 0),Z$4)="--","", (INDEX('DEQ RBC REF'!$A$5:$R$267,MATCH($T41,'DEQ RBC REF'!$A$5:$A$267, 0), Z$4))), "")</f>
        <v/>
      </c>
      <c r="AA41" s="97" t="str" cm="1">
        <f t="array" ref="AA41">_xlfn.IFNA(IF(INDEX('DEQ RBC REF'!$A$5:$R$267,MATCH($T41,'DEQ RBC REF'!$A$5:$A$267, 0),AA$4)="--","", (INDEX('DEQ RBC REF'!$A$5:$R$267,MATCH($T41,'DEQ RBC REF'!$A$5:$A$267, 0), AA$4))), "")</f>
        <v/>
      </c>
      <c r="AB41" s="97" cm="1">
        <f t="array" ref="AB41">_xlfn.IFNA(IF(INDEX('DEQ RBC REF'!$A$5:$R$267,MATCH($T41,'DEQ RBC REF'!$A$5:$A$267, 0),AB$4)="--","", (INDEX('DEQ RBC REF'!$A$5:$R$267,MATCH($T41,'DEQ RBC REF'!$A$5:$A$267, 0), AB$4))), "")</f>
        <v>86</v>
      </c>
    </row>
    <row r="42" spans="1:28" x14ac:dyDescent="0.35">
      <c r="A42" t="s">
        <v>429</v>
      </c>
      <c r="B42" s="58" t="s">
        <v>430</v>
      </c>
      <c r="C42" s="6"/>
      <c r="D42" s="6" t="s">
        <v>311</v>
      </c>
      <c r="E42" s="92">
        <v>9.9999999999999985E-3</v>
      </c>
      <c r="F42" s="93">
        <v>0.02</v>
      </c>
      <c r="G42" s="92">
        <v>0.25999999999999995</v>
      </c>
      <c r="H42" s="93">
        <v>8.8000000000000009E-2</v>
      </c>
      <c r="I42" s="92">
        <v>0.11999999999999998</v>
      </c>
      <c r="J42" s="93">
        <v>8.8000000000000009E-2</v>
      </c>
      <c r="K42" s="94">
        <v>0.2</v>
      </c>
      <c r="L42" s="6">
        <v>1</v>
      </c>
      <c r="M42" s="6">
        <v>1</v>
      </c>
      <c r="N42" s="60" t="s">
        <v>312</v>
      </c>
      <c r="O42" s="60">
        <v>1</v>
      </c>
      <c r="P42" s="60">
        <v>1</v>
      </c>
      <c r="Q42" s="60">
        <v>1</v>
      </c>
      <c r="R42" s="60">
        <v>1</v>
      </c>
      <c r="T42" s="95">
        <v>401</v>
      </c>
      <c r="U42" s="96" t="s">
        <v>431</v>
      </c>
      <c r="V42" s="97" cm="1">
        <f t="array" ref="V42">_xlfn.IFNA(IF(INDEX('DEQ RBC REF'!$A$5:$R$267,MATCH($T42,'DEQ RBC REF'!$A$5:$A$267, 0),V$4)="--","", (INDEX('DEQ RBC REF'!$A$5:$R$267,MATCH($T42,'DEQ RBC REF'!$A$5:$A$267, 0), V$4))), "")</f>
        <v>4.2625745950554133E-5</v>
      </c>
      <c r="W42" s="97" t="str" cm="1">
        <f t="array" ref="W42">_xlfn.IFNA(IF(INDEX('DEQ RBC REF'!$A$5:$R$267,MATCH($T42,'DEQ RBC REF'!$A$5:$A$267, 0),W$4)="--","", (INDEX('DEQ RBC REF'!$A$5:$R$267,MATCH($T42,'DEQ RBC REF'!$A$5:$A$267, 0), W$4))), "")</f>
        <v/>
      </c>
      <c r="X42" s="97" cm="1">
        <f t="array" ref="X42">_xlfn.IFNA(IF(INDEX('DEQ RBC REF'!$A$5:$R$267,MATCH($T42,'DEQ RBC REF'!$A$5:$A$267, 0),X$4)="--","", (INDEX('DEQ RBC REF'!$A$5:$R$267,MATCH($T42,'DEQ RBC REF'!$A$5:$A$267, 0), X$4))), "")</f>
        <v>1.5632515632515633E-3</v>
      </c>
      <c r="Y42" s="97" t="str" cm="1">
        <f t="array" ref="Y42">_xlfn.IFNA(IF(INDEX('DEQ RBC REF'!$A$5:$R$267,MATCH($T42,'DEQ RBC REF'!$A$5:$A$267, 0),Y$4)="--","", (INDEX('DEQ RBC REF'!$A$5:$R$267,MATCH($T42,'DEQ RBC REF'!$A$5:$A$267, 0), Y$4))), "")</f>
        <v/>
      </c>
      <c r="Z42" s="97" cm="1">
        <f t="array" ref="Z42">_xlfn.IFNA(IF(INDEX('DEQ RBC REF'!$A$5:$R$267,MATCH($T42,'DEQ RBC REF'!$A$5:$A$267, 0),Z$4)="--","", (INDEX('DEQ RBC REF'!$A$5:$R$267,MATCH($T42,'DEQ RBC REF'!$A$5:$A$267, 0), Z$4))), "")</f>
        <v>3.0303030303030307E-3</v>
      </c>
      <c r="AA42" s="97" t="str" cm="1">
        <f t="array" ref="AA42">_xlfn.IFNA(IF(INDEX('DEQ RBC REF'!$A$5:$R$267,MATCH($T42,'DEQ RBC REF'!$A$5:$A$267, 0),AA$4)="--","", (INDEX('DEQ RBC REF'!$A$5:$R$267,MATCH($T42,'DEQ RBC REF'!$A$5:$A$267, 0), AA$4))), "")</f>
        <v/>
      </c>
      <c r="AB42" s="97" t="str" cm="1">
        <f t="array" ref="AB42">_xlfn.IFNA(IF(INDEX('DEQ RBC REF'!$A$5:$R$267,MATCH($T42,'DEQ RBC REF'!$A$5:$A$267, 0),AB$4)="--","", (INDEX('DEQ RBC REF'!$A$5:$R$267,MATCH($T42,'DEQ RBC REF'!$A$5:$A$267, 0), AB$4))), "")</f>
        <v/>
      </c>
    </row>
    <row r="43" spans="1:28" x14ac:dyDescent="0.35">
      <c r="A43" t="s">
        <v>432</v>
      </c>
      <c r="B43" s="58" t="s">
        <v>433</v>
      </c>
      <c r="C43" s="6" t="s">
        <v>434</v>
      </c>
      <c r="D43" s="6" t="s">
        <v>37</v>
      </c>
      <c r="E43" s="92">
        <v>3.9999999999999994E-2</v>
      </c>
      <c r="F43" s="93" t="s">
        <v>37</v>
      </c>
      <c r="G43" s="92">
        <v>1.0399999999999998</v>
      </c>
      <c r="H43" s="93" t="s">
        <v>37</v>
      </c>
      <c r="I43" s="92">
        <v>0.47999999999999993</v>
      </c>
      <c r="J43" s="93" t="s">
        <v>37</v>
      </c>
      <c r="K43" s="94" t="s">
        <v>37</v>
      </c>
      <c r="L43" s="6">
        <v>1</v>
      </c>
      <c r="M43" s="6">
        <v>1</v>
      </c>
      <c r="N43" s="60" t="s">
        <v>312</v>
      </c>
      <c r="O43" s="60">
        <v>1</v>
      </c>
      <c r="P43" s="60">
        <v>1</v>
      </c>
      <c r="Q43" s="60">
        <v>1</v>
      </c>
      <c r="R43" s="60">
        <v>1</v>
      </c>
      <c r="T43" s="95" t="s">
        <v>435</v>
      </c>
      <c r="U43" s="96" t="s">
        <v>436</v>
      </c>
      <c r="V43" s="97" t="str" cm="1">
        <f t="array" ref="V43">_xlfn.IFNA(IF(INDEX('DEQ RBC REF'!$A$5:$R$267,MATCH($T43,'DEQ RBC REF'!$A$5:$A$267, 0),V$4)="--","", (INDEX('DEQ RBC REF'!$A$5:$R$267,MATCH($T43,'DEQ RBC REF'!$A$5:$A$267, 0), V$4))), "")</f>
        <v/>
      </c>
      <c r="W43" s="97" t="str" cm="1">
        <f t="array" ref="W43">_xlfn.IFNA(IF(INDEX('DEQ RBC REF'!$A$5:$R$267,MATCH($T43,'DEQ RBC REF'!$A$5:$A$267, 0),W$4)="--","", (INDEX('DEQ RBC REF'!$A$5:$R$267,MATCH($T43,'DEQ RBC REF'!$A$5:$A$267, 0), W$4))), "")</f>
        <v/>
      </c>
      <c r="X43" s="97" t="str" cm="1">
        <f t="array" ref="X43">_xlfn.IFNA(IF(INDEX('DEQ RBC REF'!$A$5:$R$267,MATCH($T43,'DEQ RBC REF'!$A$5:$A$267, 0),X$4)="--","", (INDEX('DEQ RBC REF'!$A$5:$R$267,MATCH($T43,'DEQ RBC REF'!$A$5:$A$267, 0), X$4))), "")</f>
        <v/>
      </c>
      <c r="Y43" s="97" t="str" cm="1">
        <f t="array" ref="Y43">_xlfn.IFNA(IF(INDEX('DEQ RBC REF'!$A$5:$R$267,MATCH($T43,'DEQ RBC REF'!$A$5:$A$267, 0),Y$4)="--","", (INDEX('DEQ RBC REF'!$A$5:$R$267,MATCH($T43,'DEQ RBC REF'!$A$5:$A$267, 0), Y$4))), "")</f>
        <v/>
      </c>
      <c r="Z43" s="97" t="str" cm="1">
        <f t="array" ref="Z43">_xlfn.IFNA(IF(INDEX('DEQ RBC REF'!$A$5:$R$267,MATCH($T43,'DEQ RBC REF'!$A$5:$A$267, 0),Z$4)="--","", (INDEX('DEQ RBC REF'!$A$5:$R$267,MATCH($T43,'DEQ RBC REF'!$A$5:$A$267, 0), Z$4))), "")</f>
        <v/>
      </c>
      <c r="AA43" s="97" t="str" cm="1">
        <f t="array" ref="AA43">_xlfn.IFNA(IF(INDEX('DEQ RBC REF'!$A$5:$R$267,MATCH($T43,'DEQ RBC REF'!$A$5:$A$267, 0),AA$4)="--","", (INDEX('DEQ RBC REF'!$A$5:$R$267,MATCH($T43,'DEQ RBC REF'!$A$5:$A$267, 0), AA$4))), "")</f>
        <v/>
      </c>
      <c r="AB43" s="97" cm="1">
        <f t="array" ref="AB43">_xlfn.IFNA(IF(INDEX('DEQ RBC REF'!$A$5:$R$267,MATCH($T43,'DEQ RBC REF'!$A$5:$A$267, 0),AB$4)="--","", (INDEX('DEQ RBC REF'!$A$5:$R$267,MATCH($T43,'DEQ RBC REF'!$A$5:$A$267, 0), AB$4))), "")</f>
        <v>2</v>
      </c>
    </row>
    <row r="44" spans="1:28" x14ac:dyDescent="0.35">
      <c r="A44" t="s">
        <v>437</v>
      </c>
      <c r="B44" s="58" t="s">
        <v>438</v>
      </c>
      <c r="C44" s="6"/>
      <c r="D44" s="6" t="s">
        <v>311</v>
      </c>
      <c r="E44" s="92" t="s">
        <v>37</v>
      </c>
      <c r="F44" s="93">
        <v>0.15</v>
      </c>
      <c r="G44" s="92" t="s">
        <v>37</v>
      </c>
      <c r="H44" s="93">
        <v>0.66</v>
      </c>
      <c r="I44" s="92" t="s">
        <v>37</v>
      </c>
      <c r="J44" s="93">
        <v>0.66</v>
      </c>
      <c r="K44" s="94">
        <v>170</v>
      </c>
      <c r="L44" s="6">
        <v>1</v>
      </c>
      <c r="M44" s="6">
        <v>1</v>
      </c>
      <c r="N44" s="60" t="s">
        <v>312</v>
      </c>
      <c r="O44" s="60">
        <v>1</v>
      </c>
      <c r="P44" s="60">
        <v>1</v>
      </c>
      <c r="Q44" s="60">
        <v>1</v>
      </c>
      <c r="R44" s="60">
        <v>1</v>
      </c>
      <c r="T44" s="95" t="s">
        <v>219</v>
      </c>
      <c r="U44" s="96" t="s">
        <v>439</v>
      </c>
      <c r="V44" s="97" t="str" cm="1">
        <f t="array" ref="V44">_xlfn.IFNA(IF(INDEX('DEQ RBC REF'!$A$5:$R$267,MATCH($T44,'DEQ RBC REF'!$A$5:$A$267, 0),V$4)="--","", (INDEX('DEQ RBC REF'!$A$5:$R$267,MATCH($T44,'DEQ RBC REF'!$A$5:$A$267, 0), V$4))), "")</f>
        <v/>
      </c>
      <c r="W44" s="97" cm="1">
        <f t="array" ref="W44">_xlfn.IFNA(IF(INDEX('DEQ RBC REF'!$A$5:$R$267,MATCH($T44,'DEQ RBC REF'!$A$5:$A$267, 0),W$4)="--","", (INDEX('DEQ RBC REF'!$A$5:$R$267,MATCH($T44,'DEQ RBC REF'!$A$5:$A$267, 0), W$4))), "")</f>
        <v>3</v>
      </c>
      <c r="X44" s="97" t="str" cm="1">
        <f t="array" ref="X44">_xlfn.IFNA(IF(INDEX('DEQ RBC REF'!$A$5:$R$267,MATCH($T44,'DEQ RBC REF'!$A$5:$A$267, 0),X$4)="--","", (INDEX('DEQ RBC REF'!$A$5:$R$267,MATCH($T44,'DEQ RBC REF'!$A$5:$A$267, 0), X$4))), "")</f>
        <v/>
      </c>
      <c r="Y44" s="97" cm="1">
        <f t="array" ref="Y44">_xlfn.IFNA(IF(INDEX('DEQ RBC REF'!$A$5:$R$267,MATCH($T44,'DEQ RBC REF'!$A$5:$A$267, 0),Y$4)="--","", (INDEX('DEQ RBC REF'!$A$5:$R$267,MATCH($T44,'DEQ RBC REF'!$A$5:$A$267, 0), Y$4))), "")</f>
        <v>13.200000000000001</v>
      </c>
      <c r="Z44" s="97" t="str" cm="1">
        <f t="array" ref="Z44">_xlfn.IFNA(IF(INDEX('DEQ RBC REF'!$A$5:$R$267,MATCH($T44,'DEQ RBC REF'!$A$5:$A$267, 0),Z$4)="--","", (INDEX('DEQ RBC REF'!$A$5:$R$267,MATCH($T44,'DEQ RBC REF'!$A$5:$A$267, 0), Z$4))), "")</f>
        <v/>
      </c>
      <c r="AA44" s="97" cm="1">
        <f t="array" ref="AA44">_xlfn.IFNA(IF(INDEX('DEQ RBC REF'!$A$5:$R$267,MATCH($T44,'DEQ RBC REF'!$A$5:$A$267, 0),AA$4)="--","", (INDEX('DEQ RBC REF'!$A$5:$R$267,MATCH($T44,'DEQ RBC REF'!$A$5:$A$267, 0), AA$4))), "")</f>
        <v>13.200000000000001</v>
      </c>
      <c r="AB44" s="97" t="str" cm="1">
        <f t="array" ref="AB44">_xlfn.IFNA(IF(INDEX('DEQ RBC REF'!$A$5:$R$267,MATCH($T44,'DEQ RBC REF'!$A$5:$A$267, 0),AB$4)="--","", (INDEX('DEQ RBC REF'!$A$5:$R$267,MATCH($T44,'DEQ RBC REF'!$A$5:$A$267, 0), AB$4))), "")</f>
        <v/>
      </c>
    </row>
    <row r="45" spans="1:28" x14ac:dyDescent="0.35">
      <c r="A45" t="s">
        <v>440</v>
      </c>
      <c r="B45" s="58" t="s">
        <v>441</v>
      </c>
      <c r="C45" s="6"/>
      <c r="D45" s="6" t="s">
        <v>311</v>
      </c>
      <c r="E45" s="92" t="s">
        <v>37</v>
      </c>
      <c r="F45" s="93">
        <v>0.6</v>
      </c>
      <c r="G45" s="92" t="s">
        <v>37</v>
      </c>
      <c r="H45" s="93">
        <v>2.64</v>
      </c>
      <c r="I45" s="92" t="s">
        <v>37</v>
      </c>
      <c r="J45" s="93">
        <v>2.64</v>
      </c>
      <c r="K45" s="94">
        <v>2.8</v>
      </c>
      <c r="L45" s="6">
        <v>1</v>
      </c>
      <c r="M45" s="6">
        <v>1</v>
      </c>
      <c r="N45" s="60" t="s">
        <v>312</v>
      </c>
      <c r="O45" s="60">
        <v>1</v>
      </c>
      <c r="P45" s="60">
        <v>1</v>
      </c>
      <c r="Q45" s="60">
        <v>1</v>
      </c>
      <c r="R45" s="60">
        <v>1</v>
      </c>
      <c r="T45" s="95" t="s">
        <v>442</v>
      </c>
      <c r="U45" s="96" t="s">
        <v>443</v>
      </c>
      <c r="V45" s="97" t="str" cm="1">
        <f t="array" ref="V45">_xlfn.IFNA(IF(INDEX('DEQ RBC REF'!$A$5:$R$267,MATCH($T45,'DEQ RBC REF'!$A$5:$A$267, 0),V$4)="--","", (INDEX('DEQ RBC REF'!$A$5:$R$267,MATCH($T45,'DEQ RBC REF'!$A$5:$A$267, 0), V$4))), "")</f>
        <v/>
      </c>
      <c r="W45" s="97" t="str" cm="1">
        <f t="array" ref="W45">_xlfn.IFNA(IF(INDEX('DEQ RBC REF'!$A$5:$R$267,MATCH($T45,'DEQ RBC REF'!$A$5:$A$267, 0),W$4)="--","", (INDEX('DEQ RBC REF'!$A$5:$R$267,MATCH($T45,'DEQ RBC REF'!$A$5:$A$267, 0), W$4))), "")</f>
        <v/>
      </c>
      <c r="X45" s="97" t="str" cm="1">
        <f t="array" ref="X45">_xlfn.IFNA(IF(INDEX('DEQ RBC REF'!$A$5:$R$267,MATCH($T45,'DEQ RBC REF'!$A$5:$A$267, 0),X$4)="--","", (INDEX('DEQ RBC REF'!$A$5:$R$267,MATCH($T45,'DEQ RBC REF'!$A$5:$A$267, 0), X$4))), "")</f>
        <v/>
      </c>
      <c r="Y45" s="97" t="str" cm="1">
        <f t="array" ref="Y45">_xlfn.IFNA(IF(INDEX('DEQ RBC REF'!$A$5:$R$267,MATCH($T45,'DEQ RBC REF'!$A$5:$A$267, 0),Y$4)="--","", (INDEX('DEQ RBC REF'!$A$5:$R$267,MATCH($T45,'DEQ RBC REF'!$A$5:$A$267, 0), Y$4))), "")</f>
        <v/>
      </c>
      <c r="Z45" s="97" t="str" cm="1">
        <f t="array" ref="Z45">_xlfn.IFNA(IF(INDEX('DEQ RBC REF'!$A$5:$R$267,MATCH($T45,'DEQ RBC REF'!$A$5:$A$267, 0),Z$4)="--","", (INDEX('DEQ RBC REF'!$A$5:$R$267,MATCH($T45,'DEQ RBC REF'!$A$5:$A$267, 0), Z$4))), "")</f>
        <v/>
      </c>
      <c r="AA45" s="97" t="str" cm="1">
        <f t="array" ref="AA45">_xlfn.IFNA(IF(INDEX('DEQ RBC REF'!$A$5:$R$267,MATCH($T45,'DEQ RBC REF'!$A$5:$A$267, 0),AA$4)="--","", (INDEX('DEQ RBC REF'!$A$5:$R$267,MATCH($T45,'DEQ RBC REF'!$A$5:$A$267, 0), AA$4))), "")</f>
        <v/>
      </c>
      <c r="AB45" s="97" t="str" cm="1">
        <f t="array" ref="AB45">_xlfn.IFNA(IF(INDEX('DEQ RBC REF'!$A$5:$R$267,MATCH($T45,'DEQ RBC REF'!$A$5:$A$267, 0),AB$4)="--","", (INDEX('DEQ RBC REF'!$A$5:$R$267,MATCH($T45,'DEQ RBC REF'!$A$5:$A$267, 0), AB$4))), "")</f>
        <v/>
      </c>
    </row>
    <row r="46" spans="1:28" x14ac:dyDescent="0.35">
      <c r="A46" t="s">
        <v>444</v>
      </c>
      <c r="B46" s="58" t="s">
        <v>445</v>
      </c>
      <c r="C46" s="6"/>
      <c r="D46" s="6" t="s">
        <v>326</v>
      </c>
      <c r="E46" s="92" t="s">
        <v>37</v>
      </c>
      <c r="F46" s="93">
        <v>0.03</v>
      </c>
      <c r="G46" s="92" t="s">
        <v>37</v>
      </c>
      <c r="H46" s="93">
        <v>0.13200000000000001</v>
      </c>
      <c r="I46" s="92" t="s">
        <v>37</v>
      </c>
      <c r="J46" s="93">
        <v>0.13200000000000001</v>
      </c>
      <c r="K46" s="94" t="s">
        <v>37</v>
      </c>
      <c r="L46" s="6">
        <v>1</v>
      </c>
      <c r="M46" s="6">
        <v>1</v>
      </c>
      <c r="N46" s="60" t="s">
        <v>312</v>
      </c>
      <c r="O46" s="60">
        <v>1</v>
      </c>
      <c r="P46" s="60">
        <v>1</v>
      </c>
      <c r="Q46" s="60">
        <v>1</v>
      </c>
      <c r="R46" s="60">
        <v>1</v>
      </c>
      <c r="T46" s="95" t="s">
        <v>446</v>
      </c>
      <c r="U46" s="96" t="s">
        <v>447</v>
      </c>
      <c r="V46" s="97" t="str" cm="1">
        <f t="array" ref="V46">_xlfn.IFNA(IF(INDEX('DEQ RBC REF'!$A$5:$R$267,MATCH($T46,'DEQ RBC REF'!$A$5:$A$267, 0),V$4)="--","", (INDEX('DEQ RBC REF'!$A$5:$R$267,MATCH($T46,'DEQ RBC REF'!$A$5:$A$267, 0), V$4))), "")</f>
        <v/>
      </c>
      <c r="W46" s="97" cm="1">
        <f t="array" ref="W46">_xlfn.IFNA(IF(INDEX('DEQ RBC REF'!$A$5:$R$267,MATCH($T46,'DEQ RBC REF'!$A$5:$A$267, 0),W$4)="--","", (INDEX('DEQ RBC REF'!$A$5:$R$267,MATCH($T46,'DEQ RBC REF'!$A$5:$A$267, 0), W$4))), "")</f>
        <v>1000</v>
      </c>
      <c r="X46" s="97" t="str" cm="1">
        <f t="array" ref="X46">_xlfn.IFNA(IF(INDEX('DEQ RBC REF'!$A$5:$R$267,MATCH($T46,'DEQ RBC REF'!$A$5:$A$267, 0),X$4)="--","", (INDEX('DEQ RBC REF'!$A$5:$R$267,MATCH($T46,'DEQ RBC REF'!$A$5:$A$267, 0), X$4))), "")</f>
        <v/>
      </c>
      <c r="Y46" s="97" cm="1">
        <f t="array" ref="Y46">_xlfn.IFNA(IF(INDEX('DEQ RBC REF'!$A$5:$R$267,MATCH($T46,'DEQ RBC REF'!$A$5:$A$267, 0),Y$4)="--","", (INDEX('DEQ RBC REF'!$A$5:$R$267,MATCH($T46,'DEQ RBC REF'!$A$5:$A$267, 0), Y$4))), "")</f>
        <v>4400</v>
      </c>
      <c r="Z46" s="97" t="str" cm="1">
        <f t="array" ref="Z46">_xlfn.IFNA(IF(INDEX('DEQ RBC REF'!$A$5:$R$267,MATCH($T46,'DEQ RBC REF'!$A$5:$A$267, 0),Z$4)="--","", (INDEX('DEQ RBC REF'!$A$5:$R$267,MATCH($T46,'DEQ RBC REF'!$A$5:$A$267, 0), Z$4))), "")</f>
        <v/>
      </c>
      <c r="AA46" s="97" cm="1">
        <f t="array" ref="AA46">_xlfn.IFNA(IF(INDEX('DEQ RBC REF'!$A$5:$R$267,MATCH($T46,'DEQ RBC REF'!$A$5:$A$267, 0),AA$4)="--","", (INDEX('DEQ RBC REF'!$A$5:$R$267,MATCH($T46,'DEQ RBC REF'!$A$5:$A$267, 0), AA$4))), "")</f>
        <v>4400</v>
      </c>
      <c r="AB46" s="97" cm="1">
        <f t="array" ref="AB46">_xlfn.IFNA(IF(INDEX('DEQ RBC REF'!$A$5:$R$267,MATCH($T46,'DEQ RBC REF'!$A$5:$A$267, 0),AB$4)="--","", (INDEX('DEQ RBC REF'!$A$5:$R$267,MATCH($T46,'DEQ RBC REF'!$A$5:$A$267, 0), AB$4))), "")</f>
        <v>21000</v>
      </c>
    </row>
    <row r="47" spans="1:28" x14ac:dyDescent="0.35">
      <c r="A47" t="s">
        <v>448</v>
      </c>
      <c r="B47" s="58" t="s">
        <v>449</v>
      </c>
      <c r="C47" s="6"/>
      <c r="D47" s="6" t="s">
        <v>311</v>
      </c>
      <c r="E47" s="92" t="s">
        <v>37</v>
      </c>
      <c r="F47" s="93">
        <v>50</v>
      </c>
      <c r="G47" s="92" t="s">
        <v>37</v>
      </c>
      <c r="H47" s="93">
        <v>220.00000000000003</v>
      </c>
      <c r="I47" s="92" t="s">
        <v>37</v>
      </c>
      <c r="J47" s="93">
        <v>220.00000000000003</v>
      </c>
      <c r="K47" s="94" t="s">
        <v>37</v>
      </c>
      <c r="L47" s="6">
        <v>1</v>
      </c>
      <c r="M47" s="6">
        <v>1</v>
      </c>
      <c r="N47" s="60" t="s">
        <v>312</v>
      </c>
      <c r="O47" s="60">
        <v>1</v>
      </c>
      <c r="P47" s="60">
        <v>1</v>
      </c>
      <c r="Q47" s="60">
        <v>1</v>
      </c>
      <c r="R47" s="60">
        <v>1</v>
      </c>
      <c r="T47" s="95" t="s">
        <v>450</v>
      </c>
      <c r="U47" s="96" t="s">
        <v>451</v>
      </c>
      <c r="V47" s="97" t="str" cm="1">
        <f t="array" ref="V47">_xlfn.IFNA(IF(INDEX('DEQ RBC REF'!$A$5:$R$267,MATCH($T47,'DEQ RBC REF'!$A$5:$A$267, 0),V$4)="--","", (INDEX('DEQ RBC REF'!$A$5:$R$267,MATCH($T47,'DEQ RBC REF'!$A$5:$A$267, 0), V$4))), "")</f>
        <v/>
      </c>
      <c r="W47" s="97" cm="1">
        <f t="array" ref="W47">_xlfn.IFNA(IF(INDEX('DEQ RBC REF'!$A$5:$R$267,MATCH($T47,'DEQ RBC REF'!$A$5:$A$267, 0),W$4)="--","", (INDEX('DEQ RBC REF'!$A$5:$R$267,MATCH($T47,'DEQ RBC REF'!$A$5:$A$267, 0), W$4))), "")</f>
        <v>5000</v>
      </c>
      <c r="X47" s="97" t="str" cm="1">
        <f t="array" ref="X47">_xlfn.IFNA(IF(INDEX('DEQ RBC REF'!$A$5:$R$267,MATCH($T47,'DEQ RBC REF'!$A$5:$A$267, 0),X$4)="--","", (INDEX('DEQ RBC REF'!$A$5:$R$267,MATCH($T47,'DEQ RBC REF'!$A$5:$A$267, 0), X$4))), "")</f>
        <v/>
      </c>
      <c r="Y47" s="97" cm="1">
        <f t="array" ref="Y47">_xlfn.IFNA(IF(INDEX('DEQ RBC REF'!$A$5:$R$267,MATCH($T47,'DEQ RBC REF'!$A$5:$A$267, 0),Y$4)="--","", (INDEX('DEQ RBC REF'!$A$5:$R$267,MATCH($T47,'DEQ RBC REF'!$A$5:$A$267, 0), Y$4))), "")</f>
        <v>22000</v>
      </c>
      <c r="Z47" s="97" t="str" cm="1">
        <f t="array" ref="Z47">_xlfn.IFNA(IF(INDEX('DEQ RBC REF'!$A$5:$R$267,MATCH($T47,'DEQ RBC REF'!$A$5:$A$267, 0),Z$4)="--","", (INDEX('DEQ RBC REF'!$A$5:$R$267,MATCH($T47,'DEQ RBC REF'!$A$5:$A$267, 0), Z$4))), "")</f>
        <v/>
      </c>
      <c r="AA47" s="97" cm="1">
        <f t="array" ref="AA47">_xlfn.IFNA(IF(INDEX('DEQ RBC REF'!$A$5:$R$267,MATCH($T47,'DEQ RBC REF'!$A$5:$A$267, 0),AA$4)="--","", (INDEX('DEQ RBC REF'!$A$5:$R$267,MATCH($T47,'DEQ RBC REF'!$A$5:$A$267, 0), AA$4))), "")</f>
        <v>22000</v>
      </c>
      <c r="AB47" s="97" cm="1">
        <f t="array" ref="AB47">_xlfn.IFNA(IF(INDEX('DEQ RBC REF'!$A$5:$R$267,MATCH($T47,'DEQ RBC REF'!$A$5:$A$267, 0),AB$4)="--","", (INDEX('DEQ RBC REF'!$A$5:$R$267,MATCH($T47,'DEQ RBC REF'!$A$5:$A$267, 0), AB$4))), "")</f>
        <v>7500</v>
      </c>
    </row>
    <row r="48" spans="1:28" ht="29" x14ac:dyDescent="0.35">
      <c r="A48" t="s">
        <v>452</v>
      </c>
      <c r="B48" s="58" t="s">
        <v>453</v>
      </c>
      <c r="C48" s="6"/>
      <c r="D48" s="6" t="s">
        <v>311</v>
      </c>
      <c r="E48" s="92" t="s">
        <v>37</v>
      </c>
      <c r="F48" s="93">
        <v>50000</v>
      </c>
      <c r="G48" s="92" t="s">
        <v>37</v>
      </c>
      <c r="H48" s="93">
        <v>220000.00000000003</v>
      </c>
      <c r="I48" s="92" t="s">
        <v>37</v>
      </c>
      <c r="J48" s="93">
        <v>220000.00000000003</v>
      </c>
      <c r="K48" s="94" t="s">
        <v>37</v>
      </c>
      <c r="L48" s="6">
        <v>1</v>
      </c>
      <c r="M48" s="6">
        <v>1</v>
      </c>
      <c r="N48" s="60" t="s">
        <v>312</v>
      </c>
      <c r="O48" s="60">
        <v>1</v>
      </c>
      <c r="P48" s="60">
        <v>1</v>
      </c>
      <c r="Q48" s="60">
        <v>1</v>
      </c>
      <c r="R48" s="60">
        <v>1</v>
      </c>
      <c r="T48" s="95" t="s">
        <v>31</v>
      </c>
      <c r="U48" s="96" t="s">
        <v>454</v>
      </c>
      <c r="V48" s="97" t="str" cm="1">
        <f t="array" ref="V48">_xlfn.IFNA(IF(INDEX('DEQ RBC REF'!$A$5:$R$267,MATCH($T48,'DEQ RBC REF'!$A$5:$A$267, 0),V$4)="--","", (INDEX('DEQ RBC REF'!$A$5:$R$267,MATCH($T48,'DEQ RBC REF'!$A$5:$A$267, 0), V$4))), "")</f>
        <v/>
      </c>
      <c r="W48" s="97" cm="1">
        <f t="array" ref="W48">_xlfn.IFNA(IF(INDEX('DEQ RBC REF'!$A$5:$R$267,MATCH($T48,'DEQ RBC REF'!$A$5:$A$267, 0),W$4)="--","", (INDEX('DEQ RBC REF'!$A$5:$R$267,MATCH($T48,'DEQ RBC REF'!$A$5:$A$267, 0), W$4))), "")</f>
        <v>0.1</v>
      </c>
      <c r="X48" s="97" t="str" cm="1">
        <f t="array" ref="X48">_xlfn.IFNA(IF(INDEX('DEQ RBC REF'!$A$5:$R$267,MATCH($T48,'DEQ RBC REF'!$A$5:$A$267, 0),X$4)="--","", (INDEX('DEQ RBC REF'!$A$5:$R$267,MATCH($T48,'DEQ RBC REF'!$A$5:$A$267, 0), X$4))), "")</f>
        <v/>
      </c>
      <c r="Y48" s="97" cm="1">
        <f t="array" ref="Y48">_xlfn.IFNA(IF(INDEX('DEQ RBC REF'!$A$5:$R$267,MATCH($T48,'DEQ RBC REF'!$A$5:$A$267, 0),Y$4)="--","", (INDEX('DEQ RBC REF'!$A$5:$R$267,MATCH($T48,'DEQ RBC REF'!$A$5:$A$267, 0), Y$4))), "")</f>
        <v>0.44000000000000006</v>
      </c>
      <c r="Z48" s="97" t="str" cm="1">
        <f t="array" ref="Z48">_xlfn.IFNA(IF(INDEX('DEQ RBC REF'!$A$5:$R$267,MATCH($T48,'DEQ RBC REF'!$A$5:$A$267, 0),Z$4)="--","", (INDEX('DEQ RBC REF'!$A$5:$R$267,MATCH($T48,'DEQ RBC REF'!$A$5:$A$267, 0), Z$4))), "")</f>
        <v/>
      </c>
      <c r="AA48" s="97" cm="1">
        <f t="array" ref="AA48">_xlfn.IFNA(IF(INDEX('DEQ RBC REF'!$A$5:$R$267,MATCH($T48,'DEQ RBC REF'!$A$5:$A$267, 0),AA$4)="--","", (INDEX('DEQ RBC REF'!$A$5:$R$267,MATCH($T48,'DEQ RBC REF'!$A$5:$A$267, 0), AA$4))), "")</f>
        <v>0.44000000000000006</v>
      </c>
      <c r="AB48" s="97" cm="1">
        <f t="array" ref="AB48">_xlfn.IFNA(IF(INDEX('DEQ RBC REF'!$A$5:$R$267,MATCH($T48,'DEQ RBC REF'!$A$5:$A$267, 0),AB$4)="--","", (INDEX('DEQ RBC REF'!$A$5:$R$267,MATCH($T48,'DEQ RBC REF'!$A$5:$A$267, 0), AB$4))), "")</f>
        <v>0.8</v>
      </c>
    </row>
    <row r="49" spans="1:28" ht="29" x14ac:dyDescent="0.35">
      <c r="A49" t="s">
        <v>455</v>
      </c>
      <c r="B49" s="58" t="s">
        <v>456</v>
      </c>
      <c r="C49" s="6"/>
      <c r="D49" s="6" t="s">
        <v>311</v>
      </c>
      <c r="E49" s="92" t="s">
        <v>37</v>
      </c>
      <c r="F49" s="93">
        <v>50000</v>
      </c>
      <c r="G49" s="92" t="s">
        <v>37</v>
      </c>
      <c r="H49" s="93">
        <v>220000.00000000003</v>
      </c>
      <c r="I49" s="92" t="s">
        <v>37</v>
      </c>
      <c r="J49" s="93">
        <v>220000.00000000003</v>
      </c>
      <c r="K49" s="94" t="s">
        <v>37</v>
      </c>
      <c r="L49" s="6">
        <v>1</v>
      </c>
      <c r="M49" s="6">
        <v>1</v>
      </c>
      <c r="N49" s="60" t="s">
        <v>312</v>
      </c>
      <c r="O49" s="60">
        <v>1</v>
      </c>
      <c r="P49" s="60">
        <v>1</v>
      </c>
      <c r="Q49" s="60">
        <v>1</v>
      </c>
      <c r="R49" s="60">
        <v>1</v>
      </c>
      <c r="T49" s="95" t="s">
        <v>457</v>
      </c>
      <c r="U49" s="96" t="s">
        <v>458</v>
      </c>
      <c r="V49" s="97" t="str" cm="1">
        <f t="array" ref="V49">_xlfn.IFNA(IF(INDEX('DEQ RBC REF'!$A$5:$R$267,MATCH($T49,'DEQ RBC REF'!$A$5:$A$267, 0),V$4)="--","", (INDEX('DEQ RBC REF'!$A$5:$R$267,MATCH($T49,'DEQ RBC REF'!$A$5:$A$267, 0), V$4))), "")</f>
        <v/>
      </c>
      <c r="W49" s="97" cm="1">
        <f t="array" ref="W49">_xlfn.IFNA(IF(INDEX('DEQ RBC REF'!$A$5:$R$267,MATCH($T49,'DEQ RBC REF'!$A$5:$A$267, 0),W$4)="--","", (INDEX('DEQ RBC REF'!$A$5:$R$267,MATCH($T49,'DEQ RBC REF'!$A$5:$A$267, 0), W$4))), "")</f>
        <v>220</v>
      </c>
      <c r="X49" s="97" t="str" cm="1">
        <f t="array" ref="X49">_xlfn.IFNA(IF(INDEX('DEQ RBC REF'!$A$5:$R$267,MATCH($T49,'DEQ RBC REF'!$A$5:$A$267, 0),X$4)="--","", (INDEX('DEQ RBC REF'!$A$5:$R$267,MATCH($T49,'DEQ RBC REF'!$A$5:$A$267, 0), X$4))), "")</f>
        <v/>
      </c>
      <c r="Y49" s="97" cm="1">
        <f t="array" ref="Y49">_xlfn.IFNA(IF(INDEX('DEQ RBC REF'!$A$5:$R$267,MATCH($T49,'DEQ RBC REF'!$A$5:$A$267, 0),Y$4)="--","", (INDEX('DEQ RBC REF'!$A$5:$R$267,MATCH($T49,'DEQ RBC REF'!$A$5:$A$267, 0), Y$4))), "")</f>
        <v>968.00000000000011</v>
      </c>
      <c r="Z49" s="97" t="str" cm="1">
        <f t="array" ref="Z49">_xlfn.IFNA(IF(INDEX('DEQ RBC REF'!$A$5:$R$267,MATCH($T49,'DEQ RBC REF'!$A$5:$A$267, 0),Z$4)="--","", (INDEX('DEQ RBC REF'!$A$5:$R$267,MATCH($T49,'DEQ RBC REF'!$A$5:$A$267, 0), Z$4))), "")</f>
        <v/>
      </c>
      <c r="AA49" s="97" cm="1">
        <f t="array" ref="AA49">_xlfn.IFNA(IF(INDEX('DEQ RBC REF'!$A$5:$R$267,MATCH($T49,'DEQ RBC REF'!$A$5:$A$267, 0),AA$4)="--","", (INDEX('DEQ RBC REF'!$A$5:$R$267,MATCH($T49,'DEQ RBC REF'!$A$5:$A$267, 0), AA$4))), "")</f>
        <v>968.00000000000011</v>
      </c>
      <c r="AB49" s="97" cm="1">
        <f t="array" ref="AB49">_xlfn.IFNA(IF(INDEX('DEQ RBC REF'!$A$5:$R$267,MATCH($T49,'DEQ RBC REF'!$A$5:$A$267, 0),AB$4)="--","", (INDEX('DEQ RBC REF'!$A$5:$R$267,MATCH($T49,'DEQ RBC REF'!$A$5:$A$267, 0), AB$4))), "")</f>
        <v>8700</v>
      </c>
    </row>
    <row r="50" spans="1:28" ht="29" x14ac:dyDescent="0.35">
      <c r="A50" t="s">
        <v>459</v>
      </c>
      <c r="B50" s="58" t="s">
        <v>460</v>
      </c>
      <c r="C50" s="6"/>
      <c r="D50" s="6" t="s">
        <v>311</v>
      </c>
      <c r="E50" s="92" t="s">
        <v>37</v>
      </c>
      <c r="F50" s="93">
        <v>30000</v>
      </c>
      <c r="G50" s="92" t="s">
        <v>37</v>
      </c>
      <c r="H50" s="93">
        <v>132000</v>
      </c>
      <c r="I50" s="92" t="s">
        <v>37</v>
      </c>
      <c r="J50" s="93">
        <v>132000</v>
      </c>
      <c r="K50" s="94">
        <v>40000</v>
      </c>
      <c r="L50" s="6">
        <v>1</v>
      </c>
      <c r="M50" s="6">
        <v>1</v>
      </c>
      <c r="N50" s="60" t="s">
        <v>312</v>
      </c>
      <c r="O50" s="60">
        <v>1</v>
      </c>
      <c r="P50" s="60">
        <v>1</v>
      </c>
      <c r="Q50" s="60">
        <v>1</v>
      </c>
      <c r="R50" s="60">
        <v>1</v>
      </c>
      <c r="T50" s="95" t="s">
        <v>32</v>
      </c>
      <c r="U50" s="96" t="s">
        <v>461</v>
      </c>
      <c r="V50" s="97" t="str" cm="1">
        <f t="array" ref="V50">_xlfn.IFNA(IF(INDEX('DEQ RBC REF'!$A$5:$R$267,MATCH($T50,'DEQ RBC REF'!$A$5:$A$267, 0),V$4)="--","", (INDEX('DEQ RBC REF'!$A$5:$R$267,MATCH($T50,'DEQ RBC REF'!$A$5:$A$267, 0), V$4))), "")</f>
        <v/>
      </c>
      <c r="W50" s="97" t="str" cm="1">
        <f t="array" ref="W50">_xlfn.IFNA(IF(INDEX('DEQ RBC REF'!$A$5:$R$267,MATCH($T50,'DEQ RBC REF'!$A$5:$A$267, 0),W$4)="--","", (INDEX('DEQ RBC REF'!$A$5:$R$267,MATCH($T50,'DEQ RBC REF'!$A$5:$A$267, 0), W$4))), "")</f>
        <v/>
      </c>
      <c r="X50" s="97" t="str" cm="1">
        <f t="array" ref="X50">_xlfn.IFNA(IF(INDEX('DEQ RBC REF'!$A$5:$R$267,MATCH($T50,'DEQ RBC REF'!$A$5:$A$267, 0),X$4)="--","", (INDEX('DEQ RBC REF'!$A$5:$R$267,MATCH($T50,'DEQ RBC REF'!$A$5:$A$267, 0), X$4))), "")</f>
        <v/>
      </c>
      <c r="Y50" s="97" t="str" cm="1">
        <f t="array" ref="Y50">_xlfn.IFNA(IF(INDEX('DEQ RBC REF'!$A$5:$R$267,MATCH($T50,'DEQ RBC REF'!$A$5:$A$267, 0),Y$4)="--","", (INDEX('DEQ RBC REF'!$A$5:$R$267,MATCH($T50,'DEQ RBC REF'!$A$5:$A$267, 0), Y$4))), "")</f>
        <v/>
      </c>
      <c r="Z50" s="97" t="str" cm="1">
        <f t="array" ref="Z50">_xlfn.IFNA(IF(INDEX('DEQ RBC REF'!$A$5:$R$267,MATCH($T50,'DEQ RBC REF'!$A$5:$A$267, 0),Z$4)="--","", (INDEX('DEQ RBC REF'!$A$5:$R$267,MATCH($T50,'DEQ RBC REF'!$A$5:$A$267, 0), Z$4))), "")</f>
        <v/>
      </c>
      <c r="AA50" s="97" t="str" cm="1">
        <f t="array" ref="AA50">_xlfn.IFNA(IF(INDEX('DEQ RBC REF'!$A$5:$R$267,MATCH($T50,'DEQ RBC REF'!$A$5:$A$267, 0),AA$4)="--","", (INDEX('DEQ RBC REF'!$A$5:$R$267,MATCH($T50,'DEQ RBC REF'!$A$5:$A$267, 0), AA$4))), "")</f>
        <v/>
      </c>
      <c r="AB50" s="97" t="str" cm="1">
        <f t="array" ref="AB50">_xlfn.IFNA(IF(INDEX('DEQ RBC REF'!$A$5:$R$267,MATCH($T50,'DEQ RBC REF'!$A$5:$A$267, 0),AB$4)="--","", (INDEX('DEQ RBC REF'!$A$5:$R$267,MATCH($T50,'DEQ RBC REF'!$A$5:$A$267, 0), AB$4))), "")</f>
        <v/>
      </c>
    </row>
    <row r="51" spans="1:28" ht="15.5" x14ac:dyDescent="0.35">
      <c r="A51" t="s">
        <v>462</v>
      </c>
      <c r="B51" s="58" t="s">
        <v>463</v>
      </c>
      <c r="C51" s="6"/>
      <c r="D51" s="6" t="s">
        <v>311</v>
      </c>
      <c r="E51" s="92" t="s">
        <v>37</v>
      </c>
      <c r="F51" s="93">
        <v>300</v>
      </c>
      <c r="G51" s="92" t="s">
        <v>37</v>
      </c>
      <c r="H51" s="93">
        <v>1320</v>
      </c>
      <c r="I51" s="92" t="s">
        <v>37</v>
      </c>
      <c r="J51" s="93">
        <v>1320</v>
      </c>
      <c r="K51" s="94">
        <v>490</v>
      </c>
      <c r="L51" s="6">
        <v>1</v>
      </c>
      <c r="M51" s="6">
        <v>1</v>
      </c>
      <c r="N51" s="60" t="s">
        <v>312</v>
      </c>
      <c r="O51" s="60">
        <v>1</v>
      </c>
      <c r="P51" s="60">
        <v>1</v>
      </c>
      <c r="Q51" s="60">
        <v>1</v>
      </c>
      <c r="R51" s="60">
        <v>1</v>
      </c>
      <c r="T51" s="98"/>
      <c r="U51" s="99" t="s">
        <v>158</v>
      </c>
      <c r="W51" s="97" t="str" cm="1">
        <f t="array" ref="W51">_xlfn.IFNA(IF(INDEX('DEQ RBC REF'!$A$7:$R$267,MATCH($T51,'DEQ RBC REF'!$A$7:$A$267, 0), $V$6)="--","", (INDEX('DEQ RBC REF'!$A$7:$R$267,MATCH($T51,'DEQ RBC REF'!$A$7:$A$267, 0), $V$6))), "")</f>
        <v/>
      </c>
      <c r="X51" s="97" t="str" cm="1">
        <f t="array" ref="X51">_xlfn.IFNA(IF(INDEX('DEQ RBC REF'!$A$7:$R$267,MATCH($T51,'DEQ RBC REF'!$A$7:$A$267, 0), $V$6)="--","", (INDEX('DEQ RBC REF'!$A$7:$R$267,MATCH($T51,'DEQ RBC REF'!$A$7:$A$267, 0), $V$6))), "")</f>
        <v/>
      </c>
      <c r="Y51" s="97" t="str" cm="1">
        <f t="array" ref="Y51">_xlfn.IFNA(IF(INDEX('DEQ RBC REF'!$A$7:$R$267,MATCH($T51,'DEQ RBC REF'!$A$7:$A$267, 0), $V$6)="--","", (INDEX('DEQ RBC REF'!$A$7:$R$267,MATCH($T51,'DEQ RBC REF'!$A$7:$A$267, 0), $V$6))), "")</f>
        <v/>
      </c>
      <c r="Z51" s="97" t="str" cm="1">
        <f t="array" ref="Z51">_xlfn.IFNA(IF(INDEX('DEQ RBC REF'!$A$7:$R$267,MATCH($T51,'DEQ RBC REF'!$A$7:$A$267, 0), $V$6)="--","", (INDEX('DEQ RBC REF'!$A$7:$R$267,MATCH($T51,'DEQ RBC REF'!$A$7:$A$267, 0), $V$6))), "")</f>
        <v/>
      </c>
      <c r="AA51" s="97" t="str" cm="1">
        <f t="array" ref="AA51">_xlfn.IFNA(IF(INDEX('DEQ RBC REF'!$A$7:$R$267,MATCH($T51,'DEQ RBC REF'!$A$7:$A$267, 0), $V$6)="--","", (INDEX('DEQ RBC REF'!$A$7:$R$267,MATCH($T51,'DEQ RBC REF'!$A$7:$A$267, 0), $V$6))), "")</f>
        <v/>
      </c>
      <c r="AB51" s="97" t="str" cm="1">
        <f t="array" ref="AB51">_xlfn.IFNA(IF(INDEX('DEQ RBC REF'!$A$7:$R$267,MATCH($T51,'DEQ RBC REF'!$A$7:$A$267, 0), $V$6)="--","", (INDEX('DEQ RBC REF'!$A$7:$R$267,MATCH($T51,'DEQ RBC REF'!$A$7:$A$267, 0), $V$6))), "")</f>
        <v/>
      </c>
    </row>
    <row r="52" spans="1:28" ht="18.75" customHeight="1" x14ac:dyDescent="0.35">
      <c r="A52" t="s">
        <v>464</v>
      </c>
      <c r="B52" s="58" t="s">
        <v>465</v>
      </c>
      <c r="C52" s="6"/>
      <c r="D52" s="6" t="s">
        <v>311</v>
      </c>
      <c r="E52" s="92" t="s">
        <v>37</v>
      </c>
      <c r="F52" s="93">
        <v>90</v>
      </c>
      <c r="G52" s="92" t="s">
        <v>37</v>
      </c>
      <c r="H52" s="93">
        <v>396.00000000000006</v>
      </c>
      <c r="I52" s="92" t="s">
        <v>37</v>
      </c>
      <c r="J52" s="93">
        <v>396.00000000000006</v>
      </c>
      <c r="K52" s="94">
        <v>1000</v>
      </c>
      <c r="L52" s="6">
        <v>1</v>
      </c>
      <c r="M52" s="6">
        <v>1</v>
      </c>
      <c r="N52" s="60" t="s">
        <v>312</v>
      </c>
      <c r="O52" s="60">
        <v>1</v>
      </c>
      <c r="P52" s="60">
        <v>1</v>
      </c>
      <c r="Q52" s="60">
        <v>1</v>
      </c>
      <c r="R52" s="60">
        <v>1</v>
      </c>
    </row>
    <row r="53" spans="1:28" ht="29" x14ac:dyDescent="0.35">
      <c r="A53" t="s">
        <v>466</v>
      </c>
      <c r="B53" s="58" t="s">
        <v>467</v>
      </c>
      <c r="C53" s="6"/>
      <c r="D53" s="6" t="s">
        <v>37</v>
      </c>
      <c r="E53" s="92">
        <v>0.21739130434782608</v>
      </c>
      <c r="F53" s="93" t="s">
        <v>37</v>
      </c>
      <c r="G53" s="92">
        <v>5.6521739130434785</v>
      </c>
      <c r="H53" s="93" t="s">
        <v>37</v>
      </c>
      <c r="I53" s="92">
        <v>2.6086956521739131</v>
      </c>
      <c r="J53" s="93" t="s">
        <v>37</v>
      </c>
      <c r="K53" s="94" t="s">
        <v>37</v>
      </c>
      <c r="L53" s="6">
        <v>1</v>
      </c>
      <c r="M53" s="6">
        <v>1</v>
      </c>
      <c r="N53" s="60" t="s">
        <v>312</v>
      </c>
      <c r="O53" s="60">
        <v>1</v>
      </c>
      <c r="P53" s="60">
        <v>1</v>
      </c>
      <c r="Q53" s="60">
        <v>1</v>
      </c>
      <c r="R53" s="60">
        <v>1</v>
      </c>
    </row>
    <row r="54" spans="1:28" x14ac:dyDescent="0.35">
      <c r="A54" t="s">
        <v>468</v>
      </c>
      <c r="B54" s="58" t="s">
        <v>469</v>
      </c>
      <c r="C54" s="6"/>
      <c r="D54" s="6" t="s">
        <v>311</v>
      </c>
      <c r="E54" s="92" t="s">
        <v>37</v>
      </c>
      <c r="F54" s="93">
        <v>0.4</v>
      </c>
      <c r="G54" s="92" t="s">
        <v>37</v>
      </c>
      <c r="H54" s="93">
        <v>1.7600000000000002</v>
      </c>
      <c r="I54" s="92" t="s">
        <v>37</v>
      </c>
      <c r="J54" s="93">
        <v>1.7600000000000002</v>
      </c>
      <c r="K54" s="94">
        <v>29</v>
      </c>
      <c r="L54" s="6">
        <v>1</v>
      </c>
      <c r="M54" s="6">
        <v>1</v>
      </c>
      <c r="N54" s="60" t="s">
        <v>312</v>
      </c>
      <c r="O54" s="60">
        <v>1</v>
      </c>
      <c r="P54" s="60">
        <v>1</v>
      </c>
      <c r="Q54" s="60">
        <v>1</v>
      </c>
      <c r="R54" s="60">
        <v>1</v>
      </c>
    </row>
    <row r="55" spans="1:28" x14ac:dyDescent="0.35">
      <c r="A55" t="s">
        <v>470</v>
      </c>
      <c r="B55" s="58" t="s">
        <v>471</v>
      </c>
      <c r="C55" s="6"/>
      <c r="D55" s="6" t="s">
        <v>311</v>
      </c>
      <c r="E55" s="92">
        <v>3.3333333333333335E-3</v>
      </c>
      <c r="F55" s="93">
        <v>20</v>
      </c>
      <c r="G55" s="92">
        <v>8.666666666666667E-2</v>
      </c>
      <c r="H55" s="93">
        <v>88</v>
      </c>
      <c r="I55" s="92">
        <v>0.04</v>
      </c>
      <c r="J55" s="93">
        <v>88</v>
      </c>
      <c r="K55" s="94" t="s">
        <v>37</v>
      </c>
      <c r="L55" s="6">
        <v>1</v>
      </c>
      <c r="M55" s="6">
        <v>1</v>
      </c>
      <c r="N55" s="60" t="s">
        <v>312</v>
      </c>
      <c r="O55" s="60">
        <v>1</v>
      </c>
      <c r="P55" s="60">
        <v>1</v>
      </c>
      <c r="Q55" s="60">
        <v>1</v>
      </c>
      <c r="R55" s="60">
        <v>1</v>
      </c>
    </row>
    <row r="56" spans="1:28" x14ac:dyDescent="0.35">
      <c r="A56" t="s">
        <v>472</v>
      </c>
      <c r="B56" s="58" t="s">
        <v>473</v>
      </c>
      <c r="C56" s="6"/>
      <c r="D56" s="6" t="s">
        <v>37</v>
      </c>
      <c r="E56" s="92">
        <v>1.2987012987012986E-2</v>
      </c>
      <c r="F56" s="93" t="s">
        <v>37</v>
      </c>
      <c r="G56" s="92">
        <v>0.33766233766233766</v>
      </c>
      <c r="H56" s="93" t="s">
        <v>37</v>
      </c>
      <c r="I56" s="92">
        <v>0.15584415584415584</v>
      </c>
      <c r="J56" s="93" t="s">
        <v>37</v>
      </c>
      <c r="K56" s="94" t="s">
        <v>37</v>
      </c>
      <c r="L56" s="6">
        <v>1</v>
      </c>
      <c r="M56" s="6">
        <v>1</v>
      </c>
      <c r="N56" s="60" t="s">
        <v>312</v>
      </c>
      <c r="O56" s="60">
        <v>1</v>
      </c>
      <c r="P56" s="60">
        <v>1</v>
      </c>
      <c r="Q56" s="60">
        <v>1</v>
      </c>
      <c r="R56" s="60">
        <v>1</v>
      </c>
    </row>
    <row r="57" spans="1:28" ht="29" x14ac:dyDescent="0.35">
      <c r="A57" t="s">
        <v>24</v>
      </c>
      <c r="B57" s="58" t="s">
        <v>474</v>
      </c>
      <c r="C57" s="6" t="s">
        <v>475</v>
      </c>
      <c r="D57" s="6" t="s">
        <v>311</v>
      </c>
      <c r="E57" s="92">
        <v>3.0637254901960784E-5</v>
      </c>
      <c r="F57" s="93">
        <v>8.3333333333333343E-2</v>
      </c>
      <c r="G57" s="92">
        <v>5.1587301587301582E-4</v>
      </c>
      <c r="H57" s="93">
        <v>0.88000000000000012</v>
      </c>
      <c r="I57" s="92">
        <v>1E-3</v>
      </c>
      <c r="J57" s="93">
        <v>0.88000000000000012</v>
      </c>
      <c r="K57" s="94">
        <v>0.3</v>
      </c>
      <c r="L57" s="6">
        <v>1</v>
      </c>
      <c r="M57" s="6">
        <v>1</v>
      </c>
      <c r="N57" s="60" t="s">
        <v>330</v>
      </c>
      <c r="O57" s="60">
        <v>1.6</v>
      </c>
      <c r="P57" s="60">
        <v>1</v>
      </c>
      <c r="Q57" s="60">
        <v>2.4</v>
      </c>
      <c r="R57" s="60">
        <v>1</v>
      </c>
    </row>
    <row r="58" spans="1:28" ht="43.5" x14ac:dyDescent="0.35">
      <c r="A58" t="s">
        <v>476</v>
      </c>
      <c r="B58" s="58" t="s">
        <v>477</v>
      </c>
      <c r="C58" s="6" t="s">
        <v>475</v>
      </c>
      <c r="D58" s="6" t="s">
        <v>311</v>
      </c>
      <c r="E58" s="92">
        <v>3.0637254901960784E-5</v>
      </c>
      <c r="F58" s="93">
        <v>2.0833333333333333E-3</v>
      </c>
      <c r="G58" s="92">
        <v>5.1587301587301582E-4</v>
      </c>
      <c r="H58" s="93">
        <v>2.2000000000000002E-2</v>
      </c>
      <c r="I58" s="92">
        <v>1E-3</v>
      </c>
      <c r="J58" s="93">
        <v>2.2000000000000002E-2</v>
      </c>
      <c r="K58" s="94">
        <v>5.0000000000000001E-3</v>
      </c>
      <c r="L58" s="6">
        <v>1</v>
      </c>
      <c r="M58" s="6">
        <v>1</v>
      </c>
      <c r="N58" s="60" t="s">
        <v>330</v>
      </c>
      <c r="O58" s="60">
        <v>1.6</v>
      </c>
      <c r="P58" s="60">
        <v>1</v>
      </c>
      <c r="Q58" s="60">
        <v>2.4</v>
      </c>
      <c r="R58" s="60">
        <v>1</v>
      </c>
    </row>
    <row r="59" spans="1:28" x14ac:dyDescent="0.35">
      <c r="A59" t="s">
        <v>218</v>
      </c>
      <c r="B59" s="58" t="s">
        <v>478</v>
      </c>
      <c r="C59" s="6" t="s">
        <v>346</v>
      </c>
      <c r="D59" s="6" t="s">
        <v>311</v>
      </c>
      <c r="E59" s="92" t="s">
        <v>37</v>
      </c>
      <c r="F59" s="93">
        <v>0.1</v>
      </c>
      <c r="G59" s="92" t="s">
        <v>37</v>
      </c>
      <c r="H59" s="93">
        <v>0.44000000000000006</v>
      </c>
      <c r="I59" s="92" t="s">
        <v>37</v>
      </c>
      <c r="J59" s="93">
        <v>0.44000000000000006</v>
      </c>
      <c r="K59" s="94" t="s">
        <v>37</v>
      </c>
      <c r="L59" s="6">
        <v>1</v>
      </c>
      <c r="M59" s="6">
        <v>1</v>
      </c>
      <c r="N59" s="60" t="s">
        <v>312</v>
      </c>
      <c r="O59" s="60">
        <v>1</v>
      </c>
      <c r="P59" s="60">
        <v>1</v>
      </c>
      <c r="Q59" s="60">
        <v>1</v>
      </c>
      <c r="R59" s="60">
        <v>1</v>
      </c>
    </row>
    <row r="60" spans="1:28" x14ac:dyDescent="0.35">
      <c r="A60">
        <v>148</v>
      </c>
      <c r="B60" s="58" t="s">
        <v>479</v>
      </c>
      <c r="C60" s="6" t="s">
        <v>329</v>
      </c>
      <c r="D60" s="6" t="s">
        <v>37</v>
      </c>
      <c r="E60" s="92">
        <v>9.4876660341555979E-4</v>
      </c>
      <c r="F60" s="93" t="s">
        <v>37</v>
      </c>
      <c r="G60" s="92">
        <v>9.984639016897081E-3</v>
      </c>
      <c r="H60" s="93" t="s">
        <v>37</v>
      </c>
      <c r="I60" s="92">
        <v>1.935483870967742E-2</v>
      </c>
      <c r="J60" s="93" t="s">
        <v>37</v>
      </c>
      <c r="K60" s="94" t="s">
        <v>37</v>
      </c>
      <c r="L60" s="6">
        <v>1</v>
      </c>
      <c r="M60" s="6">
        <v>1</v>
      </c>
      <c r="N60" s="60" t="s">
        <v>330</v>
      </c>
      <c r="O60" s="60">
        <v>1</v>
      </c>
      <c r="P60" s="60">
        <v>1</v>
      </c>
      <c r="Q60" s="60">
        <v>1</v>
      </c>
      <c r="R60" s="60">
        <v>1</v>
      </c>
    </row>
    <row r="61" spans="1:28" x14ac:dyDescent="0.35">
      <c r="A61" t="s">
        <v>25</v>
      </c>
      <c r="B61" s="58" t="s">
        <v>371</v>
      </c>
      <c r="C61" s="6" t="s">
        <v>346</v>
      </c>
      <c r="D61" s="6" t="s">
        <v>311</v>
      </c>
      <c r="E61" s="92" t="s">
        <v>37</v>
      </c>
      <c r="F61" s="93" t="s">
        <v>37</v>
      </c>
      <c r="G61" s="92" t="s">
        <v>37</v>
      </c>
      <c r="H61" s="93" t="s">
        <v>37</v>
      </c>
      <c r="I61" s="92" t="s">
        <v>37</v>
      </c>
      <c r="J61" s="93" t="s">
        <v>37</v>
      </c>
      <c r="K61" s="94">
        <v>100</v>
      </c>
      <c r="L61" s="6">
        <v>1</v>
      </c>
      <c r="M61" s="6">
        <v>1</v>
      </c>
      <c r="N61" s="60" t="s">
        <v>312</v>
      </c>
      <c r="O61" s="60">
        <v>1</v>
      </c>
      <c r="P61" s="60">
        <v>1</v>
      </c>
      <c r="Q61" s="60">
        <v>1</v>
      </c>
      <c r="R61" s="60">
        <v>1</v>
      </c>
    </row>
    <row r="62" spans="1:28" x14ac:dyDescent="0.35">
      <c r="A62" t="s">
        <v>480</v>
      </c>
      <c r="B62" s="58" t="s">
        <v>481</v>
      </c>
      <c r="C62" s="6"/>
      <c r="D62" s="6" t="s">
        <v>37</v>
      </c>
      <c r="E62" s="92">
        <v>2.3255813953488372E-2</v>
      </c>
      <c r="F62" s="93" t="s">
        <v>37</v>
      </c>
      <c r="G62" s="92">
        <v>0.60465116279069764</v>
      </c>
      <c r="H62" s="93" t="s">
        <v>37</v>
      </c>
      <c r="I62" s="92">
        <v>0.27906976744186046</v>
      </c>
      <c r="J62" s="93" t="s">
        <v>37</v>
      </c>
      <c r="K62" s="94" t="s">
        <v>37</v>
      </c>
      <c r="L62" s="6">
        <v>1</v>
      </c>
      <c r="M62" s="6">
        <v>1</v>
      </c>
      <c r="N62" s="60" t="s">
        <v>312</v>
      </c>
      <c r="O62" s="60">
        <v>1</v>
      </c>
      <c r="P62" s="60">
        <v>1</v>
      </c>
      <c r="Q62" s="60">
        <v>1</v>
      </c>
      <c r="R62" s="60">
        <v>1</v>
      </c>
    </row>
    <row r="63" spans="1:28" ht="29" x14ac:dyDescent="0.35">
      <c r="A63" t="s">
        <v>482</v>
      </c>
      <c r="B63" s="58" t="s">
        <v>483</v>
      </c>
      <c r="C63" s="6"/>
      <c r="D63" s="6" t="s">
        <v>311</v>
      </c>
      <c r="E63" s="92" t="s">
        <v>37</v>
      </c>
      <c r="F63" s="93">
        <v>600</v>
      </c>
      <c r="G63" s="92" t="s">
        <v>37</v>
      </c>
      <c r="H63" s="93">
        <v>2640</v>
      </c>
      <c r="I63" s="92" t="s">
        <v>37</v>
      </c>
      <c r="J63" s="93">
        <v>2640</v>
      </c>
      <c r="K63" s="94" t="s">
        <v>37</v>
      </c>
      <c r="L63" s="6">
        <v>1</v>
      </c>
      <c r="M63" s="6">
        <v>1</v>
      </c>
      <c r="N63" s="60" t="s">
        <v>312</v>
      </c>
      <c r="O63" s="60">
        <v>1</v>
      </c>
      <c r="P63" s="60">
        <v>1</v>
      </c>
      <c r="Q63" s="60">
        <v>1</v>
      </c>
      <c r="R63" s="60">
        <v>1</v>
      </c>
    </row>
    <row r="64" spans="1:28" x14ac:dyDescent="0.35">
      <c r="A64" t="s">
        <v>484</v>
      </c>
      <c r="B64" s="58" t="s">
        <v>485</v>
      </c>
      <c r="C64" s="6"/>
      <c r="D64" s="6" t="s">
        <v>37</v>
      </c>
      <c r="E64" s="92">
        <v>1.5873015873015872E-2</v>
      </c>
      <c r="F64" s="93" t="s">
        <v>37</v>
      </c>
      <c r="G64" s="92">
        <v>0.41269841269841268</v>
      </c>
      <c r="H64" s="93" t="s">
        <v>37</v>
      </c>
      <c r="I64" s="92">
        <v>0.19047619047619047</v>
      </c>
      <c r="J64" s="93" t="s">
        <v>37</v>
      </c>
      <c r="K64" s="94" t="s">
        <v>37</v>
      </c>
      <c r="L64" s="6">
        <v>1</v>
      </c>
      <c r="M64" s="6">
        <v>1</v>
      </c>
      <c r="N64" s="60" t="s">
        <v>312</v>
      </c>
      <c r="O64" s="60">
        <v>1</v>
      </c>
      <c r="P64" s="60">
        <v>1</v>
      </c>
      <c r="Q64" s="60">
        <v>1</v>
      </c>
      <c r="R64" s="60">
        <v>1</v>
      </c>
    </row>
    <row r="65" spans="1:18" x14ac:dyDescent="0.35">
      <c r="A65" t="s">
        <v>486</v>
      </c>
      <c r="B65" s="58" t="s">
        <v>487</v>
      </c>
      <c r="C65" s="6"/>
      <c r="D65" s="6" t="s">
        <v>311</v>
      </c>
      <c r="E65" s="92" t="s">
        <v>37</v>
      </c>
      <c r="F65" s="93">
        <v>0.8</v>
      </c>
      <c r="G65" s="92" t="s">
        <v>37</v>
      </c>
      <c r="H65" s="93">
        <v>3.5200000000000005</v>
      </c>
      <c r="I65" s="92" t="s">
        <v>37</v>
      </c>
      <c r="J65" s="93">
        <v>3.5200000000000005</v>
      </c>
      <c r="K65" s="94">
        <v>340</v>
      </c>
      <c r="L65" s="6">
        <v>1</v>
      </c>
      <c r="M65" s="6">
        <v>1</v>
      </c>
      <c r="N65" s="60" t="s">
        <v>312</v>
      </c>
      <c r="O65" s="60">
        <v>1</v>
      </c>
      <c r="P65" s="60">
        <v>1</v>
      </c>
      <c r="Q65" s="60">
        <v>1</v>
      </c>
      <c r="R65" s="60">
        <v>1</v>
      </c>
    </row>
    <row r="66" spans="1:18" x14ac:dyDescent="0.35">
      <c r="A66" t="s">
        <v>488</v>
      </c>
      <c r="B66" s="58" t="s">
        <v>489</v>
      </c>
      <c r="C66" s="6"/>
      <c r="D66" s="6" t="s">
        <v>311</v>
      </c>
      <c r="E66" s="92" t="s">
        <v>37</v>
      </c>
      <c r="F66" s="93">
        <v>6000</v>
      </c>
      <c r="G66" s="92" t="s">
        <v>37</v>
      </c>
      <c r="H66" s="93">
        <v>26400.000000000004</v>
      </c>
      <c r="I66" s="92" t="s">
        <v>37</v>
      </c>
      <c r="J66" s="93">
        <v>26400.000000000004</v>
      </c>
      <c r="K66" s="94" t="s">
        <v>37</v>
      </c>
      <c r="L66" s="6">
        <v>1</v>
      </c>
      <c r="M66" s="6">
        <v>1</v>
      </c>
      <c r="N66" s="60" t="s">
        <v>312</v>
      </c>
      <c r="O66" s="60">
        <v>1</v>
      </c>
      <c r="P66" s="60">
        <v>1</v>
      </c>
      <c r="Q66" s="60">
        <v>1</v>
      </c>
      <c r="R66" s="60">
        <v>1</v>
      </c>
    </row>
    <row r="67" spans="1:18" x14ac:dyDescent="0.35">
      <c r="A67" t="s">
        <v>490</v>
      </c>
      <c r="B67" s="58" t="s">
        <v>491</v>
      </c>
      <c r="C67" s="6" t="s">
        <v>492</v>
      </c>
      <c r="D67" s="6" t="s">
        <v>37</v>
      </c>
      <c r="E67" s="92">
        <v>1.0309278350515464E-2</v>
      </c>
      <c r="F67" s="93" t="s">
        <v>37</v>
      </c>
      <c r="G67" s="92">
        <v>0.26804123711340205</v>
      </c>
      <c r="H67" s="93" t="s">
        <v>37</v>
      </c>
      <c r="I67" s="92">
        <v>0.12371134020618557</v>
      </c>
      <c r="J67" s="93" t="s">
        <v>37</v>
      </c>
      <c r="K67" s="94" t="s">
        <v>37</v>
      </c>
      <c r="L67" s="6">
        <v>1</v>
      </c>
      <c r="M67" s="6">
        <v>1</v>
      </c>
      <c r="N67" s="60" t="s">
        <v>312</v>
      </c>
      <c r="O67" s="60">
        <v>1</v>
      </c>
      <c r="P67" s="60">
        <v>1</v>
      </c>
      <c r="Q67" s="60">
        <v>1</v>
      </c>
      <c r="R67" s="60">
        <v>1</v>
      </c>
    </row>
    <row r="68" spans="1:18" x14ac:dyDescent="0.35">
      <c r="A68" t="s">
        <v>493</v>
      </c>
      <c r="B68" s="58" t="s">
        <v>494</v>
      </c>
      <c r="C68" s="6"/>
      <c r="D68" s="6" t="s">
        <v>37</v>
      </c>
      <c r="E68" s="92">
        <v>0.15151515151515149</v>
      </c>
      <c r="F68" s="93" t="s">
        <v>37</v>
      </c>
      <c r="G68" s="92">
        <v>3.9393939393939386</v>
      </c>
      <c r="H68" s="93" t="s">
        <v>37</v>
      </c>
      <c r="I68" s="92">
        <v>1.8181818181818179</v>
      </c>
      <c r="J68" s="93" t="s">
        <v>37</v>
      </c>
      <c r="K68" s="94" t="s">
        <v>37</v>
      </c>
      <c r="L68" s="6">
        <v>1</v>
      </c>
      <c r="M68" s="6">
        <v>1</v>
      </c>
      <c r="N68" s="60" t="s">
        <v>312</v>
      </c>
      <c r="O68" s="60">
        <v>1</v>
      </c>
      <c r="P68" s="60">
        <v>1</v>
      </c>
      <c r="Q68" s="60">
        <v>1</v>
      </c>
      <c r="R68" s="60">
        <v>1</v>
      </c>
    </row>
    <row r="69" spans="1:18" ht="29" x14ac:dyDescent="0.35">
      <c r="A69" t="s">
        <v>495</v>
      </c>
      <c r="B69" s="58" t="s">
        <v>496</v>
      </c>
      <c r="C69" s="6"/>
      <c r="D69" s="6" t="s">
        <v>37</v>
      </c>
      <c r="E69" s="92">
        <v>9.0909090909090898E-4</v>
      </c>
      <c r="F69" s="93" t="s">
        <v>37</v>
      </c>
      <c r="G69" s="92">
        <v>2.3636363636363632E-2</v>
      </c>
      <c r="H69" s="93" t="s">
        <v>37</v>
      </c>
      <c r="I69" s="92">
        <v>1.0909090909090908E-2</v>
      </c>
      <c r="J69" s="93" t="s">
        <v>37</v>
      </c>
      <c r="K69" s="94" t="s">
        <v>37</v>
      </c>
      <c r="L69" s="6">
        <v>1</v>
      </c>
      <c r="M69" s="6">
        <v>1</v>
      </c>
      <c r="N69" s="60" t="s">
        <v>312</v>
      </c>
      <c r="O69" s="60">
        <v>1</v>
      </c>
      <c r="P69" s="60">
        <v>1</v>
      </c>
      <c r="Q69" s="60">
        <v>1</v>
      </c>
      <c r="R69" s="60">
        <v>1</v>
      </c>
    </row>
    <row r="70" spans="1:18" x14ac:dyDescent="0.35">
      <c r="A70" t="s">
        <v>497</v>
      </c>
      <c r="B70" s="58" t="s">
        <v>498</v>
      </c>
      <c r="C70" s="6"/>
      <c r="D70" s="6" t="s">
        <v>311</v>
      </c>
      <c r="E70" s="92" t="s">
        <v>37</v>
      </c>
      <c r="F70" s="93" t="s">
        <v>37</v>
      </c>
      <c r="G70" s="92" t="s">
        <v>37</v>
      </c>
      <c r="H70" s="93" t="s">
        <v>37</v>
      </c>
      <c r="I70" s="92" t="s">
        <v>37</v>
      </c>
      <c r="J70" s="93" t="s">
        <v>37</v>
      </c>
      <c r="K70" s="94">
        <v>10</v>
      </c>
      <c r="L70" s="6">
        <v>1</v>
      </c>
      <c r="M70" s="6">
        <v>1</v>
      </c>
      <c r="N70" s="60" t="s">
        <v>312</v>
      </c>
      <c r="O70" s="60">
        <v>1</v>
      </c>
      <c r="P70" s="60">
        <v>1</v>
      </c>
      <c r="Q70" s="60">
        <v>1</v>
      </c>
      <c r="R70" s="60">
        <v>1</v>
      </c>
    </row>
    <row r="71" spans="1:18" ht="29" x14ac:dyDescent="0.35">
      <c r="A71" t="s">
        <v>499</v>
      </c>
      <c r="B71" s="58" t="s">
        <v>500</v>
      </c>
      <c r="C71" s="6" t="s">
        <v>329</v>
      </c>
      <c r="D71" s="6" t="s">
        <v>311</v>
      </c>
      <c r="E71" s="92">
        <v>9.8039215686274506E-5</v>
      </c>
      <c r="F71" s="93">
        <v>0.2</v>
      </c>
      <c r="G71" s="92">
        <v>1.0317460317460316E-3</v>
      </c>
      <c r="H71" s="93">
        <v>0.88000000000000012</v>
      </c>
      <c r="I71" s="92">
        <v>2E-3</v>
      </c>
      <c r="J71" s="93">
        <v>0.88000000000000012</v>
      </c>
      <c r="K71" s="94">
        <v>1.9</v>
      </c>
      <c r="L71" s="6">
        <v>1</v>
      </c>
      <c r="M71" s="6">
        <v>1</v>
      </c>
      <c r="N71" s="60" t="s">
        <v>330</v>
      </c>
      <c r="O71" s="60">
        <v>1</v>
      </c>
      <c r="P71" s="60">
        <v>1</v>
      </c>
      <c r="Q71" s="60">
        <v>1</v>
      </c>
      <c r="R71" s="60">
        <v>1</v>
      </c>
    </row>
    <row r="72" spans="1:18" ht="29" x14ac:dyDescent="0.35">
      <c r="A72" t="s">
        <v>501</v>
      </c>
      <c r="B72" s="58" t="s">
        <v>502</v>
      </c>
      <c r="C72" s="6"/>
      <c r="D72" s="6" t="s">
        <v>311</v>
      </c>
      <c r="E72" s="92">
        <v>9.0909090909090912E-2</v>
      </c>
      <c r="F72" s="93">
        <v>60</v>
      </c>
      <c r="G72" s="92">
        <v>2.3636363636363638</v>
      </c>
      <c r="H72" s="93">
        <v>264</v>
      </c>
      <c r="I72" s="92">
        <v>1.0909090909090908</v>
      </c>
      <c r="J72" s="93">
        <v>264</v>
      </c>
      <c r="K72" s="94">
        <v>12000</v>
      </c>
      <c r="L72" s="6">
        <v>1</v>
      </c>
      <c r="M72" s="6">
        <v>1</v>
      </c>
      <c r="N72" s="60" t="s">
        <v>312</v>
      </c>
      <c r="O72" s="60">
        <v>1</v>
      </c>
      <c r="P72" s="60">
        <v>1</v>
      </c>
      <c r="Q72" s="60">
        <v>1</v>
      </c>
      <c r="R72" s="60">
        <v>1</v>
      </c>
    </row>
    <row r="73" spans="1:18" x14ac:dyDescent="0.35">
      <c r="A73" t="s">
        <v>503</v>
      </c>
      <c r="B73" s="58" t="s">
        <v>504</v>
      </c>
      <c r="C73" s="6"/>
      <c r="D73" s="6" t="s">
        <v>37</v>
      </c>
      <c r="E73" s="92">
        <v>2.9411764705882348E-3</v>
      </c>
      <c r="F73" s="93" t="s">
        <v>37</v>
      </c>
      <c r="G73" s="92">
        <v>7.647058823529411E-2</v>
      </c>
      <c r="H73" s="93" t="s">
        <v>37</v>
      </c>
      <c r="I73" s="92">
        <v>3.5294117647058816E-2</v>
      </c>
      <c r="J73" s="93" t="s">
        <v>37</v>
      </c>
      <c r="K73" s="94" t="s">
        <v>37</v>
      </c>
      <c r="L73" s="6">
        <v>1</v>
      </c>
      <c r="M73" s="6">
        <v>1</v>
      </c>
      <c r="N73" s="60" t="s">
        <v>312</v>
      </c>
      <c r="O73" s="60">
        <v>1</v>
      </c>
      <c r="P73" s="60">
        <v>1</v>
      </c>
      <c r="Q73" s="60">
        <v>1</v>
      </c>
      <c r="R73" s="60">
        <v>1</v>
      </c>
    </row>
    <row r="74" spans="1:18" ht="29" x14ac:dyDescent="0.35">
      <c r="A74" t="s">
        <v>505</v>
      </c>
      <c r="B74" s="58" t="s">
        <v>506</v>
      </c>
      <c r="C74" s="6"/>
      <c r="D74" s="6" t="s">
        <v>37</v>
      </c>
      <c r="E74" s="92">
        <v>0.625</v>
      </c>
      <c r="F74" s="93" t="s">
        <v>37</v>
      </c>
      <c r="G74" s="92">
        <v>16.25</v>
      </c>
      <c r="H74" s="93" t="s">
        <v>37</v>
      </c>
      <c r="I74" s="92">
        <v>7.5</v>
      </c>
      <c r="J74" s="93" t="s">
        <v>37</v>
      </c>
      <c r="K74" s="94" t="s">
        <v>37</v>
      </c>
      <c r="L74" s="6">
        <v>1</v>
      </c>
      <c r="M74" s="6">
        <v>1</v>
      </c>
      <c r="N74" s="60" t="s">
        <v>312</v>
      </c>
      <c r="O74" s="60">
        <v>1</v>
      </c>
      <c r="P74" s="60">
        <v>1</v>
      </c>
      <c r="Q74" s="60">
        <v>1</v>
      </c>
      <c r="R74" s="60">
        <v>1</v>
      </c>
    </row>
    <row r="75" spans="1:18" x14ac:dyDescent="0.35">
      <c r="A75" t="s">
        <v>507</v>
      </c>
      <c r="B75" s="58" t="s">
        <v>508</v>
      </c>
      <c r="C75" s="6"/>
      <c r="D75" s="6" t="s">
        <v>311</v>
      </c>
      <c r="E75" s="92" t="s">
        <v>37</v>
      </c>
      <c r="F75" s="93" t="s">
        <v>37</v>
      </c>
      <c r="G75" s="92" t="s">
        <v>37</v>
      </c>
      <c r="H75" s="93" t="s">
        <v>37</v>
      </c>
      <c r="I75" s="92" t="s">
        <v>37</v>
      </c>
      <c r="J75" s="93" t="s">
        <v>37</v>
      </c>
      <c r="K75" s="94">
        <v>790</v>
      </c>
      <c r="L75" s="6">
        <v>1</v>
      </c>
      <c r="M75" s="6">
        <v>1</v>
      </c>
      <c r="N75" s="60" t="s">
        <v>312</v>
      </c>
      <c r="O75" s="60">
        <v>1</v>
      </c>
      <c r="P75" s="60">
        <v>1</v>
      </c>
      <c r="Q75" s="60">
        <v>1</v>
      </c>
      <c r="R75" s="60">
        <v>1</v>
      </c>
    </row>
    <row r="76" spans="1:18" ht="29" x14ac:dyDescent="0.35">
      <c r="A76" t="s">
        <v>509</v>
      </c>
      <c r="B76" s="58" t="s">
        <v>510</v>
      </c>
      <c r="C76" s="6"/>
      <c r="D76" s="6" t="s">
        <v>311</v>
      </c>
      <c r="E76" s="92">
        <v>58.82352941176471</v>
      </c>
      <c r="F76" s="93">
        <v>600</v>
      </c>
      <c r="G76" s="92">
        <v>619.04761904761904</v>
      </c>
      <c r="H76" s="93">
        <v>2640</v>
      </c>
      <c r="I76" s="92">
        <v>1200</v>
      </c>
      <c r="J76" s="93">
        <v>2640</v>
      </c>
      <c r="K76" s="94">
        <v>2100</v>
      </c>
      <c r="L76" s="6">
        <v>1</v>
      </c>
      <c r="M76" s="6">
        <v>1</v>
      </c>
      <c r="N76" s="60" t="s">
        <v>330</v>
      </c>
      <c r="O76" s="60">
        <v>1</v>
      </c>
      <c r="P76" s="60">
        <v>1</v>
      </c>
      <c r="Q76" s="60">
        <v>1</v>
      </c>
      <c r="R76" s="60">
        <v>1</v>
      </c>
    </row>
    <row r="77" spans="1:18" ht="29" x14ac:dyDescent="0.35">
      <c r="A77" t="s">
        <v>511</v>
      </c>
      <c r="B77" s="58" t="s">
        <v>512</v>
      </c>
      <c r="C77" s="6"/>
      <c r="D77" s="6" t="s">
        <v>311</v>
      </c>
      <c r="E77" s="92" t="s">
        <v>37</v>
      </c>
      <c r="F77" s="93">
        <v>4</v>
      </c>
      <c r="G77" s="92" t="s">
        <v>37</v>
      </c>
      <c r="H77" s="93">
        <v>17.600000000000001</v>
      </c>
      <c r="I77" s="92" t="s">
        <v>37</v>
      </c>
      <c r="J77" s="93">
        <v>17.600000000000001</v>
      </c>
      <c r="K77" s="94">
        <v>230</v>
      </c>
      <c r="L77" s="6">
        <v>1</v>
      </c>
      <c r="M77" s="6">
        <v>1</v>
      </c>
      <c r="N77" s="60" t="s">
        <v>312</v>
      </c>
      <c r="O77" s="60">
        <v>1</v>
      </c>
      <c r="P77" s="60">
        <v>1</v>
      </c>
      <c r="Q77" s="60">
        <v>1</v>
      </c>
      <c r="R77" s="60">
        <v>1</v>
      </c>
    </row>
    <row r="78" spans="1:18" x14ac:dyDescent="0.35">
      <c r="A78" t="s">
        <v>513</v>
      </c>
      <c r="B78" s="58" t="s">
        <v>514</v>
      </c>
      <c r="C78" s="6"/>
      <c r="D78" s="6" t="s">
        <v>311</v>
      </c>
      <c r="E78" s="92">
        <v>0.25</v>
      </c>
      <c r="F78" s="93">
        <v>32</v>
      </c>
      <c r="G78" s="92">
        <v>6.5</v>
      </c>
      <c r="H78" s="93">
        <v>140.80000000000001</v>
      </c>
      <c r="I78" s="92">
        <v>3</v>
      </c>
      <c r="J78" s="93">
        <v>140.80000000000001</v>
      </c>
      <c r="K78" s="94">
        <v>36</v>
      </c>
      <c r="L78" s="6">
        <v>1</v>
      </c>
      <c r="M78" s="6">
        <v>1</v>
      </c>
      <c r="N78" s="60" t="s">
        <v>312</v>
      </c>
      <c r="O78" s="60">
        <v>1</v>
      </c>
      <c r="P78" s="60">
        <v>1</v>
      </c>
      <c r="Q78" s="60">
        <v>1</v>
      </c>
      <c r="R78" s="60">
        <v>1</v>
      </c>
    </row>
    <row r="79" spans="1:18" x14ac:dyDescent="0.35">
      <c r="A79" t="s">
        <v>515</v>
      </c>
      <c r="B79" s="58" t="s">
        <v>516</v>
      </c>
      <c r="C79" s="6"/>
      <c r="D79" s="6" t="s">
        <v>326</v>
      </c>
      <c r="E79" s="92" t="s">
        <v>37</v>
      </c>
      <c r="F79" s="93">
        <v>0.54</v>
      </c>
      <c r="G79" s="92" t="s">
        <v>37</v>
      </c>
      <c r="H79" s="93">
        <v>2.3760000000000003</v>
      </c>
      <c r="I79" s="92" t="s">
        <v>37</v>
      </c>
      <c r="J79" s="93">
        <v>2.3760000000000003</v>
      </c>
      <c r="K79" s="94">
        <v>18</v>
      </c>
      <c r="L79" s="6">
        <v>1</v>
      </c>
      <c r="M79" s="6">
        <v>1</v>
      </c>
      <c r="N79" s="60" t="s">
        <v>312</v>
      </c>
      <c r="O79" s="60">
        <v>1</v>
      </c>
      <c r="P79" s="60">
        <v>1</v>
      </c>
      <c r="Q79" s="60">
        <v>1</v>
      </c>
      <c r="R79" s="60">
        <v>1</v>
      </c>
    </row>
    <row r="80" spans="1:18" x14ac:dyDescent="0.35">
      <c r="A80" t="s">
        <v>517</v>
      </c>
      <c r="B80" s="58" t="s">
        <v>518</v>
      </c>
      <c r="C80" s="6"/>
      <c r="D80" s="6" t="s">
        <v>37</v>
      </c>
      <c r="E80" s="92">
        <v>2.1739130434782607E-4</v>
      </c>
      <c r="F80" s="93" t="s">
        <v>37</v>
      </c>
      <c r="G80" s="92">
        <v>5.6521739130434775E-3</v>
      </c>
      <c r="H80" s="93" t="s">
        <v>37</v>
      </c>
      <c r="I80" s="92">
        <v>2.6086956521739128E-3</v>
      </c>
      <c r="J80" s="93" t="s">
        <v>37</v>
      </c>
      <c r="K80" s="94" t="s">
        <v>37</v>
      </c>
      <c r="L80" s="6">
        <v>1</v>
      </c>
      <c r="M80" s="6">
        <v>1</v>
      </c>
      <c r="N80" s="60" t="s">
        <v>312</v>
      </c>
      <c r="O80" s="60">
        <v>1</v>
      </c>
      <c r="P80" s="60">
        <v>1</v>
      </c>
      <c r="Q80" s="60">
        <v>1</v>
      </c>
      <c r="R80" s="60">
        <v>1</v>
      </c>
    </row>
    <row r="81" spans="1:18" x14ac:dyDescent="0.35">
      <c r="A81">
        <v>200</v>
      </c>
      <c r="B81" s="58" t="s">
        <v>374</v>
      </c>
      <c r="C81" s="6"/>
      <c r="D81" s="6" t="s">
        <v>311</v>
      </c>
      <c r="E81" s="92">
        <v>0.1</v>
      </c>
      <c r="F81" s="93">
        <v>5</v>
      </c>
      <c r="G81" s="92">
        <v>2.6</v>
      </c>
      <c r="H81" s="93">
        <v>22</v>
      </c>
      <c r="I81" s="92">
        <v>1.2000000000000002</v>
      </c>
      <c r="J81" s="93">
        <v>22</v>
      </c>
      <c r="K81" s="94" t="s">
        <v>37</v>
      </c>
      <c r="L81" s="6">
        <v>1</v>
      </c>
      <c r="M81" s="6">
        <v>1</v>
      </c>
      <c r="N81" s="60" t="s">
        <v>312</v>
      </c>
      <c r="O81" s="60">
        <v>1</v>
      </c>
      <c r="P81" s="60">
        <v>1</v>
      </c>
      <c r="Q81" s="60">
        <v>1</v>
      </c>
      <c r="R81" s="60">
        <v>1</v>
      </c>
    </row>
    <row r="82" spans="1:18" x14ac:dyDescent="0.35">
      <c r="A82" t="s">
        <v>519</v>
      </c>
      <c r="B82" s="58" t="s">
        <v>520</v>
      </c>
      <c r="C82" s="6"/>
      <c r="D82" s="6" t="s">
        <v>311</v>
      </c>
      <c r="E82" s="92" t="s">
        <v>37</v>
      </c>
      <c r="F82" s="93">
        <v>0.2</v>
      </c>
      <c r="G82" s="92" t="s">
        <v>37</v>
      </c>
      <c r="H82" s="93">
        <v>0.88000000000000012</v>
      </c>
      <c r="I82" s="92" t="s">
        <v>37</v>
      </c>
      <c r="J82" s="93">
        <v>0.88000000000000012</v>
      </c>
      <c r="K82" s="94" t="s">
        <v>37</v>
      </c>
      <c r="L82" s="6">
        <v>1</v>
      </c>
      <c r="M82" s="6">
        <v>1</v>
      </c>
      <c r="N82" s="60" t="s">
        <v>312</v>
      </c>
      <c r="O82" s="60">
        <v>1</v>
      </c>
      <c r="P82" s="60">
        <v>1</v>
      </c>
      <c r="Q82" s="60">
        <v>1</v>
      </c>
      <c r="R82" s="60">
        <v>1</v>
      </c>
    </row>
    <row r="83" spans="1:18" ht="29" x14ac:dyDescent="0.35">
      <c r="A83" t="s">
        <v>521</v>
      </c>
      <c r="B83" s="58" t="s">
        <v>522</v>
      </c>
      <c r="C83" s="6"/>
      <c r="D83" s="6" t="s">
        <v>311</v>
      </c>
      <c r="E83" s="92" t="s">
        <v>37</v>
      </c>
      <c r="F83" s="93">
        <v>0.1</v>
      </c>
      <c r="G83" s="92" t="s">
        <v>37</v>
      </c>
      <c r="H83" s="93">
        <v>0.44000000000000006</v>
      </c>
      <c r="I83" s="92" t="s">
        <v>37</v>
      </c>
      <c r="J83" s="93">
        <v>0.44000000000000006</v>
      </c>
      <c r="K83" s="94" t="s">
        <v>37</v>
      </c>
      <c r="L83" s="6">
        <v>1</v>
      </c>
      <c r="M83" s="6">
        <v>1</v>
      </c>
      <c r="N83" s="60" t="s">
        <v>312</v>
      </c>
      <c r="O83" s="60">
        <v>1</v>
      </c>
      <c r="P83" s="60">
        <v>1</v>
      </c>
      <c r="Q83" s="60">
        <v>1</v>
      </c>
      <c r="R83" s="60">
        <v>1</v>
      </c>
    </row>
    <row r="84" spans="1:18" ht="29" x14ac:dyDescent="0.35">
      <c r="A84" t="s">
        <v>523</v>
      </c>
      <c r="B84" s="58" t="s">
        <v>524</v>
      </c>
      <c r="C84" s="6"/>
      <c r="D84" s="6" t="s">
        <v>326</v>
      </c>
      <c r="E84" s="92" t="s">
        <v>37</v>
      </c>
      <c r="F84" s="93">
        <v>0.3</v>
      </c>
      <c r="G84" s="92" t="s">
        <v>37</v>
      </c>
      <c r="H84" s="93">
        <v>1.32</v>
      </c>
      <c r="I84" s="92" t="s">
        <v>37</v>
      </c>
      <c r="J84" s="93">
        <v>1.32</v>
      </c>
      <c r="K84" s="94" t="s">
        <v>37</v>
      </c>
      <c r="L84" s="6">
        <v>1</v>
      </c>
      <c r="M84" s="6">
        <v>1</v>
      </c>
      <c r="N84" s="60" t="s">
        <v>312</v>
      </c>
      <c r="O84" s="60">
        <v>1</v>
      </c>
      <c r="P84" s="60">
        <v>1</v>
      </c>
      <c r="Q84" s="60">
        <v>1</v>
      </c>
      <c r="R84" s="60">
        <v>1</v>
      </c>
    </row>
    <row r="85" spans="1:18" x14ac:dyDescent="0.35">
      <c r="A85" t="s">
        <v>525</v>
      </c>
      <c r="B85" s="58" t="s">
        <v>526</v>
      </c>
      <c r="C85" s="6"/>
      <c r="D85" s="6" t="s">
        <v>326</v>
      </c>
      <c r="E85" s="92" t="s">
        <v>37</v>
      </c>
      <c r="F85" s="93">
        <v>40000</v>
      </c>
      <c r="G85" s="92" t="s">
        <v>37</v>
      </c>
      <c r="H85" s="93">
        <v>176000</v>
      </c>
      <c r="I85" s="92" t="s">
        <v>37</v>
      </c>
      <c r="J85" s="93">
        <v>176000</v>
      </c>
      <c r="K85" s="94" t="s">
        <v>37</v>
      </c>
      <c r="L85" s="6">
        <v>1</v>
      </c>
      <c r="M85" s="6">
        <v>1</v>
      </c>
      <c r="N85" s="60" t="s">
        <v>312</v>
      </c>
      <c r="O85" s="60">
        <v>1</v>
      </c>
      <c r="P85" s="60">
        <v>1</v>
      </c>
      <c r="Q85" s="60">
        <v>1</v>
      </c>
      <c r="R85" s="60">
        <v>1</v>
      </c>
    </row>
    <row r="86" spans="1:18" ht="29" x14ac:dyDescent="0.35">
      <c r="A86" t="s">
        <v>527</v>
      </c>
      <c r="B86" s="58" t="s">
        <v>528</v>
      </c>
      <c r="C86" s="6"/>
      <c r="D86" s="6" t="s">
        <v>37</v>
      </c>
      <c r="E86" s="92">
        <v>7.6923076923076923E-4</v>
      </c>
      <c r="F86" s="93" t="s">
        <v>37</v>
      </c>
      <c r="G86" s="92">
        <v>0.02</v>
      </c>
      <c r="H86" s="93" t="s">
        <v>37</v>
      </c>
      <c r="I86" s="92">
        <v>9.2307692307692299E-3</v>
      </c>
      <c r="J86" s="93" t="s">
        <v>37</v>
      </c>
      <c r="K86" s="94" t="s">
        <v>37</v>
      </c>
      <c r="L86" s="6">
        <v>1</v>
      </c>
      <c r="M86" s="6">
        <v>1</v>
      </c>
      <c r="N86" s="60" t="s">
        <v>312</v>
      </c>
      <c r="O86" s="60">
        <v>1</v>
      </c>
      <c r="P86" s="60">
        <v>1</v>
      </c>
      <c r="Q86" s="60">
        <v>1</v>
      </c>
      <c r="R86" s="60">
        <v>1</v>
      </c>
    </row>
    <row r="87" spans="1:18" x14ac:dyDescent="0.35">
      <c r="A87" t="s">
        <v>529</v>
      </c>
      <c r="B87" s="58" t="s">
        <v>530</v>
      </c>
      <c r="C87" s="6"/>
      <c r="D87" s="6" t="s">
        <v>311</v>
      </c>
      <c r="E87" s="92" t="s">
        <v>37</v>
      </c>
      <c r="F87" s="93">
        <v>80</v>
      </c>
      <c r="G87" s="92" t="s">
        <v>37</v>
      </c>
      <c r="H87" s="93">
        <v>352</v>
      </c>
      <c r="I87" s="92" t="s">
        <v>37</v>
      </c>
      <c r="J87" s="93">
        <v>352</v>
      </c>
      <c r="K87" s="94" t="s">
        <v>37</v>
      </c>
      <c r="L87" s="6">
        <v>1</v>
      </c>
      <c r="M87" s="6">
        <v>1</v>
      </c>
      <c r="N87" s="60" t="s">
        <v>312</v>
      </c>
      <c r="O87" s="60">
        <v>1</v>
      </c>
      <c r="P87" s="60">
        <v>1</v>
      </c>
      <c r="Q87" s="60">
        <v>1</v>
      </c>
      <c r="R87" s="60">
        <v>1</v>
      </c>
    </row>
    <row r="88" spans="1:18" x14ac:dyDescent="0.35">
      <c r="A88" t="s">
        <v>531</v>
      </c>
      <c r="B88" s="58" t="s">
        <v>532</v>
      </c>
      <c r="C88" s="6"/>
      <c r="D88" s="6" t="s">
        <v>311</v>
      </c>
      <c r="E88" s="92" t="s">
        <v>37</v>
      </c>
      <c r="F88" s="93" t="s">
        <v>37</v>
      </c>
      <c r="G88" s="92" t="s">
        <v>37</v>
      </c>
      <c r="H88" s="93" t="s">
        <v>37</v>
      </c>
      <c r="I88" s="92" t="s">
        <v>37</v>
      </c>
      <c r="J88" s="93" t="s">
        <v>37</v>
      </c>
      <c r="K88" s="94">
        <v>0.49</v>
      </c>
      <c r="L88" s="6">
        <v>1</v>
      </c>
      <c r="M88" s="6">
        <v>1</v>
      </c>
      <c r="N88" s="60" t="s">
        <v>312</v>
      </c>
      <c r="O88" s="60">
        <v>1</v>
      </c>
      <c r="P88" s="60">
        <v>1</v>
      </c>
      <c r="Q88" s="60">
        <v>1</v>
      </c>
      <c r="R88" s="60">
        <v>1</v>
      </c>
    </row>
    <row r="89" spans="1:18" x14ac:dyDescent="0.35">
      <c r="A89" t="s">
        <v>533</v>
      </c>
      <c r="B89" s="58" t="s">
        <v>534</v>
      </c>
      <c r="C89" s="6"/>
      <c r="D89" s="6" t="s">
        <v>37</v>
      </c>
      <c r="E89" s="92">
        <v>1.1235955056179775E-2</v>
      </c>
      <c r="F89" s="93" t="s">
        <v>37</v>
      </c>
      <c r="G89" s="92">
        <v>0.29213483146067415</v>
      </c>
      <c r="H89" s="93" t="s">
        <v>37</v>
      </c>
      <c r="I89" s="92">
        <v>0.1348314606741573</v>
      </c>
      <c r="J89" s="93" t="s">
        <v>37</v>
      </c>
      <c r="K89" s="94" t="s">
        <v>37</v>
      </c>
      <c r="L89" s="6">
        <v>1</v>
      </c>
      <c r="M89" s="6">
        <v>1</v>
      </c>
      <c r="N89" s="60" t="s">
        <v>312</v>
      </c>
      <c r="O89" s="60">
        <v>1</v>
      </c>
      <c r="P89" s="60">
        <v>1</v>
      </c>
      <c r="Q89" s="60">
        <v>1</v>
      </c>
      <c r="R89" s="60">
        <v>1</v>
      </c>
    </row>
    <row r="90" spans="1:18" x14ac:dyDescent="0.35">
      <c r="A90" t="s">
        <v>535</v>
      </c>
      <c r="B90" s="58" t="s">
        <v>536</v>
      </c>
      <c r="C90" s="6"/>
      <c r="D90" s="6" t="s">
        <v>311</v>
      </c>
      <c r="E90" s="92">
        <v>0.19999999999999998</v>
      </c>
      <c r="F90" s="93">
        <v>30</v>
      </c>
      <c r="G90" s="92">
        <v>5.1999999999999993</v>
      </c>
      <c r="H90" s="93">
        <v>132</v>
      </c>
      <c r="I90" s="92">
        <v>2.4</v>
      </c>
      <c r="J90" s="93">
        <v>132</v>
      </c>
      <c r="K90" s="94">
        <v>7200</v>
      </c>
      <c r="L90" s="6">
        <v>1</v>
      </c>
      <c r="M90" s="6">
        <v>1</v>
      </c>
      <c r="N90" s="60" t="s">
        <v>312</v>
      </c>
      <c r="O90" s="60">
        <v>1</v>
      </c>
      <c r="P90" s="60">
        <v>1</v>
      </c>
      <c r="Q90" s="60">
        <v>1</v>
      </c>
      <c r="R90" s="60">
        <v>1</v>
      </c>
    </row>
    <row r="91" spans="1:18" ht="29" x14ac:dyDescent="0.35">
      <c r="A91" t="s">
        <v>537</v>
      </c>
      <c r="B91" s="58" t="s">
        <v>538</v>
      </c>
      <c r="C91" s="6"/>
      <c r="D91" s="6" t="s">
        <v>37</v>
      </c>
      <c r="E91" s="92">
        <v>4.5454545454545452E-3</v>
      </c>
      <c r="F91" s="93" t="s">
        <v>37</v>
      </c>
      <c r="G91" s="92">
        <v>0.11818181818181818</v>
      </c>
      <c r="H91" s="93" t="s">
        <v>37</v>
      </c>
      <c r="I91" s="92">
        <v>5.4545454545454543E-2</v>
      </c>
      <c r="J91" s="93" t="s">
        <v>37</v>
      </c>
      <c r="K91" s="94" t="s">
        <v>37</v>
      </c>
      <c r="L91" s="6">
        <v>1</v>
      </c>
      <c r="M91" s="6">
        <v>1</v>
      </c>
      <c r="N91" s="60" t="s">
        <v>312</v>
      </c>
      <c r="O91" s="60">
        <v>1</v>
      </c>
      <c r="P91" s="60">
        <v>1</v>
      </c>
      <c r="Q91" s="60">
        <v>1</v>
      </c>
      <c r="R91" s="60">
        <v>1</v>
      </c>
    </row>
    <row r="92" spans="1:18" x14ac:dyDescent="0.35">
      <c r="A92" t="s">
        <v>539</v>
      </c>
      <c r="B92" s="58" t="s">
        <v>540</v>
      </c>
      <c r="C92" s="6"/>
      <c r="D92" s="6" t="s">
        <v>37</v>
      </c>
      <c r="E92" s="92">
        <v>7.1428571428571419E-6</v>
      </c>
      <c r="F92" s="93" t="s">
        <v>37</v>
      </c>
      <c r="G92" s="92">
        <v>1.8571428571428569E-4</v>
      </c>
      <c r="H92" s="93" t="s">
        <v>37</v>
      </c>
      <c r="I92" s="92">
        <v>8.5714285714285699E-5</v>
      </c>
      <c r="J92" s="93" t="s">
        <v>37</v>
      </c>
      <c r="K92" s="94" t="s">
        <v>37</v>
      </c>
      <c r="L92" s="6">
        <v>1</v>
      </c>
      <c r="M92" s="6">
        <v>1</v>
      </c>
      <c r="N92" s="60" t="s">
        <v>312</v>
      </c>
      <c r="O92" s="60">
        <v>1</v>
      </c>
      <c r="P92" s="60">
        <v>1</v>
      </c>
      <c r="Q92" s="60">
        <v>1</v>
      </c>
      <c r="R92" s="60">
        <v>1</v>
      </c>
    </row>
    <row r="93" spans="1:18" x14ac:dyDescent="0.35">
      <c r="A93" t="s">
        <v>541</v>
      </c>
      <c r="B93" s="58" t="s">
        <v>542</v>
      </c>
      <c r="C93" s="6"/>
      <c r="D93" s="6" t="s">
        <v>37</v>
      </c>
      <c r="E93" s="92">
        <v>7.1428571428571419E-6</v>
      </c>
      <c r="F93" s="93" t="s">
        <v>37</v>
      </c>
      <c r="G93" s="92">
        <v>1.8571428571428569E-4</v>
      </c>
      <c r="H93" s="93" t="s">
        <v>37</v>
      </c>
      <c r="I93" s="92">
        <v>8.5714285714285699E-5</v>
      </c>
      <c r="J93" s="93" t="s">
        <v>37</v>
      </c>
      <c r="K93" s="94" t="s">
        <v>37</v>
      </c>
      <c r="L93" s="6">
        <v>1</v>
      </c>
      <c r="M93" s="6">
        <v>1</v>
      </c>
      <c r="N93" s="60" t="s">
        <v>312</v>
      </c>
      <c r="O93" s="60">
        <v>1</v>
      </c>
      <c r="P93" s="60">
        <v>1</v>
      </c>
      <c r="Q93" s="60">
        <v>1</v>
      </c>
      <c r="R93" s="60">
        <v>1</v>
      </c>
    </row>
    <row r="94" spans="1:18" ht="29" x14ac:dyDescent="0.35">
      <c r="A94" t="s">
        <v>543</v>
      </c>
      <c r="B94" s="58" t="s">
        <v>544</v>
      </c>
      <c r="C94" s="6"/>
      <c r="D94" s="6" t="s">
        <v>37</v>
      </c>
      <c r="E94" s="92">
        <v>7.1428571428571419E-6</v>
      </c>
      <c r="F94" s="93" t="s">
        <v>37</v>
      </c>
      <c r="G94" s="92">
        <v>1.8571428571428569E-4</v>
      </c>
      <c r="H94" s="93" t="s">
        <v>37</v>
      </c>
      <c r="I94" s="92">
        <v>8.5714285714285699E-5</v>
      </c>
      <c r="J94" s="93" t="s">
        <v>37</v>
      </c>
      <c r="K94" s="94" t="s">
        <v>37</v>
      </c>
      <c r="L94" s="6">
        <v>1</v>
      </c>
      <c r="M94" s="6">
        <v>1</v>
      </c>
      <c r="N94" s="60" t="s">
        <v>312</v>
      </c>
      <c r="O94" s="60">
        <v>1</v>
      </c>
      <c r="P94" s="60">
        <v>1</v>
      </c>
      <c r="Q94" s="60">
        <v>1</v>
      </c>
      <c r="R94" s="60">
        <v>1</v>
      </c>
    </row>
    <row r="95" spans="1:18" x14ac:dyDescent="0.35">
      <c r="A95" t="s">
        <v>545</v>
      </c>
      <c r="B95" s="58" t="s">
        <v>546</v>
      </c>
      <c r="C95" s="6"/>
      <c r="D95" s="6" t="s">
        <v>311</v>
      </c>
      <c r="E95" s="92" t="s">
        <v>37</v>
      </c>
      <c r="F95" s="93" t="s">
        <v>37</v>
      </c>
      <c r="G95" s="92" t="s">
        <v>37</v>
      </c>
      <c r="H95" s="93" t="s">
        <v>37</v>
      </c>
      <c r="I95" s="92" t="s">
        <v>37</v>
      </c>
      <c r="J95" s="93" t="s">
        <v>37</v>
      </c>
      <c r="K95" s="94">
        <v>6</v>
      </c>
      <c r="L95" s="6">
        <v>1</v>
      </c>
      <c r="M95" s="6">
        <v>1</v>
      </c>
      <c r="N95" s="60" t="s">
        <v>312</v>
      </c>
      <c r="O95" s="60">
        <v>1</v>
      </c>
      <c r="P95" s="60">
        <v>1</v>
      </c>
      <c r="Q95" s="60">
        <v>1</v>
      </c>
      <c r="R95" s="60">
        <v>1</v>
      </c>
    </row>
    <row r="96" spans="1:18" x14ac:dyDescent="0.35">
      <c r="A96" t="s">
        <v>547</v>
      </c>
      <c r="B96" s="58" t="s">
        <v>548</v>
      </c>
      <c r="C96" s="6"/>
      <c r="D96" s="6" t="s">
        <v>311</v>
      </c>
      <c r="E96" s="92">
        <v>4.3478260869565216E-2</v>
      </c>
      <c r="F96" s="93">
        <v>3</v>
      </c>
      <c r="G96" s="92">
        <v>1.1304347826086956</v>
      </c>
      <c r="H96" s="93">
        <v>13.200000000000001</v>
      </c>
      <c r="I96" s="92">
        <v>0.52173913043478259</v>
      </c>
      <c r="J96" s="93">
        <v>13.200000000000001</v>
      </c>
      <c r="K96" s="94">
        <v>1300</v>
      </c>
      <c r="L96" s="6">
        <v>1</v>
      </c>
      <c r="M96" s="6">
        <v>1</v>
      </c>
      <c r="N96" s="60" t="s">
        <v>312</v>
      </c>
      <c r="O96" s="60">
        <v>1</v>
      </c>
      <c r="P96" s="60">
        <v>1</v>
      </c>
      <c r="Q96" s="60">
        <v>1</v>
      </c>
      <c r="R96" s="60">
        <v>1</v>
      </c>
    </row>
    <row r="97" spans="1:18" x14ac:dyDescent="0.35">
      <c r="A97" t="s">
        <v>549</v>
      </c>
      <c r="B97" s="58" t="s">
        <v>550</v>
      </c>
      <c r="C97" s="6"/>
      <c r="D97" s="6" t="s">
        <v>326</v>
      </c>
      <c r="E97" s="92" t="s">
        <v>37</v>
      </c>
      <c r="F97" s="93">
        <v>20</v>
      </c>
      <c r="G97" s="92" t="s">
        <v>37</v>
      </c>
      <c r="H97" s="93">
        <v>88</v>
      </c>
      <c r="I97" s="92" t="s">
        <v>37</v>
      </c>
      <c r="J97" s="93">
        <v>88</v>
      </c>
      <c r="K97" s="94" t="s">
        <v>37</v>
      </c>
      <c r="L97" s="6">
        <v>1</v>
      </c>
      <c r="M97" s="6">
        <v>1</v>
      </c>
      <c r="N97" s="60" t="s">
        <v>312</v>
      </c>
      <c r="O97" s="60">
        <v>1</v>
      </c>
      <c r="P97" s="60">
        <v>1</v>
      </c>
      <c r="Q97" s="60">
        <v>1</v>
      </c>
      <c r="R97" s="60">
        <v>1</v>
      </c>
    </row>
    <row r="98" spans="1:18" x14ac:dyDescent="0.35">
      <c r="A98" t="s">
        <v>551</v>
      </c>
      <c r="B98" s="58" t="s">
        <v>552</v>
      </c>
      <c r="C98" s="6"/>
      <c r="D98" s="6" t="s">
        <v>311</v>
      </c>
      <c r="E98" s="92" t="s">
        <v>37</v>
      </c>
      <c r="F98" s="93">
        <v>8</v>
      </c>
      <c r="G98" s="92" t="s">
        <v>37</v>
      </c>
      <c r="H98" s="93">
        <v>35.200000000000003</v>
      </c>
      <c r="I98" s="92" t="s">
        <v>37</v>
      </c>
      <c r="J98" s="93">
        <v>35.200000000000003</v>
      </c>
      <c r="K98" s="94" t="s">
        <v>37</v>
      </c>
      <c r="L98" s="6">
        <v>1</v>
      </c>
      <c r="M98" s="6">
        <v>1</v>
      </c>
      <c r="N98" s="60" t="s">
        <v>312</v>
      </c>
      <c r="O98" s="60">
        <v>1</v>
      </c>
      <c r="P98" s="60">
        <v>1</v>
      </c>
      <c r="Q98" s="60">
        <v>1</v>
      </c>
      <c r="R98" s="60">
        <v>1</v>
      </c>
    </row>
    <row r="99" spans="1:18" x14ac:dyDescent="0.35">
      <c r="A99" t="s">
        <v>377</v>
      </c>
      <c r="B99" s="58" t="s">
        <v>378</v>
      </c>
      <c r="C99" s="6"/>
      <c r="D99" s="6" t="s">
        <v>311</v>
      </c>
      <c r="E99" s="92">
        <v>0.39999999999999997</v>
      </c>
      <c r="F99" s="93">
        <v>260</v>
      </c>
      <c r="G99" s="92">
        <v>10.399999999999999</v>
      </c>
      <c r="H99" s="93">
        <v>1144</v>
      </c>
      <c r="I99" s="92">
        <v>4.8</v>
      </c>
      <c r="J99" s="93">
        <v>1144</v>
      </c>
      <c r="K99" s="94">
        <v>22000</v>
      </c>
      <c r="L99" s="6">
        <v>1</v>
      </c>
      <c r="M99" s="6">
        <v>1</v>
      </c>
      <c r="N99" s="60" t="s">
        <v>312</v>
      </c>
      <c r="O99" s="60">
        <v>1</v>
      </c>
      <c r="P99" s="60">
        <v>1</v>
      </c>
      <c r="Q99" s="60">
        <v>1</v>
      </c>
      <c r="R99" s="60">
        <v>1</v>
      </c>
    </row>
    <row r="100" spans="1:18" ht="29" x14ac:dyDescent="0.35">
      <c r="A100" t="s">
        <v>553</v>
      </c>
      <c r="B100" s="58" t="s">
        <v>554</v>
      </c>
      <c r="C100" s="6"/>
      <c r="D100" s="6" t="s">
        <v>311</v>
      </c>
      <c r="E100" s="92">
        <v>1.6666666666666668E-3</v>
      </c>
      <c r="F100" s="93">
        <v>9</v>
      </c>
      <c r="G100" s="92">
        <v>4.3333333333333335E-2</v>
      </c>
      <c r="H100" s="93">
        <v>39.6</v>
      </c>
      <c r="I100" s="92">
        <v>0.02</v>
      </c>
      <c r="J100" s="93">
        <v>39.6</v>
      </c>
      <c r="K100" s="94" t="s">
        <v>37</v>
      </c>
      <c r="L100" s="6">
        <v>1</v>
      </c>
      <c r="M100" s="6">
        <v>1</v>
      </c>
      <c r="N100" s="60" t="s">
        <v>312</v>
      </c>
      <c r="O100" s="60">
        <v>1</v>
      </c>
      <c r="P100" s="60">
        <v>1</v>
      </c>
      <c r="Q100" s="60">
        <v>1</v>
      </c>
      <c r="R100" s="60">
        <v>1</v>
      </c>
    </row>
    <row r="101" spans="1:18" ht="29" x14ac:dyDescent="0.35">
      <c r="A101" t="s">
        <v>555</v>
      </c>
      <c r="B101" s="58" t="s">
        <v>556</v>
      </c>
      <c r="C101" s="6"/>
      <c r="D101" s="6" t="s">
        <v>311</v>
      </c>
      <c r="E101" s="92">
        <v>3.8461538461538464E-2</v>
      </c>
      <c r="F101" s="93">
        <v>7</v>
      </c>
      <c r="G101" s="92">
        <v>1</v>
      </c>
      <c r="H101" s="93">
        <v>30.800000000000004</v>
      </c>
      <c r="I101" s="92">
        <v>0.46153846153846156</v>
      </c>
      <c r="J101" s="93">
        <v>30.800000000000004</v>
      </c>
      <c r="K101" s="94" t="s">
        <v>37</v>
      </c>
      <c r="L101" s="6">
        <v>1</v>
      </c>
      <c r="M101" s="6">
        <v>1</v>
      </c>
      <c r="N101" s="60" t="s">
        <v>312</v>
      </c>
      <c r="O101" s="60">
        <v>1</v>
      </c>
      <c r="P101" s="60">
        <v>1</v>
      </c>
      <c r="Q101" s="60">
        <v>1</v>
      </c>
      <c r="R101" s="60">
        <v>1</v>
      </c>
    </row>
    <row r="102" spans="1:18" x14ac:dyDescent="0.35">
      <c r="A102" t="s">
        <v>557</v>
      </c>
      <c r="B102" s="58" t="s">
        <v>558</v>
      </c>
      <c r="C102" s="6"/>
      <c r="D102" s="6" t="s">
        <v>311</v>
      </c>
      <c r="E102" s="92" t="s">
        <v>37</v>
      </c>
      <c r="F102" s="93">
        <v>400</v>
      </c>
      <c r="G102" s="92" t="s">
        <v>37</v>
      </c>
      <c r="H102" s="93">
        <v>1760.0000000000002</v>
      </c>
      <c r="I102" s="92" t="s">
        <v>37</v>
      </c>
      <c r="J102" s="93">
        <v>1760.0000000000002</v>
      </c>
      <c r="K102" s="94">
        <v>2000</v>
      </c>
      <c r="L102" s="6">
        <v>1</v>
      </c>
      <c r="M102" s="6">
        <v>1</v>
      </c>
      <c r="N102" s="60" t="s">
        <v>312</v>
      </c>
      <c r="O102" s="60">
        <v>1</v>
      </c>
      <c r="P102" s="60">
        <v>1</v>
      </c>
      <c r="Q102" s="60">
        <v>1</v>
      </c>
      <c r="R102" s="60">
        <v>1</v>
      </c>
    </row>
    <row r="103" spans="1:18" ht="29" x14ac:dyDescent="0.35">
      <c r="A103" t="s">
        <v>559</v>
      </c>
      <c r="B103" s="58" t="s">
        <v>560</v>
      </c>
      <c r="C103" s="6"/>
      <c r="D103" s="6" t="s">
        <v>311</v>
      </c>
      <c r="E103" s="92" t="s">
        <v>37</v>
      </c>
      <c r="F103" s="93">
        <v>82</v>
      </c>
      <c r="G103" s="92" t="s">
        <v>37</v>
      </c>
      <c r="H103" s="93">
        <v>360.8</v>
      </c>
      <c r="I103" s="92" t="s">
        <v>37</v>
      </c>
      <c r="J103" s="93">
        <v>360.8</v>
      </c>
      <c r="K103" s="94">
        <v>29000</v>
      </c>
      <c r="L103" s="6">
        <v>1</v>
      </c>
      <c r="M103" s="6">
        <v>1</v>
      </c>
      <c r="N103" s="60" t="s">
        <v>312</v>
      </c>
      <c r="O103" s="60">
        <v>1</v>
      </c>
      <c r="P103" s="60">
        <v>1</v>
      </c>
      <c r="Q103" s="60">
        <v>1</v>
      </c>
      <c r="R103" s="60">
        <v>1</v>
      </c>
    </row>
    <row r="104" spans="1:18" ht="29" x14ac:dyDescent="0.35">
      <c r="A104" t="s">
        <v>561</v>
      </c>
      <c r="B104" s="58" t="s">
        <v>562</v>
      </c>
      <c r="C104" s="6"/>
      <c r="D104" s="6" t="s">
        <v>311</v>
      </c>
      <c r="E104" s="92" t="s">
        <v>37</v>
      </c>
      <c r="F104" s="93">
        <v>70</v>
      </c>
      <c r="G104" s="92" t="s">
        <v>37</v>
      </c>
      <c r="H104" s="93">
        <v>308</v>
      </c>
      <c r="I104" s="92" t="s">
        <v>37</v>
      </c>
      <c r="J104" s="93">
        <v>308</v>
      </c>
      <c r="K104" s="94">
        <v>370</v>
      </c>
      <c r="L104" s="6">
        <v>1</v>
      </c>
      <c r="M104" s="6">
        <v>1</v>
      </c>
      <c r="N104" s="60" t="s">
        <v>312</v>
      </c>
      <c r="O104" s="60">
        <v>1</v>
      </c>
      <c r="P104" s="60">
        <v>1</v>
      </c>
      <c r="Q104" s="60">
        <v>1</v>
      </c>
      <c r="R104" s="60">
        <v>1</v>
      </c>
    </row>
    <row r="105" spans="1:18" ht="29" x14ac:dyDescent="0.35">
      <c r="A105" t="s">
        <v>563</v>
      </c>
      <c r="B105" s="58" t="s">
        <v>564</v>
      </c>
      <c r="C105" s="6"/>
      <c r="D105" s="6" t="s">
        <v>311</v>
      </c>
      <c r="E105" s="92" t="s">
        <v>37</v>
      </c>
      <c r="F105" s="93">
        <v>60</v>
      </c>
      <c r="G105" s="92" t="s">
        <v>37</v>
      </c>
      <c r="H105" s="93">
        <v>264</v>
      </c>
      <c r="I105" s="92" t="s">
        <v>37</v>
      </c>
      <c r="J105" s="93">
        <v>264</v>
      </c>
      <c r="K105" s="94">
        <v>140</v>
      </c>
      <c r="L105" s="6">
        <v>1</v>
      </c>
      <c r="M105" s="6">
        <v>1</v>
      </c>
      <c r="N105" s="60" t="s">
        <v>312</v>
      </c>
      <c r="O105" s="60">
        <v>1</v>
      </c>
      <c r="P105" s="60">
        <v>1</v>
      </c>
      <c r="Q105" s="60">
        <v>1</v>
      </c>
      <c r="R105" s="60">
        <v>1</v>
      </c>
    </row>
    <row r="106" spans="1:18" ht="29" x14ac:dyDescent="0.35">
      <c r="A106" t="s">
        <v>565</v>
      </c>
      <c r="B106" s="58" t="s">
        <v>566</v>
      </c>
      <c r="C106" s="6"/>
      <c r="D106" s="6" t="s">
        <v>311</v>
      </c>
      <c r="E106" s="92" t="s">
        <v>37</v>
      </c>
      <c r="F106" s="93">
        <v>60</v>
      </c>
      <c r="G106" s="92" t="s">
        <v>37</v>
      </c>
      <c r="H106" s="93">
        <v>264</v>
      </c>
      <c r="I106" s="92" t="s">
        <v>37</v>
      </c>
      <c r="J106" s="93">
        <v>264</v>
      </c>
      <c r="K106" s="94">
        <v>93</v>
      </c>
      <c r="L106" s="6">
        <v>1</v>
      </c>
      <c r="M106" s="6">
        <v>1</v>
      </c>
      <c r="N106" s="60" t="s">
        <v>312</v>
      </c>
      <c r="O106" s="60">
        <v>1</v>
      </c>
      <c r="P106" s="60">
        <v>1</v>
      </c>
      <c r="Q106" s="60">
        <v>1</v>
      </c>
      <c r="R106" s="60">
        <v>1</v>
      </c>
    </row>
    <row r="107" spans="1:18" ht="29" x14ac:dyDescent="0.35">
      <c r="A107" t="s">
        <v>567</v>
      </c>
      <c r="B107" s="58" t="s">
        <v>568</v>
      </c>
      <c r="C107" s="6"/>
      <c r="D107" s="6" t="s">
        <v>311</v>
      </c>
      <c r="E107" s="92" t="s">
        <v>37</v>
      </c>
      <c r="F107" s="93">
        <v>1</v>
      </c>
      <c r="G107" s="92" t="s">
        <v>37</v>
      </c>
      <c r="H107" s="93">
        <v>4.4000000000000004</v>
      </c>
      <c r="I107" s="92" t="s">
        <v>37</v>
      </c>
      <c r="J107" s="93">
        <v>4.4000000000000004</v>
      </c>
      <c r="K107" s="94" t="s">
        <v>37</v>
      </c>
      <c r="L107" s="6">
        <v>1</v>
      </c>
      <c r="M107" s="6">
        <v>1</v>
      </c>
      <c r="N107" s="60" t="s">
        <v>312</v>
      </c>
      <c r="O107" s="60">
        <v>1</v>
      </c>
      <c r="P107" s="60">
        <v>1</v>
      </c>
      <c r="Q107" s="60">
        <v>1</v>
      </c>
      <c r="R107" s="60">
        <v>1</v>
      </c>
    </row>
    <row r="108" spans="1:18" x14ac:dyDescent="0.35">
      <c r="A108" t="s">
        <v>569</v>
      </c>
      <c r="B108" s="58" t="s">
        <v>570</v>
      </c>
      <c r="C108" s="6" t="s">
        <v>329</v>
      </c>
      <c r="D108" s="6" t="s">
        <v>311</v>
      </c>
      <c r="E108" s="92">
        <v>1.9607843137254901E-4</v>
      </c>
      <c r="F108" s="93">
        <v>30</v>
      </c>
      <c r="G108" s="92">
        <v>2.0634920634920633E-3</v>
      </c>
      <c r="H108" s="93">
        <v>132</v>
      </c>
      <c r="I108" s="92">
        <v>4.0000000000000001E-3</v>
      </c>
      <c r="J108" s="93">
        <v>132</v>
      </c>
      <c r="K108" s="94">
        <v>160</v>
      </c>
      <c r="L108" s="6">
        <v>1</v>
      </c>
      <c r="M108" s="6">
        <v>1</v>
      </c>
      <c r="N108" s="60" t="s">
        <v>330</v>
      </c>
      <c r="O108" s="60">
        <v>1</v>
      </c>
      <c r="P108" s="60">
        <v>1</v>
      </c>
      <c r="Q108" s="60">
        <v>1</v>
      </c>
      <c r="R108" s="60">
        <v>1</v>
      </c>
    </row>
    <row r="109" spans="1:18" x14ac:dyDescent="0.35">
      <c r="A109" t="s">
        <v>571</v>
      </c>
      <c r="B109" s="58" t="s">
        <v>572</v>
      </c>
      <c r="C109" s="6"/>
      <c r="D109" s="6" t="s">
        <v>37</v>
      </c>
      <c r="E109" s="92">
        <v>7.6923076923076927E-2</v>
      </c>
      <c r="F109" s="93" t="s">
        <v>37</v>
      </c>
      <c r="G109" s="92">
        <v>2</v>
      </c>
      <c r="H109" s="93" t="s">
        <v>37</v>
      </c>
      <c r="I109" s="92">
        <v>0.92307692307692313</v>
      </c>
      <c r="J109" s="93" t="s">
        <v>37</v>
      </c>
      <c r="K109" s="94" t="s">
        <v>37</v>
      </c>
      <c r="L109" s="6">
        <v>1</v>
      </c>
      <c r="M109" s="6">
        <v>1</v>
      </c>
      <c r="N109" s="60" t="s">
        <v>312</v>
      </c>
      <c r="O109" s="60">
        <v>1</v>
      </c>
      <c r="P109" s="60">
        <v>1</v>
      </c>
      <c r="Q109" s="60">
        <v>1</v>
      </c>
      <c r="R109" s="60">
        <v>1</v>
      </c>
    </row>
    <row r="110" spans="1:18" x14ac:dyDescent="0.35">
      <c r="A110">
        <v>239</v>
      </c>
      <c r="B110" s="58" t="s">
        <v>17</v>
      </c>
      <c r="C110" s="6" t="s">
        <v>389</v>
      </c>
      <c r="D110" s="6" t="s">
        <v>311</v>
      </c>
      <c r="E110" s="92" t="s">
        <v>37</v>
      </c>
      <c r="F110" s="93">
        <v>2.2807017543859649</v>
      </c>
      <c r="G110" s="92" t="s">
        <v>37</v>
      </c>
      <c r="H110" s="93">
        <v>19.724137931034488</v>
      </c>
      <c r="I110" s="92" t="s">
        <v>37</v>
      </c>
      <c r="J110" s="93">
        <v>19.724137931034484</v>
      </c>
      <c r="K110" s="94">
        <v>240</v>
      </c>
      <c r="L110" s="6">
        <v>1</v>
      </c>
      <c r="M110" s="6">
        <v>1</v>
      </c>
      <c r="N110" s="60" t="s">
        <v>312</v>
      </c>
      <c r="O110" s="60">
        <v>1</v>
      </c>
      <c r="P110" s="60">
        <v>1</v>
      </c>
      <c r="Q110" s="60">
        <v>5.7</v>
      </c>
      <c r="R110" s="60">
        <v>2.9</v>
      </c>
    </row>
    <row r="111" spans="1:18" x14ac:dyDescent="0.35">
      <c r="A111" t="s">
        <v>573</v>
      </c>
      <c r="B111" s="58" t="s">
        <v>574</v>
      </c>
      <c r="C111" s="6"/>
      <c r="D111" s="6" t="s">
        <v>311</v>
      </c>
      <c r="E111" s="92" t="s">
        <v>37</v>
      </c>
      <c r="F111" s="93" t="s">
        <v>37</v>
      </c>
      <c r="G111" s="92" t="s">
        <v>37</v>
      </c>
      <c r="H111" s="93" t="s">
        <v>37</v>
      </c>
      <c r="I111" s="92" t="s">
        <v>37</v>
      </c>
      <c r="J111" s="93" t="s">
        <v>37</v>
      </c>
      <c r="K111" s="94">
        <v>16</v>
      </c>
      <c r="L111" s="6">
        <v>1</v>
      </c>
      <c r="M111" s="6">
        <v>1</v>
      </c>
      <c r="N111" s="60" t="s">
        <v>312</v>
      </c>
      <c r="O111" s="60">
        <v>1</v>
      </c>
      <c r="P111" s="60">
        <v>1</v>
      </c>
      <c r="Q111" s="60">
        <v>1</v>
      </c>
      <c r="R111" s="60">
        <v>1</v>
      </c>
    </row>
    <row r="112" spans="1:18" x14ac:dyDescent="0.35">
      <c r="A112" t="s">
        <v>381</v>
      </c>
      <c r="B112" s="58" t="s">
        <v>382</v>
      </c>
      <c r="C112" s="6"/>
      <c r="D112" s="6" t="s">
        <v>311</v>
      </c>
      <c r="E112" s="92">
        <v>0.16666666666666666</v>
      </c>
      <c r="F112" s="93">
        <v>9</v>
      </c>
      <c r="G112" s="92">
        <v>4.333333333333333</v>
      </c>
      <c r="H112" s="93">
        <v>39.6</v>
      </c>
      <c r="I112" s="92">
        <v>2</v>
      </c>
      <c r="J112" s="93">
        <v>39.6</v>
      </c>
      <c r="K112" s="94">
        <v>49</v>
      </c>
      <c r="L112" s="6">
        <v>1</v>
      </c>
      <c r="M112" s="6">
        <v>1</v>
      </c>
      <c r="N112" s="60" t="s">
        <v>312</v>
      </c>
      <c r="O112" s="60">
        <v>1</v>
      </c>
      <c r="P112" s="60">
        <v>1</v>
      </c>
      <c r="Q112" s="60">
        <v>1</v>
      </c>
      <c r="R112" s="60">
        <v>1</v>
      </c>
    </row>
    <row r="113" spans="1:18" x14ac:dyDescent="0.35">
      <c r="A113" t="s">
        <v>575</v>
      </c>
      <c r="B113" s="58" t="s">
        <v>576</v>
      </c>
      <c r="C113" s="6"/>
      <c r="D113" s="6" t="s">
        <v>326</v>
      </c>
      <c r="E113" s="92" t="s">
        <v>37</v>
      </c>
      <c r="F113" s="93">
        <v>0.08</v>
      </c>
      <c r="G113" s="92" t="s">
        <v>37</v>
      </c>
      <c r="H113" s="93">
        <v>0.35200000000000004</v>
      </c>
      <c r="I113" s="92" t="s">
        <v>37</v>
      </c>
      <c r="J113" s="93">
        <v>0.35200000000000004</v>
      </c>
      <c r="K113" s="94">
        <v>4.0999999999999996</v>
      </c>
      <c r="L113" s="6">
        <v>1</v>
      </c>
      <c r="M113" s="6">
        <v>1</v>
      </c>
      <c r="N113" s="60" t="s">
        <v>312</v>
      </c>
      <c r="O113" s="60">
        <v>1</v>
      </c>
      <c r="P113" s="60">
        <v>1</v>
      </c>
      <c r="Q113" s="60">
        <v>1</v>
      </c>
      <c r="R113" s="60">
        <v>1</v>
      </c>
    </row>
    <row r="114" spans="1:18" x14ac:dyDescent="0.35">
      <c r="A114" t="s">
        <v>577</v>
      </c>
      <c r="B114" s="58" t="s">
        <v>578</v>
      </c>
      <c r="C114" s="6"/>
      <c r="D114" s="6" t="s">
        <v>37</v>
      </c>
      <c r="E114" s="92">
        <v>7.6923076923076923E-4</v>
      </c>
      <c r="F114" s="93" t="s">
        <v>37</v>
      </c>
      <c r="G114" s="92">
        <v>0.02</v>
      </c>
      <c r="H114" s="93" t="s">
        <v>37</v>
      </c>
      <c r="I114" s="92">
        <v>9.2307692307692299E-3</v>
      </c>
      <c r="J114" s="93" t="s">
        <v>37</v>
      </c>
      <c r="K114" s="94" t="s">
        <v>37</v>
      </c>
      <c r="L114" s="6">
        <v>1</v>
      </c>
      <c r="M114" s="6">
        <v>1</v>
      </c>
      <c r="N114" s="60" t="s">
        <v>312</v>
      </c>
      <c r="O114" s="60">
        <v>1</v>
      </c>
      <c r="P114" s="60">
        <v>1</v>
      </c>
      <c r="Q114" s="60">
        <v>1</v>
      </c>
      <c r="R114" s="60">
        <v>1</v>
      </c>
    </row>
    <row r="115" spans="1:18" x14ac:dyDescent="0.35">
      <c r="A115" t="s">
        <v>579</v>
      </c>
      <c r="B115" s="58" t="s">
        <v>580</v>
      </c>
      <c r="C115" s="6"/>
      <c r="D115" s="6" t="s">
        <v>37</v>
      </c>
      <c r="E115" s="92">
        <v>3.8461538461538462E-4</v>
      </c>
      <c r="F115" s="93" t="s">
        <v>37</v>
      </c>
      <c r="G115" s="92">
        <v>0.01</v>
      </c>
      <c r="H115" s="93" t="s">
        <v>37</v>
      </c>
      <c r="I115" s="92">
        <v>4.6153846153846149E-3</v>
      </c>
      <c r="J115" s="93" t="s">
        <v>37</v>
      </c>
      <c r="K115" s="94" t="s">
        <v>37</v>
      </c>
      <c r="L115" s="6">
        <v>1</v>
      </c>
      <c r="M115" s="6">
        <v>1</v>
      </c>
      <c r="N115" s="60" t="s">
        <v>312</v>
      </c>
      <c r="O115" s="60">
        <v>1</v>
      </c>
      <c r="P115" s="60">
        <v>1</v>
      </c>
      <c r="Q115" s="60">
        <v>1</v>
      </c>
      <c r="R115" s="60">
        <v>1</v>
      </c>
    </row>
    <row r="116" spans="1:18" x14ac:dyDescent="0.35">
      <c r="A116" t="s">
        <v>581</v>
      </c>
      <c r="B116" s="58" t="s">
        <v>582</v>
      </c>
      <c r="C116" s="6"/>
      <c r="D116" s="6" t="s">
        <v>37</v>
      </c>
      <c r="E116" s="92">
        <v>1.9607843137254902E-3</v>
      </c>
      <c r="F116" s="93" t="s">
        <v>37</v>
      </c>
      <c r="G116" s="92">
        <v>5.0980392156862744E-2</v>
      </c>
      <c r="H116" s="93" t="s">
        <v>37</v>
      </c>
      <c r="I116" s="92">
        <v>2.3529411764705882E-2</v>
      </c>
      <c r="J116" s="93" t="s">
        <v>37</v>
      </c>
      <c r="K116" s="94" t="s">
        <v>37</v>
      </c>
      <c r="L116" s="6">
        <v>1</v>
      </c>
      <c r="M116" s="6">
        <v>1</v>
      </c>
      <c r="N116" s="60" t="s">
        <v>312</v>
      </c>
      <c r="O116" s="60">
        <v>1</v>
      </c>
      <c r="P116" s="60">
        <v>1</v>
      </c>
      <c r="Q116" s="60">
        <v>1</v>
      </c>
      <c r="R116" s="60">
        <v>1</v>
      </c>
    </row>
    <row r="117" spans="1:18" x14ac:dyDescent="0.35">
      <c r="A117" t="s">
        <v>583</v>
      </c>
      <c r="B117" s="58" t="s">
        <v>584</v>
      </c>
      <c r="C117" s="6"/>
      <c r="D117" s="6" t="s">
        <v>37</v>
      </c>
      <c r="E117" s="92">
        <v>4.5454545454545456E-2</v>
      </c>
      <c r="F117" s="93" t="s">
        <v>37</v>
      </c>
      <c r="G117" s="92">
        <v>1.1818181818181819</v>
      </c>
      <c r="H117" s="93" t="s">
        <v>37</v>
      </c>
      <c r="I117" s="92">
        <v>0.54545454545454541</v>
      </c>
      <c r="J117" s="93" t="s">
        <v>37</v>
      </c>
      <c r="K117" s="94" t="s">
        <v>37</v>
      </c>
      <c r="L117" s="6">
        <v>1</v>
      </c>
      <c r="M117" s="6">
        <v>1</v>
      </c>
      <c r="N117" s="60" t="s">
        <v>312</v>
      </c>
      <c r="O117" s="60">
        <v>1</v>
      </c>
      <c r="P117" s="60">
        <v>1</v>
      </c>
      <c r="Q117" s="60">
        <v>1</v>
      </c>
      <c r="R117" s="60">
        <v>1</v>
      </c>
    </row>
    <row r="118" spans="1:18" ht="43.5" x14ac:dyDescent="0.35">
      <c r="A118" t="s">
        <v>585</v>
      </c>
      <c r="B118" s="58" t="s">
        <v>586</v>
      </c>
      <c r="C118" s="6" t="s">
        <v>389</v>
      </c>
      <c r="D118" s="6" t="s">
        <v>37</v>
      </c>
      <c r="E118" s="92">
        <v>1.6835016835016833E-4</v>
      </c>
      <c r="F118" s="93" t="s">
        <v>37</v>
      </c>
      <c r="G118" s="92">
        <v>1.8181818181818177E-2</v>
      </c>
      <c r="H118" s="93" t="s">
        <v>37</v>
      </c>
      <c r="I118" s="92">
        <v>8.3916083916083899E-3</v>
      </c>
      <c r="J118" s="93" t="s">
        <v>37</v>
      </c>
      <c r="K118" s="94" t="s">
        <v>37</v>
      </c>
      <c r="L118" s="6">
        <v>1</v>
      </c>
      <c r="M118" s="6">
        <v>1</v>
      </c>
      <c r="N118" s="60" t="s">
        <v>312</v>
      </c>
      <c r="O118" s="60">
        <v>5.4</v>
      </c>
      <c r="P118" s="60">
        <v>1.3</v>
      </c>
      <c r="Q118" s="60">
        <v>1</v>
      </c>
      <c r="R118" s="60">
        <v>1</v>
      </c>
    </row>
    <row r="119" spans="1:18" ht="29" x14ac:dyDescent="0.35">
      <c r="A119" t="s">
        <v>587</v>
      </c>
      <c r="B119" s="58" t="s">
        <v>588</v>
      </c>
      <c r="C119" s="6" t="s">
        <v>389</v>
      </c>
      <c r="D119" s="6" t="s">
        <v>37</v>
      </c>
      <c r="E119" s="92">
        <v>1.6835016835016833E-4</v>
      </c>
      <c r="F119" s="93" t="s">
        <v>37</v>
      </c>
      <c r="G119" s="92">
        <v>1.8181818181818177E-2</v>
      </c>
      <c r="H119" s="93" t="s">
        <v>37</v>
      </c>
      <c r="I119" s="92">
        <v>8.3916083916083899E-3</v>
      </c>
      <c r="J119" s="93" t="s">
        <v>37</v>
      </c>
      <c r="K119" s="94" t="s">
        <v>37</v>
      </c>
      <c r="L119" s="6">
        <v>1</v>
      </c>
      <c r="M119" s="6">
        <v>1</v>
      </c>
      <c r="N119" s="60" t="s">
        <v>312</v>
      </c>
      <c r="O119" s="60">
        <v>5.4</v>
      </c>
      <c r="P119" s="60">
        <v>1.3</v>
      </c>
      <c r="Q119" s="60">
        <v>1</v>
      </c>
      <c r="R119" s="60">
        <v>1</v>
      </c>
    </row>
    <row r="120" spans="1:18" ht="29" x14ac:dyDescent="0.35">
      <c r="A120" t="s">
        <v>589</v>
      </c>
      <c r="B120" s="58" t="s">
        <v>590</v>
      </c>
      <c r="C120" s="6" t="s">
        <v>389</v>
      </c>
      <c r="D120" s="6" t="s">
        <v>37</v>
      </c>
      <c r="E120" s="92">
        <v>1.6835016835016833E-4</v>
      </c>
      <c r="F120" s="93" t="s">
        <v>37</v>
      </c>
      <c r="G120" s="92">
        <v>1.8181818181818177E-2</v>
      </c>
      <c r="H120" s="93" t="s">
        <v>37</v>
      </c>
      <c r="I120" s="92">
        <v>8.3916083916083899E-3</v>
      </c>
      <c r="J120" s="93" t="s">
        <v>37</v>
      </c>
      <c r="K120" s="94" t="s">
        <v>37</v>
      </c>
      <c r="L120" s="6">
        <v>1</v>
      </c>
      <c r="M120" s="6">
        <v>1</v>
      </c>
      <c r="N120" s="60" t="s">
        <v>312</v>
      </c>
      <c r="O120" s="60">
        <v>5.4</v>
      </c>
      <c r="P120" s="60">
        <v>1.3</v>
      </c>
      <c r="Q120" s="60">
        <v>1</v>
      </c>
      <c r="R120" s="60">
        <v>1</v>
      </c>
    </row>
    <row r="121" spans="1:18" ht="29" x14ac:dyDescent="0.35">
      <c r="A121" t="s">
        <v>591</v>
      </c>
      <c r="B121" s="58" t="s">
        <v>592</v>
      </c>
      <c r="C121" s="6" t="s">
        <v>389</v>
      </c>
      <c r="D121" s="6" t="s">
        <v>37</v>
      </c>
      <c r="E121" s="92">
        <v>5.9737156511350056E-4</v>
      </c>
      <c r="F121" s="93" t="s">
        <v>37</v>
      </c>
      <c r="G121" s="92">
        <v>6.4516129032258063E-2</v>
      </c>
      <c r="H121" s="93" t="s">
        <v>37</v>
      </c>
      <c r="I121" s="92">
        <v>2.9776674937965261E-2</v>
      </c>
      <c r="J121" s="93" t="s">
        <v>37</v>
      </c>
      <c r="K121" s="94" t="s">
        <v>37</v>
      </c>
      <c r="L121" s="6">
        <v>1</v>
      </c>
      <c r="M121" s="6">
        <v>1</v>
      </c>
      <c r="N121" s="60" t="s">
        <v>312</v>
      </c>
      <c r="O121" s="60">
        <v>5.4</v>
      </c>
      <c r="P121" s="60">
        <v>1.3</v>
      </c>
      <c r="Q121" s="60">
        <v>1</v>
      </c>
      <c r="R121" s="60">
        <v>1</v>
      </c>
    </row>
    <row r="122" spans="1:18" x14ac:dyDescent="0.35">
      <c r="A122" t="s">
        <v>593</v>
      </c>
      <c r="B122" s="58" t="s">
        <v>594</v>
      </c>
      <c r="C122" s="6"/>
      <c r="D122" s="6" t="s">
        <v>311</v>
      </c>
      <c r="E122" s="92" t="s">
        <v>37</v>
      </c>
      <c r="F122" s="93">
        <v>0.2</v>
      </c>
      <c r="G122" s="92" t="s">
        <v>37</v>
      </c>
      <c r="H122" s="93">
        <v>0.88000000000000012</v>
      </c>
      <c r="I122" s="92" t="s">
        <v>37</v>
      </c>
      <c r="J122" s="93">
        <v>0.88000000000000012</v>
      </c>
      <c r="K122" s="94">
        <v>110</v>
      </c>
      <c r="L122" s="6">
        <v>1</v>
      </c>
      <c r="M122" s="6">
        <v>1</v>
      </c>
      <c r="N122" s="60" t="s">
        <v>312</v>
      </c>
      <c r="O122" s="60">
        <v>1</v>
      </c>
      <c r="P122" s="60">
        <v>1</v>
      </c>
      <c r="Q122" s="60">
        <v>1</v>
      </c>
      <c r="R122" s="60">
        <v>1</v>
      </c>
    </row>
    <row r="123" spans="1:18" x14ac:dyDescent="0.35">
      <c r="A123" t="s">
        <v>595</v>
      </c>
      <c r="B123" s="58" t="s">
        <v>596</v>
      </c>
      <c r="C123" s="6"/>
      <c r="D123" s="6" t="s">
        <v>311</v>
      </c>
      <c r="E123" s="92" t="s">
        <v>37</v>
      </c>
      <c r="F123" s="93">
        <v>30</v>
      </c>
      <c r="G123" s="92" t="s">
        <v>37</v>
      </c>
      <c r="H123" s="93">
        <v>132</v>
      </c>
      <c r="I123" s="92" t="s">
        <v>37</v>
      </c>
      <c r="J123" s="93">
        <v>132</v>
      </c>
      <c r="K123" s="94">
        <v>58000</v>
      </c>
      <c r="L123" s="6">
        <v>1</v>
      </c>
      <c r="M123" s="6">
        <v>1</v>
      </c>
      <c r="N123" s="60" t="s">
        <v>312</v>
      </c>
      <c r="O123" s="60">
        <v>1</v>
      </c>
      <c r="P123" s="60">
        <v>1</v>
      </c>
      <c r="Q123" s="60">
        <v>1</v>
      </c>
      <c r="R123" s="60">
        <v>1</v>
      </c>
    </row>
    <row r="124" spans="1:18" ht="29" x14ac:dyDescent="0.35">
      <c r="A124" t="s">
        <v>385</v>
      </c>
      <c r="B124" s="58" t="s">
        <v>386</v>
      </c>
      <c r="C124" s="6"/>
      <c r="D124" s="6" t="s">
        <v>326</v>
      </c>
      <c r="E124" s="92" t="s">
        <v>37</v>
      </c>
      <c r="F124" s="93">
        <v>6.9000000000000006E-2</v>
      </c>
      <c r="G124" s="92" t="s">
        <v>37</v>
      </c>
      <c r="H124" s="93">
        <v>0.30360000000000004</v>
      </c>
      <c r="I124" s="92" t="s">
        <v>37</v>
      </c>
      <c r="J124" s="93">
        <v>0.30360000000000004</v>
      </c>
      <c r="K124" s="94">
        <v>0.21</v>
      </c>
      <c r="L124" s="6">
        <v>1</v>
      </c>
      <c r="M124" s="6">
        <v>1</v>
      </c>
      <c r="N124" s="60" t="s">
        <v>312</v>
      </c>
      <c r="O124" s="60">
        <v>1</v>
      </c>
      <c r="P124" s="60">
        <v>1</v>
      </c>
      <c r="Q124" s="60">
        <v>1</v>
      </c>
      <c r="R124" s="60">
        <v>1</v>
      </c>
    </row>
    <row r="125" spans="1:18" x14ac:dyDescent="0.35">
      <c r="A125" t="s">
        <v>390</v>
      </c>
      <c r="B125" s="58" t="s">
        <v>391</v>
      </c>
      <c r="C125" s="6"/>
      <c r="D125" s="6" t="s">
        <v>311</v>
      </c>
      <c r="E125" s="92" t="s">
        <v>37</v>
      </c>
      <c r="F125" s="93">
        <v>700</v>
      </c>
      <c r="G125" s="92" t="s">
        <v>37</v>
      </c>
      <c r="H125" s="93">
        <v>3080.0000000000005</v>
      </c>
      <c r="I125" s="92" t="s">
        <v>37</v>
      </c>
      <c r="J125" s="93">
        <v>3080.0000000000005</v>
      </c>
      <c r="K125" s="94" t="s">
        <v>37</v>
      </c>
      <c r="L125" s="6">
        <v>1</v>
      </c>
      <c r="M125" s="6">
        <v>1</v>
      </c>
      <c r="N125" s="60" t="s">
        <v>312</v>
      </c>
      <c r="O125" s="60">
        <v>1</v>
      </c>
      <c r="P125" s="60">
        <v>1</v>
      </c>
      <c r="Q125" s="60">
        <v>1</v>
      </c>
      <c r="R125" s="60">
        <v>1</v>
      </c>
    </row>
    <row r="126" spans="1:18" x14ac:dyDescent="0.35">
      <c r="A126" t="s">
        <v>597</v>
      </c>
      <c r="B126" s="58" t="s">
        <v>598</v>
      </c>
      <c r="C126" s="6"/>
      <c r="D126" s="6" t="s">
        <v>311</v>
      </c>
      <c r="E126" s="92">
        <v>2.0408163265306123E-4</v>
      </c>
      <c r="F126" s="93">
        <v>0.03</v>
      </c>
      <c r="G126" s="92">
        <v>5.3061224489795921E-3</v>
      </c>
      <c r="H126" s="93">
        <v>0.13200000000000001</v>
      </c>
      <c r="I126" s="92">
        <v>2.4489795918367346E-3</v>
      </c>
      <c r="J126" s="93">
        <v>0.13200000000000001</v>
      </c>
      <c r="K126" s="94">
        <v>5.2</v>
      </c>
      <c r="L126" s="6">
        <v>1</v>
      </c>
      <c r="M126" s="6">
        <v>1</v>
      </c>
      <c r="N126" s="60" t="s">
        <v>312</v>
      </c>
      <c r="O126" s="60">
        <v>1</v>
      </c>
      <c r="P126" s="60">
        <v>1</v>
      </c>
      <c r="Q126" s="60">
        <v>1</v>
      </c>
      <c r="R126" s="60">
        <v>1</v>
      </c>
    </row>
    <row r="127" spans="1:18" x14ac:dyDescent="0.35">
      <c r="A127" t="s">
        <v>394</v>
      </c>
      <c r="B127" s="58" t="s">
        <v>395</v>
      </c>
      <c r="C127" s="6"/>
      <c r="D127" s="6" t="s">
        <v>311</v>
      </c>
      <c r="E127" s="92" t="s">
        <v>37</v>
      </c>
      <c r="F127" s="93">
        <v>20</v>
      </c>
      <c r="G127" s="92" t="s">
        <v>37</v>
      </c>
      <c r="H127" s="93">
        <v>88</v>
      </c>
      <c r="I127" s="92" t="s">
        <v>37</v>
      </c>
      <c r="J127" s="93">
        <v>88</v>
      </c>
      <c r="K127" s="94">
        <v>2100</v>
      </c>
      <c r="L127" s="6">
        <v>1</v>
      </c>
      <c r="M127" s="6">
        <v>1</v>
      </c>
      <c r="N127" s="60" t="s">
        <v>312</v>
      </c>
      <c r="O127" s="60">
        <v>1</v>
      </c>
      <c r="P127" s="60">
        <v>1</v>
      </c>
      <c r="Q127" s="60">
        <v>1</v>
      </c>
      <c r="R127" s="60">
        <v>1</v>
      </c>
    </row>
    <row r="128" spans="1:18" x14ac:dyDescent="0.35">
      <c r="A128" t="s">
        <v>599</v>
      </c>
      <c r="B128" s="58" t="s">
        <v>600</v>
      </c>
      <c r="C128" s="6" t="s">
        <v>389</v>
      </c>
      <c r="D128" s="6" t="s">
        <v>311</v>
      </c>
      <c r="E128" s="92" t="s">
        <v>37</v>
      </c>
      <c r="F128" s="93">
        <v>2.1311475409836067</v>
      </c>
      <c r="G128" s="92" t="s">
        <v>37</v>
      </c>
      <c r="H128" s="93">
        <v>19.066666666666666</v>
      </c>
      <c r="I128" s="92" t="s">
        <v>37</v>
      </c>
      <c r="J128" s="93">
        <v>19.066666666666666</v>
      </c>
      <c r="K128" s="94">
        <v>16</v>
      </c>
      <c r="L128" s="6">
        <v>1</v>
      </c>
      <c r="M128" s="6">
        <v>1</v>
      </c>
      <c r="N128" s="60" t="s">
        <v>312</v>
      </c>
      <c r="O128" s="60">
        <v>1</v>
      </c>
      <c r="P128" s="60">
        <v>1</v>
      </c>
      <c r="Q128" s="60">
        <v>6.1</v>
      </c>
      <c r="R128" s="60">
        <v>3</v>
      </c>
    </row>
    <row r="129" spans="1:18" x14ac:dyDescent="0.35">
      <c r="A129" t="s">
        <v>601</v>
      </c>
      <c r="B129" s="58" t="s">
        <v>602</v>
      </c>
      <c r="C129" s="6"/>
      <c r="D129" s="6" t="s">
        <v>311</v>
      </c>
      <c r="E129" s="92" t="s">
        <v>37</v>
      </c>
      <c r="F129" s="93">
        <v>2</v>
      </c>
      <c r="G129" s="92" t="s">
        <v>37</v>
      </c>
      <c r="H129" s="93">
        <v>8.8000000000000007</v>
      </c>
      <c r="I129" s="92" t="s">
        <v>37</v>
      </c>
      <c r="J129" s="93">
        <v>8.8000000000000007</v>
      </c>
      <c r="K129" s="94">
        <v>98</v>
      </c>
      <c r="L129" s="6">
        <v>1</v>
      </c>
      <c r="M129" s="6">
        <v>1</v>
      </c>
      <c r="N129" s="60" t="s">
        <v>312</v>
      </c>
      <c r="O129" s="60">
        <v>1</v>
      </c>
      <c r="P129" s="60">
        <v>1</v>
      </c>
      <c r="Q129" s="60">
        <v>1</v>
      </c>
      <c r="R129" s="60">
        <v>1</v>
      </c>
    </row>
    <row r="130" spans="1:18" x14ac:dyDescent="0.35">
      <c r="A130" t="s">
        <v>603</v>
      </c>
      <c r="B130" s="58" t="s">
        <v>604</v>
      </c>
      <c r="C130" s="6"/>
      <c r="D130" s="6" t="s">
        <v>311</v>
      </c>
      <c r="E130" s="92" t="s">
        <v>37</v>
      </c>
      <c r="F130" s="93">
        <v>2000</v>
      </c>
      <c r="G130" s="92" t="s">
        <v>37</v>
      </c>
      <c r="H130" s="93">
        <v>8800</v>
      </c>
      <c r="I130" s="92" t="s">
        <v>37</v>
      </c>
      <c r="J130" s="93">
        <v>8800</v>
      </c>
      <c r="K130" s="94" t="s">
        <v>37</v>
      </c>
      <c r="L130" s="6">
        <v>1</v>
      </c>
      <c r="M130" s="6">
        <v>1</v>
      </c>
      <c r="N130" s="60" t="s">
        <v>312</v>
      </c>
      <c r="O130" s="60">
        <v>1</v>
      </c>
      <c r="P130" s="60">
        <v>1</v>
      </c>
      <c r="Q130" s="60">
        <v>1</v>
      </c>
      <c r="R130" s="60">
        <v>1</v>
      </c>
    </row>
    <row r="131" spans="1:18" x14ac:dyDescent="0.35">
      <c r="A131" t="s">
        <v>398</v>
      </c>
      <c r="B131" s="58" t="s">
        <v>605</v>
      </c>
      <c r="C131" s="6"/>
      <c r="D131" s="6" t="s">
        <v>311</v>
      </c>
      <c r="E131" s="92" t="s">
        <v>37</v>
      </c>
      <c r="F131" s="93">
        <v>200</v>
      </c>
      <c r="G131" s="92" t="s">
        <v>37</v>
      </c>
      <c r="H131" s="93">
        <v>880.00000000000011</v>
      </c>
      <c r="I131" s="92" t="s">
        <v>37</v>
      </c>
      <c r="J131" s="93">
        <v>880.00000000000011</v>
      </c>
      <c r="K131" s="94">
        <v>3200</v>
      </c>
      <c r="L131" s="6">
        <v>1</v>
      </c>
      <c r="M131" s="6">
        <v>1</v>
      </c>
      <c r="N131" s="60" t="s">
        <v>312</v>
      </c>
      <c r="O131" s="60">
        <v>1</v>
      </c>
      <c r="P131" s="60">
        <v>1</v>
      </c>
      <c r="Q131" s="60">
        <v>1</v>
      </c>
      <c r="R131" s="60">
        <v>1</v>
      </c>
    </row>
    <row r="132" spans="1:18" ht="29" x14ac:dyDescent="0.35">
      <c r="A132" t="s">
        <v>606</v>
      </c>
      <c r="B132" s="58" t="s">
        <v>607</v>
      </c>
      <c r="C132" s="6"/>
      <c r="D132" s="6" t="s">
        <v>311</v>
      </c>
      <c r="E132" s="92" t="s">
        <v>37</v>
      </c>
      <c r="F132" s="93">
        <v>400</v>
      </c>
      <c r="G132" s="92" t="s">
        <v>37</v>
      </c>
      <c r="H132" s="93">
        <v>1760.0000000000002</v>
      </c>
      <c r="I132" s="92" t="s">
        <v>37</v>
      </c>
      <c r="J132" s="93">
        <v>1760.0000000000002</v>
      </c>
      <c r="K132" s="94" t="s">
        <v>37</v>
      </c>
      <c r="L132" s="6">
        <v>1</v>
      </c>
      <c r="M132" s="6">
        <v>1</v>
      </c>
      <c r="N132" s="60" t="s">
        <v>312</v>
      </c>
      <c r="O132" s="60">
        <v>1</v>
      </c>
      <c r="P132" s="60">
        <v>1</v>
      </c>
      <c r="Q132" s="60">
        <v>1</v>
      </c>
      <c r="R132" s="60">
        <v>1</v>
      </c>
    </row>
    <row r="133" spans="1:18" x14ac:dyDescent="0.35">
      <c r="A133" t="s">
        <v>29</v>
      </c>
      <c r="B133" s="58" t="s">
        <v>402</v>
      </c>
      <c r="C133" s="6" t="s">
        <v>411</v>
      </c>
      <c r="D133" s="6" t="s">
        <v>311</v>
      </c>
      <c r="E133" s="92" t="s">
        <v>37</v>
      </c>
      <c r="F133" s="93">
        <v>0.15</v>
      </c>
      <c r="G133" s="92" t="s">
        <v>37</v>
      </c>
      <c r="H133" s="93">
        <v>0.66</v>
      </c>
      <c r="I133" s="92" t="s">
        <v>37</v>
      </c>
      <c r="J133" s="93">
        <v>0.66</v>
      </c>
      <c r="K133" s="94">
        <v>0.15</v>
      </c>
      <c r="L133" s="6">
        <v>1</v>
      </c>
      <c r="M133" s="6">
        <v>1</v>
      </c>
      <c r="N133" s="60" t="s">
        <v>312</v>
      </c>
      <c r="O133" s="60">
        <v>11</v>
      </c>
      <c r="P133" s="60">
        <v>5.8</v>
      </c>
      <c r="Q133" s="60">
        <v>1</v>
      </c>
      <c r="R133" s="60">
        <v>1</v>
      </c>
    </row>
    <row r="134" spans="1:18" x14ac:dyDescent="0.35">
      <c r="A134" t="s">
        <v>608</v>
      </c>
      <c r="B134" s="58" t="s">
        <v>609</v>
      </c>
      <c r="C134" s="6"/>
      <c r="D134" s="6" t="s">
        <v>326</v>
      </c>
      <c r="E134" s="92" t="s">
        <v>37</v>
      </c>
      <c r="F134" s="93">
        <v>0.7</v>
      </c>
      <c r="G134" s="92" t="s">
        <v>37</v>
      </c>
      <c r="H134" s="93">
        <v>3.08</v>
      </c>
      <c r="I134" s="92" t="s">
        <v>37</v>
      </c>
      <c r="J134" s="93">
        <v>3.08</v>
      </c>
      <c r="K134" s="94" t="s">
        <v>37</v>
      </c>
      <c r="L134" s="6">
        <v>1</v>
      </c>
      <c r="M134" s="6">
        <v>1</v>
      </c>
      <c r="N134" s="60" t="s">
        <v>312</v>
      </c>
      <c r="O134" s="60">
        <v>1</v>
      </c>
      <c r="P134" s="60">
        <v>1</v>
      </c>
      <c r="Q134" s="60">
        <v>1</v>
      </c>
      <c r="R134" s="60">
        <v>1</v>
      </c>
    </row>
    <row r="135" spans="1:18" ht="29" x14ac:dyDescent="0.35">
      <c r="A135" t="s">
        <v>26</v>
      </c>
      <c r="B135" s="58" t="s">
        <v>403</v>
      </c>
      <c r="C135" s="6" t="s">
        <v>346</v>
      </c>
      <c r="D135" s="6" t="s">
        <v>311</v>
      </c>
      <c r="E135" s="92" t="s">
        <v>37</v>
      </c>
      <c r="F135" s="93">
        <v>0.09</v>
      </c>
      <c r="G135" s="92" t="s">
        <v>37</v>
      </c>
      <c r="H135" s="93">
        <v>0.39600000000000002</v>
      </c>
      <c r="I135" s="92" t="s">
        <v>37</v>
      </c>
      <c r="J135" s="93">
        <v>0.39600000000000002</v>
      </c>
      <c r="K135" s="94">
        <v>0.3</v>
      </c>
      <c r="L135" s="6">
        <v>1</v>
      </c>
      <c r="M135" s="6">
        <v>1</v>
      </c>
      <c r="N135" s="60" t="s">
        <v>312</v>
      </c>
      <c r="O135" s="60">
        <v>1</v>
      </c>
      <c r="P135" s="60">
        <v>1</v>
      </c>
      <c r="Q135" s="60">
        <v>1</v>
      </c>
      <c r="R135" s="60">
        <v>1</v>
      </c>
    </row>
    <row r="136" spans="1:18" x14ac:dyDescent="0.35">
      <c r="A136" t="s">
        <v>405</v>
      </c>
      <c r="B136" s="58" t="s">
        <v>406</v>
      </c>
      <c r="C136" s="6" t="s">
        <v>411</v>
      </c>
      <c r="D136" s="6" t="s">
        <v>311</v>
      </c>
      <c r="E136" s="92" t="s">
        <v>37</v>
      </c>
      <c r="F136" s="93">
        <v>7.6923076923076927E-2</v>
      </c>
      <c r="G136" s="92" t="s">
        <v>37</v>
      </c>
      <c r="H136" s="93">
        <v>0.62857142857142856</v>
      </c>
      <c r="I136" s="92" t="s">
        <v>37</v>
      </c>
      <c r="J136" s="93">
        <v>0.62857142857142856</v>
      </c>
      <c r="K136" s="94">
        <v>0.6</v>
      </c>
      <c r="L136" s="6">
        <v>1</v>
      </c>
      <c r="M136" s="6">
        <v>1</v>
      </c>
      <c r="N136" s="60" t="s">
        <v>312</v>
      </c>
      <c r="O136" s="60">
        <v>1</v>
      </c>
      <c r="P136" s="60">
        <v>1</v>
      </c>
      <c r="Q136" s="60">
        <v>3.9</v>
      </c>
      <c r="R136" s="60">
        <v>2.1</v>
      </c>
    </row>
    <row r="137" spans="1:18" x14ac:dyDescent="0.35">
      <c r="A137" t="s">
        <v>409</v>
      </c>
      <c r="B137" s="58" t="s">
        <v>410</v>
      </c>
      <c r="C137" s="6"/>
      <c r="D137" s="6" t="s">
        <v>311</v>
      </c>
      <c r="E137" s="92" t="s">
        <v>37</v>
      </c>
      <c r="F137" s="93">
        <v>4000</v>
      </c>
      <c r="G137" s="92" t="s">
        <v>37</v>
      </c>
      <c r="H137" s="93">
        <v>17600</v>
      </c>
      <c r="I137" s="92" t="s">
        <v>37</v>
      </c>
      <c r="J137" s="93">
        <v>17600</v>
      </c>
      <c r="K137" s="94">
        <v>28000</v>
      </c>
      <c r="L137" s="6">
        <v>1</v>
      </c>
      <c r="M137" s="6">
        <v>1</v>
      </c>
      <c r="N137" s="60" t="s">
        <v>312</v>
      </c>
      <c r="O137" s="60">
        <v>1</v>
      </c>
      <c r="P137" s="60">
        <v>1</v>
      </c>
      <c r="Q137" s="60">
        <v>1</v>
      </c>
      <c r="R137" s="60">
        <v>1</v>
      </c>
    </row>
    <row r="138" spans="1:18" ht="18.75" customHeight="1" x14ac:dyDescent="0.35">
      <c r="A138" t="s">
        <v>610</v>
      </c>
      <c r="B138" s="58" t="s">
        <v>611</v>
      </c>
      <c r="C138" s="6"/>
      <c r="D138" s="6" t="s">
        <v>37</v>
      </c>
      <c r="E138" s="92">
        <v>2.3255813953488372E-3</v>
      </c>
      <c r="F138" s="93" t="s">
        <v>37</v>
      </c>
      <c r="G138" s="92">
        <v>6.0465116279069767E-2</v>
      </c>
      <c r="H138" s="93" t="s">
        <v>37</v>
      </c>
      <c r="I138" s="92">
        <v>2.7906976744186046E-2</v>
      </c>
      <c r="J138" s="93" t="s">
        <v>37</v>
      </c>
      <c r="K138" s="94" t="s">
        <v>37</v>
      </c>
      <c r="L138" s="6">
        <v>1</v>
      </c>
      <c r="M138" s="6">
        <v>1</v>
      </c>
      <c r="N138" s="60" t="s">
        <v>312</v>
      </c>
      <c r="O138" s="60">
        <v>1</v>
      </c>
      <c r="P138" s="60">
        <v>1</v>
      </c>
      <c r="Q138" s="60">
        <v>1</v>
      </c>
      <c r="R138" s="60">
        <v>1</v>
      </c>
    </row>
    <row r="139" spans="1:18" ht="18.75" customHeight="1" x14ac:dyDescent="0.35">
      <c r="A139" t="s">
        <v>612</v>
      </c>
      <c r="B139" s="58" t="s">
        <v>613</v>
      </c>
      <c r="C139" s="6"/>
      <c r="D139" s="6" t="s">
        <v>326</v>
      </c>
      <c r="E139" s="92">
        <v>3.0193236714975844E-4</v>
      </c>
      <c r="F139" s="93">
        <v>20</v>
      </c>
      <c r="G139" s="92">
        <v>2.2608695652173914E-2</v>
      </c>
      <c r="H139" s="93">
        <v>88</v>
      </c>
      <c r="I139" s="92">
        <v>1.0434782608695653E-2</v>
      </c>
      <c r="J139" s="93">
        <v>88</v>
      </c>
      <c r="K139" s="94" t="s">
        <v>37</v>
      </c>
      <c r="L139" s="6">
        <v>1</v>
      </c>
      <c r="M139" s="6">
        <v>1</v>
      </c>
      <c r="N139" s="60" t="s">
        <v>312</v>
      </c>
      <c r="O139" s="60">
        <v>7.2</v>
      </c>
      <c r="P139" s="60">
        <v>2.5</v>
      </c>
      <c r="Q139" s="60">
        <v>1</v>
      </c>
      <c r="R139" s="60">
        <v>1</v>
      </c>
    </row>
    <row r="140" spans="1:18" ht="29" x14ac:dyDescent="0.35">
      <c r="A140" t="s">
        <v>614</v>
      </c>
      <c r="B140" s="58" t="s">
        <v>615</v>
      </c>
      <c r="C140" s="6"/>
      <c r="D140" s="6" t="s">
        <v>311</v>
      </c>
      <c r="E140" s="92" t="s">
        <v>37</v>
      </c>
      <c r="F140" s="93">
        <v>0.08</v>
      </c>
      <c r="G140" s="92" t="s">
        <v>37</v>
      </c>
      <c r="H140" s="93">
        <v>0.35200000000000004</v>
      </c>
      <c r="I140" s="92" t="s">
        <v>37</v>
      </c>
      <c r="J140" s="93">
        <v>0.35200000000000004</v>
      </c>
      <c r="K140" s="94">
        <v>12</v>
      </c>
      <c r="L140" s="6">
        <v>1</v>
      </c>
      <c r="M140" s="6">
        <v>1</v>
      </c>
      <c r="N140" s="60" t="s">
        <v>312</v>
      </c>
      <c r="O140" s="60">
        <v>1</v>
      </c>
      <c r="P140" s="60">
        <v>1</v>
      </c>
      <c r="Q140" s="60">
        <v>1</v>
      </c>
      <c r="R140" s="60">
        <v>1</v>
      </c>
    </row>
    <row r="141" spans="1:18" ht="29" x14ac:dyDescent="0.35">
      <c r="A141" t="s">
        <v>616</v>
      </c>
      <c r="B141" s="58" t="s">
        <v>617</v>
      </c>
      <c r="C141" s="6"/>
      <c r="D141" s="6" t="s">
        <v>311</v>
      </c>
      <c r="E141" s="92" t="s">
        <v>37</v>
      </c>
      <c r="F141" s="93">
        <v>3000</v>
      </c>
      <c r="G141" s="92" t="s">
        <v>37</v>
      </c>
      <c r="H141" s="93">
        <v>13200.000000000002</v>
      </c>
      <c r="I141" s="92" t="s">
        <v>37</v>
      </c>
      <c r="J141" s="93">
        <v>13200.000000000002</v>
      </c>
      <c r="K141" s="94" t="s">
        <v>37</v>
      </c>
      <c r="L141" s="6">
        <v>1</v>
      </c>
      <c r="M141" s="6">
        <v>1</v>
      </c>
      <c r="N141" s="60" t="s">
        <v>312</v>
      </c>
      <c r="O141" s="60">
        <v>1</v>
      </c>
      <c r="P141" s="60">
        <v>1</v>
      </c>
      <c r="Q141" s="60">
        <v>1</v>
      </c>
      <c r="R141" s="60">
        <v>1</v>
      </c>
    </row>
    <row r="142" spans="1:18" x14ac:dyDescent="0.35">
      <c r="A142" t="s">
        <v>618</v>
      </c>
      <c r="B142" s="58" t="s">
        <v>619</v>
      </c>
      <c r="C142" s="6"/>
      <c r="D142" s="6" t="s">
        <v>311</v>
      </c>
      <c r="E142" s="92" t="s">
        <v>37</v>
      </c>
      <c r="F142" s="93">
        <v>1</v>
      </c>
      <c r="G142" s="92" t="s">
        <v>37</v>
      </c>
      <c r="H142" s="93">
        <v>4.4000000000000004</v>
      </c>
      <c r="I142" s="92" t="s">
        <v>37</v>
      </c>
      <c r="J142" s="93">
        <v>4.4000000000000004</v>
      </c>
      <c r="K142" s="94" t="s">
        <v>37</v>
      </c>
      <c r="L142" s="6">
        <v>1</v>
      </c>
      <c r="M142" s="6">
        <v>1</v>
      </c>
      <c r="N142" s="60" t="s">
        <v>312</v>
      </c>
      <c r="O142" s="60">
        <v>1</v>
      </c>
      <c r="P142" s="60">
        <v>1</v>
      </c>
      <c r="Q142" s="60">
        <v>1</v>
      </c>
      <c r="R142" s="60">
        <v>1</v>
      </c>
    </row>
    <row r="143" spans="1:18" x14ac:dyDescent="0.35">
      <c r="A143" t="s">
        <v>412</v>
      </c>
      <c r="B143" s="58" t="s">
        <v>413</v>
      </c>
      <c r="C143" s="6"/>
      <c r="D143" s="6" t="s">
        <v>326</v>
      </c>
      <c r="E143" s="92" t="s">
        <v>37</v>
      </c>
      <c r="F143" s="93">
        <v>700</v>
      </c>
      <c r="G143" s="92" t="s">
        <v>37</v>
      </c>
      <c r="H143" s="93">
        <v>3080.0000000000005</v>
      </c>
      <c r="I143" s="92" t="s">
        <v>37</v>
      </c>
      <c r="J143" s="93">
        <v>3080.0000000000005</v>
      </c>
      <c r="K143" s="94" t="s">
        <v>37</v>
      </c>
      <c r="L143" s="6">
        <v>1</v>
      </c>
      <c r="M143" s="6">
        <v>1</v>
      </c>
      <c r="N143" s="60" t="s">
        <v>312</v>
      </c>
      <c r="O143" s="60">
        <v>1</v>
      </c>
      <c r="P143" s="60">
        <v>1</v>
      </c>
      <c r="Q143" s="60">
        <v>1</v>
      </c>
      <c r="R143" s="60">
        <v>1</v>
      </c>
    </row>
    <row r="144" spans="1:18" x14ac:dyDescent="0.35">
      <c r="A144" t="s">
        <v>620</v>
      </c>
      <c r="B144" s="58" t="s">
        <v>621</v>
      </c>
      <c r="C144" s="6"/>
      <c r="D144" s="6" t="s">
        <v>311</v>
      </c>
      <c r="E144" s="92">
        <v>3.8461538461538458</v>
      </c>
      <c r="F144" s="93">
        <v>8000</v>
      </c>
      <c r="G144" s="92">
        <v>99.999999999999986</v>
      </c>
      <c r="H144" s="93">
        <v>35200</v>
      </c>
      <c r="I144" s="92">
        <v>46.153846153846146</v>
      </c>
      <c r="J144" s="93">
        <v>35200</v>
      </c>
      <c r="K144" s="94">
        <v>8000</v>
      </c>
      <c r="L144" s="6">
        <v>1</v>
      </c>
      <c r="M144" s="6">
        <v>1</v>
      </c>
      <c r="N144" s="60" t="s">
        <v>312</v>
      </c>
      <c r="O144" s="60">
        <v>1</v>
      </c>
      <c r="P144" s="60">
        <v>1</v>
      </c>
      <c r="Q144" s="60">
        <v>1</v>
      </c>
      <c r="R144" s="60">
        <v>1</v>
      </c>
    </row>
    <row r="145" spans="1:18" x14ac:dyDescent="0.35">
      <c r="A145" t="s">
        <v>622</v>
      </c>
      <c r="B145" s="58" t="s">
        <v>623</v>
      </c>
      <c r="C145" s="6"/>
      <c r="D145" s="6" t="s">
        <v>37</v>
      </c>
      <c r="E145" s="92">
        <v>4.0000000000000001E-3</v>
      </c>
      <c r="F145" s="93" t="s">
        <v>37</v>
      </c>
      <c r="G145" s="92">
        <v>0.10400000000000001</v>
      </c>
      <c r="H145" s="93" t="s">
        <v>37</v>
      </c>
      <c r="I145" s="92">
        <v>4.8000000000000001E-2</v>
      </c>
      <c r="J145" s="93" t="s">
        <v>37</v>
      </c>
      <c r="K145" s="94" t="s">
        <v>37</v>
      </c>
      <c r="L145" s="6">
        <v>1</v>
      </c>
      <c r="M145" s="6">
        <v>1</v>
      </c>
      <c r="N145" s="60" t="s">
        <v>312</v>
      </c>
      <c r="O145" s="60">
        <v>1</v>
      </c>
      <c r="P145" s="60">
        <v>1</v>
      </c>
      <c r="Q145" s="60">
        <v>1</v>
      </c>
      <c r="R145" s="60">
        <v>1</v>
      </c>
    </row>
    <row r="146" spans="1:18" x14ac:dyDescent="0.35">
      <c r="A146" t="s">
        <v>420</v>
      </c>
      <c r="B146" s="58" t="s">
        <v>624</v>
      </c>
      <c r="C146" s="6" t="s">
        <v>389</v>
      </c>
      <c r="D146" s="6" t="s">
        <v>311</v>
      </c>
      <c r="E146" s="92">
        <v>2.9411764705882353E-2</v>
      </c>
      <c r="F146" s="93">
        <v>3.7</v>
      </c>
      <c r="G146" s="92">
        <v>0.76470588235294112</v>
      </c>
      <c r="H146" s="93">
        <v>16.28</v>
      </c>
      <c r="I146" s="92">
        <v>0.3529411764705882</v>
      </c>
      <c r="J146" s="93">
        <v>16.28</v>
      </c>
      <c r="K146" s="94">
        <v>200</v>
      </c>
      <c r="L146" s="6">
        <v>1</v>
      </c>
      <c r="M146" s="6">
        <v>1</v>
      </c>
      <c r="N146" s="60" t="s">
        <v>312</v>
      </c>
      <c r="O146" s="60">
        <v>1</v>
      </c>
      <c r="P146" s="60">
        <v>1</v>
      </c>
      <c r="Q146" s="60">
        <v>1</v>
      </c>
      <c r="R146" s="60">
        <v>1</v>
      </c>
    </row>
    <row r="147" spans="1:18" ht="29" x14ac:dyDescent="0.35">
      <c r="A147">
        <v>365</v>
      </c>
      <c r="B147" s="58" t="s">
        <v>424</v>
      </c>
      <c r="C147" s="6" t="s">
        <v>625</v>
      </c>
      <c r="D147" s="6" t="s">
        <v>311</v>
      </c>
      <c r="E147" s="92">
        <v>3.8461538461538464E-3</v>
      </c>
      <c r="F147" s="93">
        <v>1.4E-2</v>
      </c>
      <c r="G147" s="92">
        <v>0.1</v>
      </c>
      <c r="H147" s="93">
        <v>6.1600000000000009E-2</v>
      </c>
      <c r="I147" s="92">
        <v>4.6153846153846156E-2</v>
      </c>
      <c r="J147" s="93">
        <v>6.1600000000000009E-2</v>
      </c>
      <c r="K147" s="94">
        <v>0.2</v>
      </c>
      <c r="L147" s="6">
        <v>1</v>
      </c>
      <c r="M147" s="6">
        <v>1</v>
      </c>
      <c r="N147" s="60" t="s">
        <v>312</v>
      </c>
      <c r="O147" s="60">
        <v>1</v>
      </c>
      <c r="P147" s="60">
        <v>1</v>
      </c>
      <c r="Q147" s="60">
        <v>1</v>
      </c>
      <c r="R147" s="60">
        <v>1</v>
      </c>
    </row>
    <row r="148" spans="1:18" x14ac:dyDescent="0.35">
      <c r="A148">
        <v>368</v>
      </c>
      <c r="B148" s="58" t="s">
        <v>626</v>
      </c>
      <c r="C148" s="6" t="s">
        <v>625</v>
      </c>
      <c r="D148" s="6" t="s">
        <v>311</v>
      </c>
      <c r="E148" s="92" t="s">
        <v>37</v>
      </c>
      <c r="F148" s="93">
        <v>1.4E-2</v>
      </c>
      <c r="G148" s="92" t="s">
        <v>37</v>
      </c>
      <c r="H148" s="93">
        <v>6.1600000000000009E-2</v>
      </c>
      <c r="I148" s="92" t="s">
        <v>37</v>
      </c>
      <c r="J148" s="93">
        <v>6.1600000000000009E-2</v>
      </c>
      <c r="K148" s="94">
        <v>0.2</v>
      </c>
      <c r="L148" s="6">
        <v>1</v>
      </c>
      <c r="M148" s="6">
        <v>1</v>
      </c>
      <c r="N148" s="60" t="s">
        <v>312</v>
      </c>
      <c r="O148" s="60">
        <v>1</v>
      </c>
      <c r="P148" s="60">
        <v>1</v>
      </c>
      <c r="Q148" s="60">
        <v>1</v>
      </c>
      <c r="R148" s="60">
        <v>1</v>
      </c>
    </row>
    <row r="149" spans="1:18" x14ac:dyDescent="0.35">
      <c r="A149" t="s">
        <v>427</v>
      </c>
      <c r="B149" s="58" t="s">
        <v>428</v>
      </c>
      <c r="C149" s="6"/>
      <c r="D149" s="6" t="s">
        <v>326</v>
      </c>
      <c r="E149" s="92" t="s">
        <v>37</v>
      </c>
      <c r="F149" s="93" t="s">
        <v>37</v>
      </c>
      <c r="G149" s="92" t="s">
        <v>37</v>
      </c>
      <c r="H149" s="93" t="s">
        <v>37</v>
      </c>
      <c r="I149" s="92" t="s">
        <v>37</v>
      </c>
      <c r="J149" s="93" t="s">
        <v>37</v>
      </c>
      <c r="K149" s="94">
        <v>86</v>
      </c>
      <c r="L149" s="6">
        <v>1</v>
      </c>
      <c r="M149" s="6">
        <v>1</v>
      </c>
      <c r="N149" s="60" t="s">
        <v>312</v>
      </c>
      <c r="O149" s="60">
        <v>1</v>
      </c>
      <c r="P149" s="60">
        <v>1</v>
      </c>
      <c r="Q149" s="60">
        <v>1</v>
      </c>
      <c r="R149" s="60">
        <v>1</v>
      </c>
    </row>
    <row r="150" spans="1:18" x14ac:dyDescent="0.35">
      <c r="A150" t="s">
        <v>627</v>
      </c>
      <c r="B150" s="58" t="s">
        <v>628</v>
      </c>
      <c r="C150" s="6"/>
      <c r="D150" s="6" t="s">
        <v>311</v>
      </c>
      <c r="E150" s="92">
        <v>2.4999999999999998E-2</v>
      </c>
      <c r="F150" s="93">
        <v>9</v>
      </c>
      <c r="G150" s="92">
        <v>0.64999999999999991</v>
      </c>
      <c r="H150" s="93">
        <v>39.6</v>
      </c>
      <c r="I150" s="92">
        <v>0.3</v>
      </c>
      <c r="J150" s="93">
        <v>39.6</v>
      </c>
      <c r="K150" s="94" t="s">
        <v>37</v>
      </c>
      <c r="L150" s="6">
        <v>1</v>
      </c>
      <c r="M150" s="6">
        <v>1</v>
      </c>
      <c r="N150" s="60" t="s">
        <v>312</v>
      </c>
      <c r="O150" s="60">
        <v>1</v>
      </c>
      <c r="P150" s="60">
        <v>1</v>
      </c>
      <c r="Q150" s="60">
        <v>1</v>
      </c>
      <c r="R150" s="60">
        <v>1</v>
      </c>
    </row>
    <row r="151" spans="1:18" x14ac:dyDescent="0.35">
      <c r="A151" t="s">
        <v>629</v>
      </c>
      <c r="B151" s="58" t="s">
        <v>630</v>
      </c>
      <c r="C151" s="6"/>
      <c r="D151" s="6" t="s">
        <v>311</v>
      </c>
      <c r="E151" s="92" t="s">
        <v>37</v>
      </c>
      <c r="F151" s="93">
        <v>20</v>
      </c>
      <c r="G151" s="92" t="s">
        <v>37</v>
      </c>
      <c r="H151" s="93">
        <v>88</v>
      </c>
      <c r="I151" s="92" t="s">
        <v>37</v>
      </c>
      <c r="J151" s="93">
        <v>88</v>
      </c>
      <c r="K151" s="94" t="s">
        <v>37</v>
      </c>
      <c r="L151" s="6">
        <v>1</v>
      </c>
      <c r="M151" s="6">
        <v>1</v>
      </c>
      <c r="N151" s="60" t="s">
        <v>312</v>
      </c>
      <c r="O151" s="60">
        <v>1</v>
      </c>
      <c r="P151" s="60">
        <v>1</v>
      </c>
      <c r="Q151" s="60">
        <v>1</v>
      </c>
      <c r="R151" s="60">
        <v>1</v>
      </c>
    </row>
    <row r="152" spans="1:18" x14ac:dyDescent="0.35">
      <c r="A152" t="s">
        <v>631</v>
      </c>
      <c r="B152" s="58" t="s">
        <v>632</v>
      </c>
      <c r="C152" s="6"/>
      <c r="D152" s="6" t="s">
        <v>37</v>
      </c>
      <c r="E152" s="92">
        <v>3.2258064516129032E-4</v>
      </c>
      <c r="F152" s="93" t="s">
        <v>37</v>
      </c>
      <c r="G152" s="92">
        <v>8.3870967741935479E-3</v>
      </c>
      <c r="H152" s="93" t="s">
        <v>37</v>
      </c>
      <c r="I152" s="92">
        <v>3.8709677419354839E-3</v>
      </c>
      <c r="J152" s="93" t="s">
        <v>37</v>
      </c>
      <c r="K152" s="94" t="s">
        <v>37</v>
      </c>
      <c r="L152" s="6">
        <v>1</v>
      </c>
      <c r="M152" s="6">
        <v>1</v>
      </c>
      <c r="N152" s="60" t="s">
        <v>312</v>
      </c>
      <c r="O152" s="60">
        <v>1</v>
      </c>
      <c r="P152" s="60">
        <v>1</v>
      </c>
      <c r="Q152" s="60">
        <v>1</v>
      </c>
      <c r="R152" s="60">
        <v>1</v>
      </c>
    </row>
    <row r="153" spans="1:18" x14ac:dyDescent="0.35">
      <c r="A153" t="s">
        <v>633</v>
      </c>
      <c r="B153" s="58" t="s">
        <v>634</v>
      </c>
      <c r="C153" s="6" t="s">
        <v>329</v>
      </c>
      <c r="D153" s="6" t="s">
        <v>37</v>
      </c>
      <c r="E153" s="92">
        <v>5.8823529411764701E-5</v>
      </c>
      <c r="F153" s="93" t="s">
        <v>37</v>
      </c>
      <c r="G153" s="92">
        <v>6.19047619047619E-4</v>
      </c>
      <c r="H153" s="93" t="s">
        <v>37</v>
      </c>
      <c r="I153" s="92">
        <v>1.1999999999999999E-3</v>
      </c>
      <c r="J153" s="93" t="s">
        <v>37</v>
      </c>
      <c r="K153" s="94" t="s">
        <v>37</v>
      </c>
      <c r="L153" s="6">
        <v>1</v>
      </c>
      <c r="M153" s="6">
        <v>1</v>
      </c>
      <c r="N153" s="60" t="s">
        <v>330</v>
      </c>
      <c r="O153" s="60">
        <v>1</v>
      </c>
      <c r="P153" s="60">
        <v>1</v>
      </c>
      <c r="Q153" s="60">
        <v>1</v>
      </c>
      <c r="R153" s="60">
        <v>1</v>
      </c>
    </row>
    <row r="154" spans="1:18" x14ac:dyDescent="0.35">
      <c r="A154" t="s">
        <v>635</v>
      </c>
      <c r="B154" s="58" t="s">
        <v>636</v>
      </c>
      <c r="C154" s="6" t="s">
        <v>329</v>
      </c>
      <c r="D154" s="6" t="s">
        <v>37</v>
      </c>
      <c r="E154" s="92">
        <v>1.2787723785166239E-4</v>
      </c>
      <c r="F154" s="93" t="s">
        <v>37</v>
      </c>
      <c r="G154" s="92">
        <v>1.3457556935817802E-3</v>
      </c>
      <c r="H154" s="93" t="s">
        <v>37</v>
      </c>
      <c r="I154" s="92">
        <v>2.6086956521739128E-3</v>
      </c>
      <c r="J154" s="93" t="s">
        <v>37</v>
      </c>
      <c r="K154" s="94" t="s">
        <v>37</v>
      </c>
      <c r="L154" s="6">
        <v>1</v>
      </c>
      <c r="M154" s="6">
        <v>1</v>
      </c>
      <c r="N154" s="60" t="s">
        <v>330</v>
      </c>
      <c r="O154" s="60">
        <v>1</v>
      </c>
      <c r="P154" s="60">
        <v>1</v>
      </c>
      <c r="Q154" s="60">
        <v>1</v>
      </c>
      <c r="R154" s="60">
        <v>1</v>
      </c>
    </row>
    <row r="155" spans="1:18" x14ac:dyDescent="0.35">
      <c r="A155" t="s">
        <v>637</v>
      </c>
      <c r="B155" s="58" t="s">
        <v>638</v>
      </c>
      <c r="C155" s="6"/>
      <c r="D155" s="6" t="s">
        <v>37</v>
      </c>
      <c r="E155" s="92">
        <v>0.38461538461538458</v>
      </c>
      <c r="F155" s="93" t="s">
        <v>37</v>
      </c>
      <c r="G155" s="92">
        <v>10</v>
      </c>
      <c r="H155" s="93" t="s">
        <v>37</v>
      </c>
      <c r="I155" s="92">
        <v>4.615384615384615</v>
      </c>
      <c r="J155" s="93" t="s">
        <v>37</v>
      </c>
      <c r="K155" s="94" t="s">
        <v>37</v>
      </c>
      <c r="L155" s="6">
        <v>1</v>
      </c>
      <c r="M155" s="6">
        <v>1</v>
      </c>
      <c r="N155" s="60" t="s">
        <v>312</v>
      </c>
      <c r="O155" s="60">
        <v>1</v>
      </c>
      <c r="P155" s="60">
        <v>1</v>
      </c>
      <c r="Q155" s="60">
        <v>1</v>
      </c>
      <c r="R155" s="60">
        <v>1</v>
      </c>
    </row>
    <row r="156" spans="1:18" x14ac:dyDescent="0.35">
      <c r="A156" t="s">
        <v>639</v>
      </c>
      <c r="B156" s="58" t="s">
        <v>640</v>
      </c>
      <c r="C156" s="6"/>
      <c r="D156" s="6" t="s">
        <v>37</v>
      </c>
      <c r="E156" s="92">
        <v>0.15873015873015872</v>
      </c>
      <c r="F156" s="93" t="s">
        <v>37</v>
      </c>
      <c r="G156" s="92">
        <v>4.1269841269841265</v>
      </c>
      <c r="H156" s="93" t="s">
        <v>37</v>
      </c>
      <c r="I156" s="92">
        <v>1.9047619047619047</v>
      </c>
      <c r="J156" s="93" t="s">
        <v>37</v>
      </c>
      <c r="K156" s="94" t="s">
        <v>37</v>
      </c>
      <c r="L156" s="6">
        <v>1</v>
      </c>
      <c r="M156" s="6">
        <v>1</v>
      </c>
      <c r="N156" s="60" t="s">
        <v>312</v>
      </c>
      <c r="O156" s="60">
        <v>1</v>
      </c>
      <c r="P156" s="60">
        <v>1</v>
      </c>
      <c r="Q156" s="60">
        <v>1</v>
      </c>
      <c r="R156" s="60">
        <v>1</v>
      </c>
    </row>
    <row r="157" spans="1:18" x14ac:dyDescent="0.35">
      <c r="A157" t="s">
        <v>641</v>
      </c>
      <c r="B157" s="58" t="s">
        <v>642</v>
      </c>
      <c r="C157" s="6"/>
      <c r="D157" s="6" t="s">
        <v>37</v>
      </c>
      <c r="E157" s="92">
        <v>5.0000000000000001E-4</v>
      </c>
      <c r="F157" s="93" t="s">
        <v>37</v>
      </c>
      <c r="G157" s="92">
        <v>1.3000000000000001E-2</v>
      </c>
      <c r="H157" s="93" t="s">
        <v>37</v>
      </c>
      <c r="I157" s="92">
        <v>6.0000000000000001E-3</v>
      </c>
      <c r="J157" s="93" t="s">
        <v>37</v>
      </c>
      <c r="K157" s="94" t="s">
        <v>37</v>
      </c>
      <c r="L157" s="6">
        <v>1</v>
      </c>
      <c r="M157" s="6">
        <v>1</v>
      </c>
      <c r="N157" s="60" t="s">
        <v>312</v>
      </c>
      <c r="O157" s="60">
        <v>1</v>
      </c>
      <c r="P157" s="60">
        <v>1</v>
      </c>
      <c r="Q157" s="60">
        <v>1</v>
      </c>
      <c r="R157" s="60">
        <v>1</v>
      </c>
    </row>
    <row r="158" spans="1:18" x14ac:dyDescent="0.35">
      <c r="A158" t="s">
        <v>643</v>
      </c>
      <c r="B158" s="58" t="s">
        <v>644</v>
      </c>
      <c r="C158" s="6"/>
      <c r="D158" s="6" t="s">
        <v>37</v>
      </c>
      <c r="E158" s="92">
        <v>1.5873015873015873E-4</v>
      </c>
      <c r="F158" s="93" t="s">
        <v>37</v>
      </c>
      <c r="G158" s="92">
        <v>4.1269841269841265E-3</v>
      </c>
      <c r="H158" s="93" t="s">
        <v>37</v>
      </c>
      <c r="I158" s="92">
        <v>1.9047619047619048E-3</v>
      </c>
      <c r="J158" s="93" t="s">
        <v>37</v>
      </c>
      <c r="K158" s="94" t="s">
        <v>37</v>
      </c>
      <c r="L158" s="6">
        <v>1</v>
      </c>
      <c r="M158" s="6">
        <v>1</v>
      </c>
      <c r="N158" s="60" t="s">
        <v>312</v>
      </c>
      <c r="O158" s="60">
        <v>1</v>
      </c>
      <c r="P158" s="60">
        <v>1</v>
      </c>
      <c r="Q158" s="60">
        <v>1</v>
      </c>
      <c r="R158" s="60">
        <v>1</v>
      </c>
    </row>
    <row r="159" spans="1:18" x14ac:dyDescent="0.35">
      <c r="A159" t="s">
        <v>645</v>
      </c>
      <c r="B159" s="58" t="s">
        <v>646</v>
      </c>
      <c r="C159" s="6"/>
      <c r="D159" s="6" t="s">
        <v>37</v>
      </c>
      <c r="E159" s="92">
        <v>5.263157894736842E-4</v>
      </c>
      <c r="F159" s="93" t="s">
        <v>37</v>
      </c>
      <c r="G159" s="92">
        <v>1.3684210526315788E-2</v>
      </c>
      <c r="H159" s="93" t="s">
        <v>37</v>
      </c>
      <c r="I159" s="92">
        <v>6.3157894736842104E-3</v>
      </c>
      <c r="J159" s="93" t="s">
        <v>37</v>
      </c>
      <c r="K159" s="94" t="s">
        <v>37</v>
      </c>
      <c r="L159" s="6">
        <v>1</v>
      </c>
      <c r="M159" s="6">
        <v>1</v>
      </c>
      <c r="N159" s="60" t="s">
        <v>312</v>
      </c>
      <c r="O159" s="60">
        <v>1</v>
      </c>
      <c r="P159" s="60">
        <v>1</v>
      </c>
      <c r="Q159" s="60">
        <v>1</v>
      </c>
      <c r="R159" s="60">
        <v>1</v>
      </c>
    </row>
    <row r="160" spans="1:18" x14ac:dyDescent="0.35">
      <c r="A160" t="s">
        <v>647</v>
      </c>
      <c r="B160" s="58" t="s">
        <v>648</v>
      </c>
      <c r="C160" s="6"/>
      <c r="D160" s="6" t="s">
        <v>37</v>
      </c>
      <c r="E160" s="92">
        <v>3.7037037037037035E-4</v>
      </c>
      <c r="F160" s="93" t="s">
        <v>37</v>
      </c>
      <c r="G160" s="92">
        <v>9.6296296296296286E-3</v>
      </c>
      <c r="H160" s="93" t="s">
        <v>37</v>
      </c>
      <c r="I160" s="92">
        <v>4.4444444444444444E-3</v>
      </c>
      <c r="J160" s="93" t="s">
        <v>37</v>
      </c>
      <c r="K160" s="94" t="s">
        <v>37</v>
      </c>
      <c r="L160" s="6">
        <v>1</v>
      </c>
      <c r="M160" s="6">
        <v>1</v>
      </c>
      <c r="N160" s="60" t="s">
        <v>312</v>
      </c>
      <c r="O160" s="60">
        <v>1</v>
      </c>
      <c r="P160" s="60">
        <v>1</v>
      </c>
      <c r="Q160" s="60">
        <v>1</v>
      </c>
      <c r="R160" s="60">
        <v>1</v>
      </c>
    </row>
    <row r="161" spans="1:18" x14ac:dyDescent="0.35">
      <c r="A161" t="s">
        <v>649</v>
      </c>
      <c r="B161" s="58" t="s">
        <v>650</v>
      </c>
      <c r="C161" s="6"/>
      <c r="D161" s="6" t="s">
        <v>37</v>
      </c>
      <c r="E161" s="92">
        <v>1.6666666666666668E-3</v>
      </c>
      <c r="F161" s="93" t="s">
        <v>37</v>
      </c>
      <c r="G161" s="92">
        <v>4.3333333333333335E-2</v>
      </c>
      <c r="H161" s="93" t="s">
        <v>37</v>
      </c>
      <c r="I161" s="92">
        <v>0.02</v>
      </c>
      <c r="J161" s="93" t="s">
        <v>37</v>
      </c>
      <c r="K161" s="94" t="s">
        <v>37</v>
      </c>
      <c r="L161" s="6">
        <v>1</v>
      </c>
      <c r="M161" s="6">
        <v>1</v>
      </c>
      <c r="N161" s="60" t="s">
        <v>312</v>
      </c>
      <c r="O161" s="60">
        <v>1</v>
      </c>
      <c r="P161" s="60">
        <v>1</v>
      </c>
      <c r="Q161" s="60">
        <v>1</v>
      </c>
      <c r="R161" s="60">
        <v>1</v>
      </c>
    </row>
    <row r="162" spans="1:18" ht="29" x14ac:dyDescent="0.35">
      <c r="A162" t="s">
        <v>651</v>
      </c>
      <c r="B162" s="58" t="s">
        <v>652</v>
      </c>
      <c r="C162" s="6"/>
      <c r="D162" s="6" t="s">
        <v>311</v>
      </c>
      <c r="E162" s="92" t="s">
        <v>37</v>
      </c>
      <c r="F162" s="93" t="s">
        <v>37</v>
      </c>
      <c r="G162" s="92" t="s">
        <v>37</v>
      </c>
      <c r="H162" s="93" t="s">
        <v>37</v>
      </c>
      <c r="I162" s="92" t="s">
        <v>37</v>
      </c>
      <c r="J162" s="93" t="s">
        <v>37</v>
      </c>
      <c r="K162" s="94">
        <v>120</v>
      </c>
      <c r="L162" s="6">
        <v>1</v>
      </c>
      <c r="M162" s="6">
        <v>1</v>
      </c>
      <c r="N162" s="60" t="s">
        <v>312</v>
      </c>
      <c r="O162" s="60">
        <v>1</v>
      </c>
      <c r="P162" s="60">
        <v>1</v>
      </c>
      <c r="Q162" s="60">
        <v>1</v>
      </c>
      <c r="R162" s="60">
        <v>1</v>
      </c>
    </row>
    <row r="163" spans="1:18" x14ac:dyDescent="0.35">
      <c r="A163" t="s">
        <v>653</v>
      </c>
      <c r="B163" s="58" t="s">
        <v>654</v>
      </c>
      <c r="C163" s="6"/>
      <c r="D163" s="6" t="s">
        <v>311</v>
      </c>
      <c r="E163" s="92" t="s">
        <v>37</v>
      </c>
      <c r="F163" s="93" t="s">
        <v>37</v>
      </c>
      <c r="G163" s="92" t="s">
        <v>37</v>
      </c>
      <c r="H163" s="93" t="s">
        <v>37</v>
      </c>
      <c r="I163" s="92" t="s">
        <v>37</v>
      </c>
      <c r="J163" s="93" t="s">
        <v>37</v>
      </c>
      <c r="K163" s="94">
        <v>0.02</v>
      </c>
      <c r="L163" s="6">
        <v>1</v>
      </c>
      <c r="M163" s="6">
        <v>1</v>
      </c>
      <c r="N163" s="60" t="s">
        <v>312</v>
      </c>
      <c r="O163" s="60">
        <v>1</v>
      </c>
      <c r="P163" s="60">
        <v>1</v>
      </c>
      <c r="Q163" s="60">
        <v>1</v>
      </c>
      <c r="R163" s="60">
        <v>1</v>
      </c>
    </row>
    <row r="164" spans="1:18" x14ac:dyDescent="0.35">
      <c r="A164" t="s">
        <v>655</v>
      </c>
      <c r="B164" s="58" t="s">
        <v>656</v>
      </c>
      <c r="C164" s="6"/>
      <c r="D164" s="6" t="s">
        <v>37</v>
      </c>
      <c r="E164" s="92">
        <v>0.19607843137254899</v>
      </c>
      <c r="F164" s="93" t="s">
        <v>37</v>
      </c>
      <c r="G164" s="92">
        <v>5.0980392156862742</v>
      </c>
      <c r="H164" s="93" t="s">
        <v>37</v>
      </c>
      <c r="I164" s="92">
        <v>2.3529411764705879</v>
      </c>
      <c r="J164" s="93" t="s">
        <v>37</v>
      </c>
      <c r="K164" s="94" t="s">
        <v>37</v>
      </c>
      <c r="L164" s="6">
        <v>1</v>
      </c>
      <c r="M164" s="6">
        <v>1</v>
      </c>
      <c r="N164" s="60" t="s">
        <v>312</v>
      </c>
      <c r="O164" s="60">
        <v>1</v>
      </c>
      <c r="P164" s="60">
        <v>1</v>
      </c>
      <c r="Q164" s="60">
        <v>1</v>
      </c>
      <c r="R164" s="60">
        <v>1</v>
      </c>
    </row>
    <row r="165" spans="1:18" x14ac:dyDescent="0.35">
      <c r="A165" t="s">
        <v>657</v>
      </c>
      <c r="B165" s="58" t="s">
        <v>658</v>
      </c>
      <c r="C165" s="6"/>
      <c r="D165" s="6" t="s">
        <v>311</v>
      </c>
      <c r="E165" s="92" t="s">
        <v>37</v>
      </c>
      <c r="F165" s="93">
        <v>200</v>
      </c>
      <c r="G165" s="92" t="s">
        <v>37</v>
      </c>
      <c r="H165" s="93">
        <v>880.00000000000011</v>
      </c>
      <c r="I165" s="92" t="s">
        <v>37</v>
      </c>
      <c r="J165" s="93">
        <v>880.00000000000011</v>
      </c>
      <c r="K165" s="94">
        <v>5800</v>
      </c>
      <c r="L165" s="6">
        <v>1</v>
      </c>
      <c r="M165" s="6">
        <v>1</v>
      </c>
      <c r="N165" s="60" t="s">
        <v>312</v>
      </c>
      <c r="O165" s="60">
        <v>1</v>
      </c>
      <c r="P165" s="60">
        <v>1</v>
      </c>
      <c r="Q165" s="60">
        <v>1</v>
      </c>
      <c r="R165" s="60">
        <v>1</v>
      </c>
    </row>
    <row r="166" spans="1:18" x14ac:dyDescent="0.35">
      <c r="A166" t="s">
        <v>659</v>
      </c>
      <c r="B166" s="58" t="s">
        <v>660</v>
      </c>
      <c r="C166" s="6"/>
      <c r="D166" s="6" t="s">
        <v>311</v>
      </c>
      <c r="E166" s="92" t="s">
        <v>37</v>
      </c>
      <c r="F166" s="93">
        <v>0.3</v>
      </c>
      <c r="G166" s="92" t="s">
        <v>37</v>
      </c>
      <c r="H166" s="93">
        <v>1.32</v>
      </c>
      <c r="I166" s="92" t="s">
        <v>37</v>
      </c>
      <c r="J166" s="93">
        <v>1.32</v>
      </c>
      <c r="K166" s="94">
        <v>4</v>
      </c>
      <c r="L166" s="6">
        <v>1</v>
      </c>
      <c r="M166" s="6">
        <v>1</v>
      </c>
      <c r="N166" s="60" t="s">
        <v>312</v>
      </c>
      <c r="O166" s="60">
        <v>1</v>
      </c>
      <c r="P166" s="60">
        <v>1</v>
      </c>
      <c r="Q166" s="60">
        <v>1</v>
      </c>
      <c r="R166" s="60">
        <v>1</v>
      </c>
    </row>
    <row r="167" spans="1:18" x14ac:dyDescent="0.35">
      <c r="A167" t="s">
        <v>661</v>
      </c>
      <c r="B167" s="58" t="s">
        <v>662</v>
      </c>
      <c r="C167" s="6"/>
      <c r="D167" s="6" t="s">
        <v>311</v>
      </c>
      <c r="E167" s="92" t="s">
        <v>37</v>
      </c>
      <c r="F167" s="93">
        <v>0.8</v>
      </c>
      <c r="G167" s="92" t="s">
        <v>37</v>
      </c>
      <c r="H167" s="93">
        <v>3.5200000000000005</v>
      </c>
      <c r="I167" s="92" t="s">
        <v>37</v>
      </c>
      <c r="J167" s="93">
        <v>3.5200000000000005</v>
      </c>
      <c r="K167" s="94" t="s">
        <v>37</v>
      </c>
      <c r="L167" s="6">
        <v>1</v>
      </c>
      <c r="M167" s="6">
        <v>1</v>
      </c>
      <c r="N167" s="60" t="s">
        <v>312</v>
      </c>
      <c r="O167" s="60">
        <v>1</v>
      </c>
      <c r="P167" s="60">
        <v>1</v>
      </c>
      <c r="Q167" s="60">
        <v>1</v>
      </c>
      <c r="R167" s="60">
        <v>1</v>
      </c>
    </row>
    <row r="168" spans="1:18" x14ac:dyDescent="0.35">
      <c r="A168" t="s">
        <v>663</v>
      </c>
      <c r="B168" s="58" t="s">
        <v>664</v>
      </c>
      <c r="C168" s="6"/>
      <c r="D168" s="6" t="s">
        <v>311</v>
      </c>
      <c r="E168" s="92" t="s">
        <v>37</v>
      </c>
      <c r="F168" s="93">
        <v>10</v>
      </c>
      <c r="G168" s="92" t="s">
        <v>37</v>
      </c>
      <c r="H168" s="93">
        <v>44</v>
      </c>
      <c r="I168" s="92" t="s">
        <v>37</v>
      </c>
      <c r="J168" s="93">
        <v>44</v>
      </c>
      <c r="K168" s="94" t="s">
        <v>37</v>
      </c>
      <c r="L168" s="6">
        <v>1</v>
      </c>
      <c r="M168" s="6">
        <v>1</v>
      </c>
      <c r="N168" s="60" t="s">
        <v>312</v>
      </c>
      <c r="O168" s="60">
        <v>1</v>
      </c>
      <c r="P168" s="60">
        <v>1</v>
      </c>
      <c r="Q168" s="60">
        <v>1</v>
      </c>
      <c r="R168" s="60">
        <v>1</v>
      </c>
    </row>
    <row r="169" spans="1:18" x14ac:dyDescent="0.35">
      <c r="A169" t="s">
        <v>665</v>
      </c>
      <c r="B169" s="58" t="s">
        <v>666</v>
      </c>
      <c r="C169" s="6"/>
      <c r="D169" s="6" t="s">
        <v>311</v>
      </c>
      <c r="E169" s="92" t="s">
        <v>37</v>
      </c>
      <c r="F169" s="93">
        <v>9</v>
      </c>
      <c r="G169" s="92" t="s">
        <v>37</v>
      </c>
      <c r="H169" s="93">
        <v>39.6</v>
      </c>
      <c r="I169" s="92" t="s">
        <v>37</v>
      </c>
      <c r="J169" s="93">
        <v>39.6</v>
      </c>
      <c r="K169" s="94">
        <v>20</v>
      </c>
      <c r="L169" s="6">
        <v>1</v>
      </c>
      <c r="M169" s="6">
        <v>1</v>
      </c>
      <c r="N169" s="60" t="s">
        <v>312</v>
      </c>
      <c r="O169" s="60">
        <v>1</v>
      </c>
      <c r="P169" s="60">
        <v>1</v>
      </c>
      <c r="Q169" s="60">
        <v>1</v>
      </c>
      <c r="R169" s="60">
        <v>1</v>
      </c>
    </row>
    <row r="170" spans="1:18" x14ac:dyDescent="0.35">
      <c r="A170" t="s">
        <v>667</v>
      </c>
      <c r="B170" s="58" t="s">
        <v>668</v>
      </c>
      <c r="C170" s="6"/>
      <c r="D170" s="6" t="s">
        <v>311</v>
      </c>
      <c r="E170" s="92" t="s">
        <v>37</v>
      </c>
      <c r="F170" s="93">
        <v>20</v>
      </c>
      <c r="G170" s="92" t="s">
        <v>37</v>
      </c>
      <c r="H170" s="93">
        <v>88</v>
      </c>
      <c r="I170" s="92" t="s">
        <v>37</v>
      </c>
      <c r="J170" s="93">
        <v>88</v>
      </c>
      <c r="K170" s="94" t="s">
        <v>37</v>
      </c>
      <c r="L170" s="6">
        <v>1</v>
      </c>
      <c r="M170" s="6">
        <v>1</v>
      </c>
      <c r="N170" s="60" t="s">
        <v>312</v>
      </c>
      <c r="O170" s="60">
        <v>1</v>
      </c>
      <c r="P170" s="60">
        <v>1</v>
      </c>
      <c r="Q170" s="60">
        <v>1</v>
      </c>
      <c r="R170" s="60">
        <v>1</v>
      </c>
    </row>
    <row r="171" spans="1:18" ht="29" x14ac:dyDescent="0.35">
      <c r="A171">
        <v>447</v>
      </c>
      <c r="B171" s="58" t="s">
        <v>669</v>
      </c>
      <c r="C171" s="6" t="s">
        <v>670</v>
      </c>
      <c r="D171" s="6" t="s">
        <v>311</v>
      </c>
      <c r="E171" s="92" t="s">
        <v>37</v>
      </c>
      <c r="F171" s="93" t="s">
        <v>37</v>
      </c>
      <c r="G171" s="92" t="s">
        <v>37</v>
      </c>
      <c r="H171" s="93" t="s">
        <v>37</v>
      </c>
      <c r="I171" s="92" t="s">
        <v>37</v>
      </c>
      <c r="J171" s="93" t="s">
        <v>37</v>
      </c>
      <c r="K171" s="94">
        <v>6</v>
      </c>
      <c r="L171" s="6">
        <v>1</v>
      </c>
      <c r="M171" s="6">
        <v>1</v>
      </c>
      <c r="N171" s="60" t="s">
        <v>312</v>
      </c>
      <c r="O171" s="60">
        <v>1</v>
      </c>
      <c r="P171" s="60">
        <v>1</v>
      </c>
      <c r="Q171" s="60">
        <v>1</v>
      </c>
      <c r="R171" s="60">
        <v>1</v>
      </c>
    </row>
    <row r="172" spans="1:18" ht="29" x14ac:dyDescent="0.35">
      <c r="A172" t="s">
        <v>671</v>
      </c>
      <c r="B172" s="58" t="s">
        <v>672</v>
      </c>
      <c r="C172" s="6" t="s">
        <v>389</v>
      </c>
      <c r="D172" s="6" t="s">
        <v>37</v>
      </c>
      <c r="E172" s="92">
        <v>5.2631578947368409E-4</v>
      </c>
      <c r="F172" s="93" t="s">
        <v>37</v>
      </c>
      <c r="G172" s="92">
        <v>1.9999999999999997E-2</v>
      </c>
      <c r="H172" s="93" t="s">
        <v>37</v>
      </c>
      <c r="I172" s="92">
        <v>9.2307692307692299E-3</v>
      </c>
      <c r="J172" s="93" t="s">
        <v>37</v>
      </c>
      <c r="K172" s="94" t="s">
        <v>37</v>
      </c>
      <c r="L172" s="6">
        <v>1</v>
      </c>
      <c r="M172" s="6">
        <v>1</v>
      </c>
      <c r="N172" s="60" t="s">
        <v>312</v>
      </c>
      <c r="O172" s="60">
        <v>19</v>
      </c>
      <c r="P172" s="60">
        <v>13</v>
      </c>
      <c r="Q172" s="60">
        <v>240</v>
      </c>
      <c r="R172" s="60">
        <v>11</v>
      </c>
    </row>
    <row r="173" spans="1:18" ht="29" x14ac:dyDescent="0.35">
      <c r="A173">
        <v>645</v>
      </c>
      <c r="B173" s="58" t="s">
        <v>673</v>
      </c>
      <c r="C173" s="6" t="s">
        <v>389</v>
      </c>
      <c r="D173" s="6" t="s">
        <v>311</v>
      </c>
      <c r="E173" s="92">
        <v>1.0121457489878541E-9</v>
      </c>
      <c r="F173" s="93">
        <v>1.2903225806451614E-7</v>
      </c>
      <c r="G173" s="92">
        <v>9.0027700831024925E-8</v>
      </c>
      <c r="H173" s="93">
        <v>2.6268656716417917E-5</v>
      </c>
      <c r="I173" s="92">
        <v>4.1551246537396121E-8</v>
      </c>
      <c r="J173" s="93">
        <v>2.6268656716417913E-5</v>
      </c>
      <c r="K173" s="94" t="s">
        <v>37</v>
      </c>
      <c r="L173" s="6">
        <v>1</v>
      </c>
      <c r="M173" s="6">
        <v>1</v>
      </c>
      <c r="N173" s="60" t="s">
        <v>312</v>
      </c>
      <c r="O173" s="60">
        <v>26</v>
      </c>
      <c r="P173" s="60">
        <v>7.6</v>
      </c>
      <c r="Q173" s="60">
        <v>310</v>
      </c>
      <c r="R173" s="60">
        <v>6.7</v>
      </c>
    </row>
    <row r="174" spans="1:18" ht="29" x14ac:dyDescent="0.35">
      <c r="A174" t="s">
        <v>674</v>
      </c>
      <c r="B174" s="58" t="s">
        <v>675</v>
      </c>
      <c r="C174" s="6" t="s">
        <v>389</v>
      </c>
      <c r="D174" s="6" t="s">
        <v>311</v>
      </c>
      <c r="E174" s="92">
        <v>1.0121457489878541E-5</v>
      </c>
      <c r="F174" s="93">
        <v>1.2903225806451613E-3</v>
      </c>
      <c r="G174" s="92">
        <v>9.0027700831024919E-4</v>
      </c>
      <c r="H174" s="93">
        <v>0.2626865671641791</v>
      </c>
      <c r="I174" s="92">
        <v>4.1551246537396109E-4</v>
      </c>
      <c r="J174" s="93">
        <v>0.26268656716417915</v>
      </c>
      <c r="K174" s="94" t="s">
        <v>37</v>
      </c>
      <c r="L174" s="6">
        <v>1</v>
      </c>
      <c r="M174" s="6">
        <v>1</v>
      </c>
      <c r="N174" s="60" t="s">
        <v>312</v>
      </c>
      <c r="O174" s="60">
        <v>26</v>
      </c>
      <c r="P174" s="60">
        <v>7.6</v>
      </c>
      <c r="Q174" s="60">
        <v>310</v>
      </c>
      <c r="R174" s="60">
        <v>6.7</v>
      </c>
    </row>
    <row r="175" spans="1:18" ht="29" x14ac:dyDescent="0.35">
      <c r="A175" t="s">
        <v>676</v>
      </c>
      <c r="B175" s="58" t="s">
        <v>677</v>
      </c>
      <c r="C175" s="6" t="s">
        <v>389</v>
      </c>
      <c r="D175" s="6" t="s">
        <v>311</v>
      </c>
      <c r="E175" s="92">
        <v>3.3738191632928472E-6</v>
      </c>
      <c r="F175" s="93">
        <v>4.1935483870967743E-4</v>
      </c>
      <c r="G175" s="92">
        <v>3.0009233610341643E-4</v>
      </c>
      <c r="H175" s="93">
        <v>8.5373134328358205E-2</v>
      </c>
      <c r="I175" s="92">
        <v>1.3850415512465375E-4</v>
      </c>
      <c r="J175" s="93">
        <v>8.5373134328358219E-2</v>
      </c>
      <c r="K175" s="94" t="s">
        <v>37</v>
      </c>
      <c r="L175" s="6">
        <v>1</v>
      </c>
      <c r="M175" s="6">
        <v>1</v>
      </c>
      <c r="N175" s="60" t="s">
        <v>312</v>
      </c>
      <c r="O175" s="60">
        <v>26</v>
      </c>
      <c r="P175" s="60">
        <v>7.6</v>
      </c>
      <c r="Q175" s="60">
        <v>310</v>
      </c>
      <c r="R175" s="60">
        <v>6.7</v>
      </c>
    </row>
    <row r="176" spans="1:18" ht="29" x14ac:dyDescent="0.35">
      <c r="A176" t="s">
        <v>678</v>
      </c>
      <c r="B176" s="58" t="s">
        <v>679</v>
      </c>
      <c r="C176" s="6" t="s">
        <v>389</v>
      </c>
      <c r="D176" s="6" t="s">
        <v>311</v>
      </c>
      <c r="E176" s="92">
        <v>3.3738191632928474E-5</v>
      </c>
      <c r="F176" s="93">
        <v>4.193548387096774E-3</v>
      </c>
      <c r="G176" s="92">
        <v>3.0009233610341643E-3</v>
      </c>
      <c r="H176" s="93">
        <v>0.85373134328358213</v>
      </c>
      <c r="I176" s="92">
        <v>1.3850415512465372E-3</v>
      </c>
      <c r="J176" s="93">
        <v>0.85373134328358213</v>
      </c>
      <c r="K176" s="94" t="s">
        <v>37</v>
      </c>
      <c r="L176" s="6">
        <v>1</v>
      </c>
      <c r="M176" s="6">
        <v>1</v>
      </c>
      <c r="N176" s="60" t="s">
        <v>312</v>
      </c>
      <c r="O176" s="60">
        <v>26</v>
      </c>
      <c r="P176" s="60">
        <v>7.6</v>
      </c>
      <c r="Q176" s="60">
        <v>310</v>
      </c>
      <c r="R176" s="60">
        <v>6.7</v>
      </c>
    </row>
    <row r="177" spans="1:18" ht="29" x14ac:dyDescent="0.35">
      <c r="A177" t="s">
        <v>680</v>
      </c>
      <c r="B177" s="58" t="s">
        <v>681</v>
      </c>
      <c r="C177" s="6" t="s">
        <v>389</v>
      </c>
      <c r="D177" s="6" t="s">
        <v>311</v>
      </c>
      <c r="E177" s="92">
        <v>3.3738191632928474E-5</v>
      </c>
      <c r="F177" s="93">
        <v>4.193548387096774E-3</v>
      </c>
      <c r="G177" s="92">
        <v>3.0009233610341643E-3</v>
      </c>
      <c r="H177" s="93">
        <v>0.85373134328358213</v>
      </c>
      <c r="I177" s="92">
        <v>1.3850415512465372E-3</v>
      </c>
      <c r="J177" s="93">
        <v>0.85373134328358213</v>
      </c>
      <c r="K177" s="94" t="s">
        <v>37</v>
      </c>
      <c r="L177" s="6">
        <v>1</v>
      </c>
      <c r="M177" s="6">
        <v>1</v>
      </c>
      <c r="N177" s="60" t="s">
        <v>312</v>
      </c>
      <c r="O177" s="60">
        <v>26</v>
      </c>
      <c r="P177" s="60">
        <v>7.6</v>
      </c>
      <c r="Q177" s="60">
        <v>310</v>
      </c>
      <c r="R177" s="60">
        <v>6.7</v>
      </c>
    </row>
    <row r="178" spans="1:18" ht="29" x14ac:dyDescent="0.35">
      <c r="A178" t="s">
        <v>682</v>
      </c>
      <c r="B178" s="58" t="s">
        <v>683</v>
      </c>
      <c r="C178" s="6" t="s">
        <v>389</v>
      </c>
      <c r="D178" s="6" t="s">
        <v>311</v>
      </c>
      <c r="E178" s="92">
        <v>3.3738191632928474E-5</v>
      </c>
      <c r="F178" s="93">
        <v>4.193548387096774E-3</v>
      </c>
      <c r="G178" s="92">
        <v>3.0009233610341643E-3</v>
      </c>
      <c r="H178" s="93">
        <v>0.85373134328358213</v>
      </c>
      <c r="I178" s="92">
        <v>1.3850415512465372E-3</v>
      </c>
      <c r="J178" s="93">
        <v>0.85373134328358213</v>
      </c>
      <c r="K178" s="94" t="s">
        <v>37</v>
      </c>
      <c r="L178" s="6">
        <v>1</v>
      </c>
      <c r="M178" s="6">
        <v>1</v>
      </c>
      <c r="N178" s="60" t="s">
        <v>312</v>
      </c>
      <c r="O178" s="60">
        <v>26</v>
      </c>
      <c r="P178" s="60">
        <v>7.6</v>
      </c>
      <c r="Q178" s="60">
        <v>310</v>
      </c>
      <c r="R178" s="60">
        <v>6.7</v>
      </c>
    </row>
    <row r="179" spans="1:18" ht="29" x14ac:dyDescent="0.35">
      <c r="A179" t="s">
        <v>684</v>
      </c>
      <c r="B179" s="58" t="s">
        <v>685</v>
      </c>
      <c r="C179" s="6" t="s">
        <v>389</v>
      </c>
      <c r="D179" s="6" t="s">
        <v>311</v>
      </c>
      <c r="E179" s="92">
        <v>3.3738191632928474E-5</v>
      </c>
      <c r="F179" s="93">
        <v>4.193548387096774E-3</v>
      </c>
      <c r="G179" s="92">
        <v>3.0009233610341643E-3</v>
      </c>
      <c r="H179" s="93">
        <v>0.85373134328358213</v>
      </c>
      <c r="I179" s="92">
        <v>1.3850415512465372E-3</v>
      </c>
      <c r="J179" s="93">
        <v>0.85373134328358213</v>
      </c>
      <c r="K179" s="94" t="s">
        <v>37</v>
      </c>
      <c r="L179" s="6">
        <v>1</v>
      </c>
      <c r="M179" s="6">
        <v>1</v>
      </c>
      <c r="N179" s="60" t="s">
        <v>312</v>
      </c>
      <c r="O179" s="60">
        <v>26</v>
      </c>
      <c r="P179" s="60">
        <v>7.6</v>
      </c>
      <c r="Q179" s="60">
        <v>310</v>
      </c>
      <c r="R179" s="60">
        <v>6.7</v>
      </c>
    </row>
    <row r="180" spans="1:18" ht="29" x14ac:dyDescent="0.35">
      <c r="A180" t="s">
        <v>686</v>
      </c>
      <c r="B180" s="58" t="s">
        <v>687</v>
      </c>
      <c r="C180" s="6" t="s">
        <v>389</v>
      </c>
      <c r="D180" s="6" t="s">
        <v>311</v>
      </c>
      <c r="E180" s="92">
        <v>1.0121457489878542E-8</v>
      </c>
      <c r="F180" s="93">
        <v>1.2903225806451614E-6</v>
      </c>
      <c r="G180" s="92">
        <v>9.0027700831024923E-7</v>
      </c>
      <c r="H180" s="93">
        <v>2.6268656716417916E-4</v>
      </c>
      <c r="I180" s="92">
        <v>4.1551246537396122E-7</v>
      </c>
      <c r="J180" s="93">
        <v>2.6268656716417916E-4</v>
      </c>
      <c r="K180" s="94" t="s">
        <v>37</v>
      </c>
      <c r="L180" s="6">
        <v>1</v>
      </c>
      <c r="M180" s="6">
        <v>1</v>
      </c>
      <c r="N180" s="60" t="s">
        <v>312</v>
      </c>
      <c r="O180" s="60">
        <v>26</v>
      </c>
      <c r="P180" s="60">
        <v>7.6</v>
      </c>
      <c r="Q180" s="60">
        <v>310</v>
      </c>
      <c r="R180" s="60">
        <v>6.7</v>
      </c>
    </row>
    <row r="181" spans="1:18" ht="29" x14ac:dyDescent="0.35">
      <c r="A181" t="s">
        <v>688</v>
      </c>
      <c r="B181" s="58" t="s">
        <v>689</v>
      </c>
      <c r="C181" s="6" t="s">
        <v>389</v>
      </c>
      <c r="D181" s="6" t="s">
        <v>311</v>
      </c>
      <c r="E181" s="92">
        <v>3.3738191632928474E-5</v>
      </c>
      <c r="F181" s="93">
        <v>4.193548387096774E-3</v>
      </c>
      <c r="G181" s="92">
        <v>3.0009233610341643E-3</v>
      </c>
      <c r="H181" s="93">
        <v>0.85373134328358213</v>
      </c>
      <c r="I181" s="92">
        <v>1.3850415512465372E-3</v>
      </c>
      <c r="J181" s="93">
        <v>0.85373134328358213</v>
      </c>
      <c r="K181" s="94" t="s">
        <v>37</v>
      </c>
      <c r="L181" s="6">
        <v>1</v>
      </c>
      <c r="M181" s="6">
        <v>1</v>
      </c>
      <c r="N181" s="60" t="s">
        <v>312</v>
      </c>
      <c r="O181" s="60">
        <v>26</v>
      </c>
      <c r="P181" s="60">
        <v>7.6</v>
      </c>
      <c r="Q181" s="60">
        <v>310</v>
      </c>
      <c r="R181" s="60">
        <v>6.7</v>
      </c>
    </row>
    <row r="182" spans="1:18" ht="29" x14ac:dyDescent="0.35">
      <c r="A182" t="s">
        <v>690</v>
      </c>
      <c r="B182" s="58" t="s">
        <v>691</v>
      </c>
      <c r="C182" s="6" t="s">
        <v>389</v>
      </c>
      <c r="D182" s="6" t="s">
        <v>311</v>
      </c>
      <c r="E182" s="92">
        <v>3.3738191632928474E-5</v>
      </c>
      <c r="F182" s="93">
        <v>4.193548387096774E-3</v>
      </c>
      <c r="G182" s="92">
        <v>3.0009233610341643E-3</v>
      </c>
      <c r="H182" s="93">
        <v>0.85373134328358213</v>
      </c>
      <c r="I182" s="92">
        <v>1.3850415512465372E-3</v>
      </c>
      <c r="J182" s="93">
        <v>0.85373134328358213</v>
      </c>
      <c r="K182" s="94" t="s">
        <v>37</v>
      </c>
      <c r="L182" s="6">
        <v>1</v>
      </c>
      <c r="M182" s="6">
        <v>1</v>
      </c>
      <c r="N182" s="60" t="s">
        <v>312</v>
      </c>
      <c r="O182" s="60">
        <v>26</v>
      </c>
      <c r="P182" s="60">
        <v>7.6</v>
      </c>
      <c r="Q182" s="60">
        <v>310</v>
      </c>
      <c r="R182" s="60">
        <v>6.7</v>
      </c>
    </row>
    <row r="183" spans="1:18" ht="29" x14ac:dyDescent="0.35">
      <c r="A183" t="s">
        <v>692</v>
      </c>
      <c r="B183" s="58" t="s">
        <v>693</v>
      </c>
      <c r="C183" s="6" t="s">
        <v>389</v>
      </c>
      <c r="D183" s="6" t="s">
        <v>311</v>
      </c>
      <c r="E183" s="92">
        <v>3.3738191632928474E-5</v>
      </c>
      <c r="F183" s="93">
        <v>4.193548387096774E-3</v>
      </c>
      <c r="G183" s="92">
        <v>3.0009233610341643E-3</v>
      </c>
      <c r="H183" s="93">
        <v>0.85373134328358213</v>
      </c>
      <c r="I183" s="92">
        <v>1.3850415512465372E-3</v>
      </c>
      <c r="J183" s="93">
        <v>0.85373134328358213</v>
      </c>
      <c r="K183" s="94" t="s">
        <v>37</v>
      </c>
      <c r="L183" s="6">
        <v>1</v>
      </c>
      <c r="M183" s="6">
        <v>1</v>
      </c>
      <c r="N183" s="60" t="s">
        <v>312</v>
      </c>
      <c r="O183" s="60">
        <v>26</v>
      </c>
      <c r="P183" s="60">
        <v>7.6</v>
      </c>
      <c r="Q183" s="60">
        <v>310</v>
      </c>
      <c r="R183" s="60">
        <v>6.7</v>
      </c>
    </row>
    <row r="184" spans="1:18" ht="29" x14ac:dyDescent="0.35">
      <c r="A184" t="s">
        <v>694</v>
      </c>
      <c r="B184" s="58" t="s">
        <v>695</v>
      </c>
      <c r="C184" s="6" t="s">
        <v>389</v>
      </c>
      <c r="D184" s="6" t="s">
        <v>311</v>
      </c>
      <c r="E184" s="92">
        <v>3.3738191632928474E-8</v>
      </c>
      <c r="F184" s="93">
        <v>4.1935483870967744E-6</v>
      </c>
      <c r="G184" s="92">
        <v>3.0009233610341641E-6</v>
      </c>
      <c r="H184" s="93">
        <v>8.5373134328358216E-4</v>
      </c>
      <c r="I184" s="92">
        <v>1.3850415512465373E-6</v>
      </c>
      <c r="J184" s="93">
        <v>8.5373134328358216E-4</v>
      </c>
      <c r="K184" s="94" t="s">
        <v>37</v>
      </c>
      <c r="L184" s="6">
        <v>1</v>
      </c>
      <c r="M184" s="6">
        <v>1</v>
      </c>
      <c r="N184" s="60" t="s">
        <v>312</v>
      </c>
      <c r="O184" s="60">
        <v>26</v>
      </c>
      <c r="P184" s="60">
        <v>7.6</v>
      </c>
      <c r="Q184" s="60">
        <v>310</v>
      </c>
      <c r="R184" s="60">
        <v>6.7</v>
      </c>
    </row>
    <row r="185" spans="1:18" ht="29" x14ac:dyDescent="0.35">
      <c r="A185" t="s">
        <v>696</v>
      </c>
      <c r="B185" s="58" t="s">
        <v>697</v>
      </c>
      <c r="C185" s="6" t="s">
        <v>389</v>
      </c>
      <c r="D185" s="6" t="s">
        <v>311</v>
      </c>
      <c r="E185" s="92">
        <v>3.3738191632928474E-5</v>
      </c>
      <c r="F185" s="93">
        <v>4.193548387096774E-3</v>
      </c>
      <c r="G185" s="92">
        <v>3.0009233610341643E-3</v>
      </c>
      <c r="H185" s="93">
        <v>0.85373134328358213</v>
      </c>
      <c r="I185" s="92">
        <v>1.3850415512465372E-3</v>
      </c>
      <c r="J185" s="93">
        <v>0.85373134328358213</v>
      </c>
      <c r="K185" s="94" t="s">
        <v>37</v>
      </c>
      <c r="L185" s="6">
        <v>1</v>
      </c>
      <c r="M185" s="6">
        <v>1</v>
      </c>
      <c r="N185" s="60" t="s">
        <v>312</v>
      </c>
      <c r="O185" s="60">
        <v>26</v>
      </c>
      <c r="P185" s="60">
        <v>7.6</v>
      </c>
      <c r="Q185" s="60">
        <v>310</v>
      </c>
      <c r="R185" s="60">
        <v>6.7</v>
      </c>
    </row>
    <row r="186" spans="1:18" ht="43.5" x14ac:dyDescent="0.35">
      <c r="A186">
        <v>646</v>
      </c>
      <c r="B186" s="58" t="s">
        <v>698</v>
      </c>
      <c r="C186" s="6" t="s">
        <v>389</v>
      </c>
      <c r="D186" s="6" t="s">
        <v>311</v>
      </c>
      <c r="E186" s="92">
        <v>1.0121457489878541E-9</v>
      </c>
      <c r="F186" s="93">
        <v>1.2903225806451614E-7</v>
      </c>
      <c r="G186" s="92">
        <v>9.0027700831024925E-8</v>
      </c>
      <c r="H186" s="93">
        <v>2.6268656716417917E-5</v>
      </c>
      <c r="I186" s="92">
        <v>4.1551246537396121E-8</v>
      </c>
      <c r="J186" s="93">
        <v>2.6268656716417913E-5</v>
      </c>
      <c r="K186" s="94" t="s">
        <v>37</v>
      </c>
      <c r="L186" s="6">
        <v>1</v>
      </c>
      <c r="M186" s="6">
        <v>1</v>
      </c>
      <c r="N186" s="60" t="s">
        <v>312</v>
      </c>
      <c r="O186" s="60">
        <v>26</v>
      </c>
      <c r="P186" s="60">
        <v>7.6</v>
      </c>
      <c r="Q186" s="60">
        <v>310</v>
      </c>
      <c r="R186" s="60">
        <v>6.7</v>
      </c>
    </row>
    <row r="187" spans="1:18" ht="29" x14ac:dyDescent="0.35">
      <c r="A187" t="s">
        <v>699</v>
      </c>
      <c r="B187" s="58" t="s">
        <v>700</v>
      </c>
      <c r="C187" s="6" t="s">
        <v>389</v>
      </c>
      <c r="D187" s="6" t="s">
        <v>311</v>
      </c>
      <c r="E187" s="92">
        <v>1.0121457489878541E-9</v>
      </c>
      <c r="F187" s="93">
        <v>1.2903225806451614E-7</v>
      </c>
      <c r="G187" s="92">
        <v>9.0027700831024925E-8</v>
      </c>
      <c r="H187" s="93">
        <v>2.6268656716417917E-5</v>
      </c>
      <c r="I187" s="92">
        <v>4.1551246537396121E-8</v>
      </c>
      <c r="J187" s="93">
        <v>2.6268656716417913E-5</v>
      </c>
      <c r="K187" s="94" t="s">
        <v>37</v>
      </c>
      <c r="L187" s="6">
        <v>1</v>
      </c>
      <c r="M187" s="6">
        <v>1</v>
      </c>
      <c r="N187" s="60" t="s">
        <v>312</v>
      </c>
      <c r="O187" s="60">
        <v>26</v>
      </c>
      <c r="P187" s="60">
        <v>7.6</v>
      </c>
      <c r="Q187" s="60">
        <v>310</v>
      </c>
      <c r="R187" s="60">
        <v>6.7</v>
      </c>
    </row>
    <row r="188" spans="1:18" ht="43.5" x14ac:dyDescent="0.35">
      <c r="A188" t="s">
        <v>701</v>
      </c>
      <c r="B188" s="58" t="s">
        <v>702</v>
      </c>
      <c r="C188" s="6" t="s">
        <v>389</v>
      </c>
      <c r="D188" s="6" t="s">
        <v>311</v>
      </c>
      <c r="E188" s="92">
        <v>1.0121457489878541E-9</v>
      </c>
      <c r="F188" s="93">
        <v>1.2903225806451614E-7</v>
      </c>
      <c r="G188" s="92">
        <v>9.0027700831024925E-8</v>
      </c>
      <c r="H188" s="93">
        <v>2.6268656716417917E-5</v>
      </c>
      <c r="I188" s="92">
        <v>4.1551246537396121E-8</v>
      </c>
      <c r="J188" s="93">
        <v>2.6268656716417913E-5</v>
      </c>
      <c r="K188" s="94" t="s">
        <v>37</v>
      </c>
      <c r="L188" s="6">
        <v>1</v>
      </c>
      <c r="M188" s="6">
        <v>1</v>
      </c>
      <c r="N188" s="60" t="s">
        <v>312</v>
      </c>
      <c r="O188" s="60">
        <v>26</v>
      </c>
      <c r="P188" s="60">
        <v>7.6</v>
      </c>
      <c r="Q188" s="60">
        <v>310</v>
      </c>
      <c r="R188" s="60">
        <v>6.7</v>
      </c>
    </row>
    <row r="189" spans="1:18" ht="43.5" x14ac:dyDescent="0.35">
      <c r="A189" t="s">
        <v>703</v>
      </c>
      <c r="B189" s="58" t="s">
        <v>704</v>
      </c>
      <c r="C189" s="6" t="s">
        <v>389</v>
      </c>
      <c r="D189" s="6" t="s">
        <v>311</v>
      </c>
      <c r="E189" s="92">
        <v>1.0121457489878542E-8</v>
      </c>
      <c r="F189" s="93">
        <v>1.2903225806451614E-6</v>
      </c>
      <c r="G189" s="92">
        <v>9.0027700831024923E-7</v>
      </c>
      <c r="H189" s="93">
        <v>2.6268656716417916E-4</v>
      </c>
      <c r="I189" s="92">
        <v>4.1551246537396122E-7</v>
      </c>
      <c r="J189" s="93">
        <v>2.6268656716417916E-4</v>
      </c>
      <c r="K189" s="94" t="s">
        <v>37</v>
      </c>
      <c r="L189" s="6">
        <v>1</v>
      </c>
      <c r="M189" s="6">
        <v>1</v>
      </c>
      <c r="N189" s="60" t="s">
        <v>312</v>
      </c>
      <c r="O189" s="60">
        <v>26</v>
      </c>
      <c r="P189" s="60">
        <v>7.6</v>
      </c>
      <c r="Q189" s="60">
        <v>310</v>
      </c>
      <c r="R189" s="60">
        <v>6.7</v>
      </c>
    </row>
    <row r="190" spans="1:18" ht="43.5" x14ac:dyDescent="0.35">
      <c r="A190" t="s">
        <v>705</v>
      </c>
      <c r="B190" s="58" t="s">
        <v>706</v>
      </c>
      <c r="C190" s="6" t="s">
        <v>389</v>
      </c>
      <c r="D190" s="6" t="s">
        <v>311</v>
      </c>
      <c r="E190" s="92">
        <v>1.0121457489878542E-8</v>
      </c>
      <c r="F190" s="93">
        <v>1.2903225806451614E-6</v>
      </c>
      <c r="G190" s="92">
        <v>9.0027700831024923E-7</v>
      </c>
      <c r="H190" s="93">
        <v>2.6268656716417916E-4</v>
      </c>
      <c r="I190" s="92">
        <v>4.1551246537396122E-7</v>
      </c>
      <c r="J190" s="93">
        <v>2.6268656716417916E-4</v>
      </c>
      <c r="K190" s="94" t="s">
        <v>37</v>
      </c>
      <c r="L190" s="6">
        <v>1</v>
      </c>
      <c r="M190" s="6">
        <v>1</v>
      </c>
      <c r="N190" s="60" t="s">
        <v>312</v>
      </c>
      <c r="O190" s="60">
        <v>26</v>
      </c>
      <c r="P190" s="60">
        <v>7.6</v>
      </c>
      <c r="Q190" s="60">
        <v>310</v>
      </c>
      <c r="R190" s="60">
        <v>6.7</v>
      </c>
    </row>
    <row r="191" spans="1:18" ht="43.5" x14ac:dyDescent="0.35">
      <c r="A191" t="s">
        <v>707</v>
      </c>
      <c r="B191" s="58" t="s">
        <v>708</v>
      </c>
      <c r="C191" s="6" t="s">
        <v>389</v>
      </c>
      <c r="D191" s="6" t="s">
        <v>311</v>
      </c>
      <c r="E191" s="92">
        <v>1.0121457489878542E-8</v>
      </c>
      <c r="F191" s="93">
        <v>1.2903225806451614E-6</v>
      </c>
      <c r="G191" s="92">
        <v>9.0027700831024923E-7</v>
      </c>
      <c r="H191" s="93">
        <v>2.6268656716417916E-4</v>
      </c>
      <c r="I191" s="92">
        <v>4.1551246537396122E-7</v>
      </c>
      <c r="J191" s="93">
        <v>2.6268656716417916E-4</v>
      </c>
      <c r="K191" s="94" t="s">
        <v>37</v>
      </c>
      <c r="L191" s="6">
        <v>1</v>
      </c>
      <c r="M191" s="6">
        <v>1</v>
      </c>
      <c r="N191" s="60" t="s">
        <v>312</v>
      </c>
      <c r="O191" s="60">
        <v>26</v>
      </c>
      <c r="P191" s="60">
        <v>7.6</v>
      </c>
      <c r="Q191" s="60">
        <v>310</v>
      </c>
      <c r="R191" s="60">
        <v>6.7</v>
      </c>
    </row>
    <row r="192" spans="1:18" ht="43.5" x14ac:dyDescent="0.35">
      <c r="A192" t="s">
        <v>709</v>
      </c>
      <c r="B192" s="58" t="s">
        <v>710</v>
      </c>
      <c r="C192" s="6" t="s">
        <v>389</v>
      </c>
      <c r="D192" s="6" t="s">
        <v>311</v>
      </c>
      <c r="E192" s="92">
        <v>1.0121457489878542E-7</v>
      </c>
      <c r="F192" s="93">
        <v>1.2903225806451613E-5</v>
      </c>
      <c r="G192" s="92">
        <v>9.0027700831024914E-6</v>
      </c>
      <c r="H192" s="93">
        <v>2.6268656716417912E-3</v>
      </c>
      <c r="I192" s="92">
        <v>4.1551246537396112E-6</v>
      </c>
      <c r="J192" s="93">
        <v>2.6268656716417912E-3</v>
      </c>
      <c r="K192" s="94" t="s">
        <v>37</v>
      </c>
      <c r="L192" s="6">
        <v>1</v>
      </c>
      <c r="M192" s="6">
        <v>1</v>
      </c>
      <c r="N192" s="60" t="s">
        <v>312</v>
      </c>
      <c r="O192" s="60">
        <v>26</v>
      </c>
      <c r="P192" s="60">
        <v>7.6</v>
      </c>
      <c r="Q192" s="60">
        <v>310</v>
      </c>
      <c r="R192" s="60">
        <v>6.7</v>
      </c>
    </row>
    <row r="193" spans="1:18" ht="29" x14ac:dyDescent="0.35">
      <c r="A193" t="s">
        <v>711</v>
      </c>
      <c r="B193" s="58" t="s">
        <v>712</v>
      </c>
      <c r="C193" s="6" t="s">
        <v>389</v>
      </c>
      <c r="D193" s="6" t="s">
        <v>311</v>
      </c>
      <c r="E193" s="92">
        <v>3.3738191632928472E-6</v>
      </c>
      <c r="F193" s="93">
        <v>4.1935483870967743E-4</v>
      </c>
      <c r="G193" s="92">
        <v>3.0009233610341643E-4</v>
      </c>
      <c r="H193" s="93">
        <v>8.5373134328358205E-2</v>
      </c>
      <c r="I193" s="92">
        <v>1.3850415512465375E-4</v>
      </c>
      <c r="J193" s="93">
        <v>8.5373134328358219E-2</v>
      </c>
      <c r="K193" s="94" t="s">
        <v>37</v>
      </c>
      <c r="L193" s="6">
        <v>1</v>
      </c>
      <c r="M193" s="6">
        <v>1</v>
      </c>
      <c r="N193" s="60" t="s">
        <v>312</v>
      </c>
      <c r="O193" s="60">
        <v>26</v>
      </c>
      <c r="P193" s="60">
        <v>7.6</v>
      </c>
      <c r="Q193" s="60">
        <v>310</v>
      </c>
      <c r="R193" s="60">
        <v>6.7</v>
      </c>
    </row>
    <row r="194" spans="1:18" ht="43.5" x14ac:dyDescent="0.35">
      <c r="A194" t="s">
        <v>713</v>
      </c>
      <c r="B194" s="58" t="s">
        <v>714</v>
      </c>
      <c r="C194" s="6" t="s">
        <v>389</v>
      </c>
      <c r="D194" s="6" t="s">
        <v>311</v>
      </c>
      <c r="E194" s="92">
        <v>1.0121457489878542E-8</v>
      </c>
      <c r="F194" s="93">
        <v>1.2903225806451614E-6</v>
      </c>
      <c r="G194" s="92">
        <v>9.0027700831024923E-7</v>
      </c>
      <c r="H194" s="93">
        <v>2.6268656716417916E-4</v>
      </c>
      <c r="I194" s="92">
        <v>4.1551246537396122E-7</v>
      </c>
      <c r="J194" s="93">
        <v>2.6268656716417916E-4</v>
      </c>
      <c r="K194" s="94" t="s">
        <v>37</v>
      </c>
      <c r="L194" s="6">
        <v>1</v>
      </c>
      <c r="M194" s="6">
        <v>1</v>
      </c>
      <c r="N194" s="60" t="s">
        <v>312</v>
      </c>
      <c r="O194" s="60">
        <v>26</v>
      </c>
      <c r="P194" s="60">
        <v>7.6</v>
      </c>
      <c r="Q194" s="60">
        <v>310</v>
      </c>
      <c r="R194" s="60">
        <v>6.7</v>
      </c>
    </row>
    <row r="195" spans="1:18" ht="43.5" x14ac:dyDescent="0.35">
      <c r="A195" t="s">
        <v>715</v>
      </c>
      <c r="B195" s="58" t="s">
        <v>716</v>
      </c>
      <c r="C195" s="6" t="s">
        <v>389</v>
      </c>
      <c r="D195" s="6" t="s">
        <v>311</v>
      </c>
      <c r="E195" s="92">
        <v>3.3738191632928474E-8</v>
      </c>
      <c r="F195" s="93">
        <v>4.1935483870967744E-6</v>
      </c>
      <c r="G195" s="92">
        <v>3.0009233610341641E-6</v>
      </c>
      <c r="H195" s="93">
        <v>8.5373134328358216E-4</v>
      </c>
      <c r="I195" s="92">
        <v>1.3850415512465373E-6</v>
      </c>
      <c r="J195" s="93">
        <v>8.5373134328358216E-4</v>
      </c>
      <c r="K195" s="94" t="s">
        <v>37</v>
      </c>
      <c r="L195" s="6">
        <v>1</v>
      </c>
      <c r="M195" s="6">
        <v>1</v>
      </c>
      <c r="N195" s="60" t="s">
        <v>312</v>
      </c>
      <c r="O195" s="60">
        <v>26</v>
      </c>
      <c r="P195" s="60">
        <v>7.6</v>
      </c>
      <c r="Q195" s="60">
        <v>310</v>
      </c>
      <c r="R195" s="60">
        <v>6.7</v>
      </c>
    </row>
    <row r="196" spans="1:18" ht="43.5" x14ac:dyDescent="0.35">
      <c r="A196" t="s">
        <v>717</v>
      </c>
      <c r="B196" s="58" t="s">
        <v>718</v>
      </c>
      <c r="C196" s="6" t="s">
        <v>389</v>
      </c>
      <c r="D196" s="6" t="s">
        <v>311</v>
      </c>
      <c r="E196" s="92">
        <v>3.373819163292847E-9</v>
      </c>
      <c r="F196" s="93">
        <v>4.1935483870967738E-7</v>
      </c>
      <c r="G196" s="92">
        <v>3.0009233610341641E-7</v>
      </c>
      <c r="H196" s="93">
        <v>8.5373134328358208E-5</v>
      </c>
      <c r="I196" s="92">
        <v>1.3850415512465372E-7</v>
      </c>
      <c r="J196" s="93">
        <v>8.5373134328358208E-5</v>
      </c>
      <c r="K196" s="94" t="s">
        <v>37</v>
      </c>
      <c r="L196" s="6">
        <v>1</v>
      </c>
      <c r="M196" s="6">
        <v>1</v>
      </c>
      <c r="N196" s="60" t="s">
        <v>312</v>
      </c>
      <c r="O196" s="60">
        <v>26</v>
      </c>
      <c r="P196" s="60">
        <v>7.6</v>
      </c>
      <c r="Q196" s="60">
        <v>310</v>
      </c>
      <c r="R196" s="60">
        <v>6.7</v>
      </c>
    </row>
    <row r="197" spans="1:18" ht="43.5" x14ac:dyDescent="0.35">
      <c r="A197" t="s">
        <v>719</v>
      </c>
      <c r="B197" s="58" t="s">
        <v>720</v>
      </c>
      <c r="C197" s="6" t="s">
        <v>389</v>
      </c>
      <c r="D197" s="6" t="s">
        <v>311</v>
      </c>
      <c r="E197" s="92">
        <v>1.0121457489878542E-8</v>
      </c>
      <c r="F197" s="93">
        <v>1.2903225806451614E-6</v>
      </c>
      <c r="G197" s="92">
        <v>9.0027700831024923E-7</v>
      </c>
      <c r="H197" s="93">
        <v>2.6268656716417916E-4</v>
      </c>
      <c r="I197" s="92">
        <v>4.1551246537396122E-7</v>
      </c>
      <c r="J197" s="93">
        <v>2.6268656716417916E-4</v>
      </c>
      <c r="K197" s="94" t="s">
        <v>37</v>
      </c>
      <c r="L197" s="6">
        <v>1</v>
      </c>
      <c r="M197" s="6">
        <v>1</v>
      </c>
      <c r="N197" s="60" t="s">
        <v>312</v>
      </c>
      <c r="O197" s="60">
        <v>26</v>
      </c>
      <c r="P197" s="60">
        <v>7.6</v>
      </c>
      <c r="Q197" s="60">
        <v>310</v>
      </c>
      <c r="R197" s="60">
        <v>6.7</v>
      </c>
    </row>
    <row r="198" spans="1:18" ht="43.5" x14ac:dyDescent="0.35">
      <c r="A198" t="s">
        <v>721</v>
      </c>
      <c r="B198" s="58" t="s">
        <v>722</v>
      </c>
      <c r="C198" s="6" t="s">
        <v>389</v>
      </c>
      <c r="D198" s="6" t="s">
        <v>311</v>
      </c>
      <c r="E198" s="92">
        <v>1.0121457489878542E-8</v>
      </c>
      <c r="F198" s="93">
        <v>1.2903225806451614E-6</v>
      </c>
      <c r="G198" s="92">
        <v>9.0027700831024923E-7</v>
      </c>
      <c r="H198" s="93">
        <v>2.6268656716417916E-4</v>
      </c>
      <c r="I198" s="92">
        <v>4.1551246537396122E-7</v>
      </c>
      <c r="J198" s="93">
        <v>2.6268656716417916E-4</v>
      </c>
      <c r="K198" s="94" t="s">
        <v>37</v>
      </c>
      <c r="L198" s="6">
        <v>1</v>
      </c>
      <c r="M198" s="6">
        <v>1</v>
      </c>
      <c r="N198" s="60" t="s">
        <v>312</v>
      </c>
      <c r="O198" s="60">
        <v>26</v>
      </c>
      <c r="P198" s="60">
        <v>7.6</v>
      </c>
      <c r="Q198" s="60">
        <v>310</v>
      </c>
      <c r="R198" s="60">
        <v>6.7</v>
      </c>
    </row>
    <row r="199" spans="1:18" ht="43.5" x14ac:dyDescent="0.35">
      <c r="A199" t="s">
        <v>723</v>
      </c>
      <c r="B199" s="58" t="s">
        <v>724</v>
      </c>
      <c r="C199" s="6" t="s">
        <v>389</v>
      </c>
      <c r="D199" s="6" t="s">
        <v>311</v>
      </c>
      <c r="E199" s="92">
        <v>1.0121457489878542E-8</v>
      </c>
      <c r="F199" s="93">
        <v>1.2903225806451614E-6</v>
      </c>
      <c r="G199" s="92">
        <v>9.0027700831024923E-7</v>
      </c>
      <c r="H199" s="93">
        <v>2.6268656716417916E-4</v>
      </c>
      <c r="I199" s="92">
        <v>4.1551246537396122E-7</v>
      </c>
      <c r="J199" s="93">
        <v>2.6268656716417916E-4</v>
      </c>
      <c r="K199" s="94" t="s">
        <v>37</v>
      </c>
      <c r="L199" s="6">
        <v>1</v>
      </c>
      <c r="M199" s="6">
        <v>1</v>
      </c>
      <c r="N199" s="60" t="s">
        <v>312</v>
      </c>
      <c r="O199" s="60">
        <v>26</v>
      </c>
      <c r="P199" s="60">
        <v>7.6</v>
      </c>
      <c r="Q199" s="60">
        <v>310</v>
      </c>
      <c r="R199" s="60">
        <v>6.7</v>
      </c>
    </row>
    <row r="200" spans="1:18" ht="43.5" x14ac:dyDescent="0.35">
      <c r="A200" t="s">
        <v>725</v>
      </c>
      <c r="B200" s="58" t="s">
        <v>726</v>
      </c>
      <c r="C200" s="6" t="s">
        <v>389</v>
      </c>
      <c r="D200" s="6" t="s">
        <v>311</v>
      </c>
      <c r="E200" s="92">
        <v>1.0121457489878542E-8</v>
      </c>
      <c r="F200" s="93">
        <v>1.2903225806451614E-6</v>
      </c>
      <c r="G200" s="92">
        <v>9.0027700831024923E-7</v>
      </c>
      <c r="H200" s="93">
        <v>2.6268656716417916E-4</v>
      </c>
      <c r="I200" s="92">
        <v>4.1551246537396122E-7</v>
      </c>
      <c r="J200" s="93">
        <v>2.6268656716417916E-4</v>
      </c>
      <c r="K200" s="94" t="s">
        <v>37</v>
      </c>
      <c r="L200" s="6">
        <v>1</v>
      </c>
      <c r="M200" s="6">
        <v>1</v>
      </c>
      <c r="N200" s="60" t="s">
        <v>312</v>
      </c>
      <c r="O200" s="60">
        <v>26</v>
      </c>
      <c r="P200" s="60">
        <v>7.6</v>
      </c>
      <c r="Q200" s="60">
        <v>310</v>
      </c>
      <c r="R200" s="60">
        <v>6.7</v>
      </c>
    </row>
    <row r="201" spans="1:18" ht="43.5" x14ac:dyDescent="0.35">
      <c r="A201" t="s">
        <v>727</v>
      </c>
      <c r="B201" s="58" t="s">
        <v>728</v>
      </c>
      <c r="C201" s="6" t="s">
        <v>389</v>
      </c>
      <c r="D201" s="6" t="s">
        <v>311</v>
      </c>
      <c r="E201" s="92">
        <v>1.0121457489878542E-7</v>
      </c>
      <c r="F201" s="93">
        <v>1.2903225806451613E-5</v>
      </c>
      <c r="G201" s="92">
        <v>9.0027700831024914E-6</v>
      </c>
      <c r="H201" s="93">
        <v>2.6268656716417912E-3</v>
      </c>
      <c r="I201" s="92">
        <v>4.1551246537396112E-6</v>
      </c>
      <c r="J201" s="93">
        <v>2.6268656716417912E-3</v>
      </c>
      <c r="K201" s="94" t="s">
        <v>37</v>
      </c>
      <c r="L201" s="6">
        <v>1</v>
      </c>
      <c r="M201" s="6">
        <v>1</v>
      </c>
      <c r="N201" s="60" t="s">
        <v>312</v>
      </c>
      <c r="O201" s="60">
        <v>26</v>
      </c>
      <c r="P201" s="60">
        <v>7.6</v>
      </c>
      <c r="Q201" s="60">
        <v>310</v>
      </c>
      <c r="R201" s="60">
        <v>6.7</v>
      </c>
    </row>
    <row r="202" spans="1:18" ht="43.5" x14ac:dyDescent="0.35">
      <c r="A202" t="s">
        <v>729</v>
      </c>
      <c r="B202" s="58" t="s">
        <v>730</v>
      </c>
      <c r="C202" s="6" t="s">
        <v>389</v>
      </c>
      <c r="D202" s="6" t="s">
        <v>311</v>
      </c>
      <c r="E202" s="92">
        <v>1.0121457489878542E-7</v>
      </c>
      <c r="F202" s="93">
        <v>1.2903225806451613E-5</v>
      </c>
      <c r="G202" s="92">
        <v>9.0027700831024914E-6</v>
      </c>
      <c r="H202" s="93">
        <v>2.6268656716417912E-3</v>
      </c>
      <c r="I202" s="92">
        <v>4.1551246537396112E-6</v>
      </c>
      <c r="J202" s="93">
        <v>2.6268656716417912E-3</v>
      </c>
      <c r="K202" s="94" t="s">
        <v>37</v>
      </c>
      <c r="L202" s="6">
        <v>1</v>
      </c>
      <c r="M202" s="6">
        <v>1</v>
      </c>
      <c r="N202" s="60" t="s">
        <v>312</v>
      </c>
      <c r="O202" s="60">
        <v>26</v>
      </c>
      <c r="P202" s="60">
        <v>7.6</v>
      </c>
      <c r="Q202" s="60">
        <v>310</v>
      </c>
      <c r="R202" s="60">
        <v>6.7</v>
      </c>
    </row>
    <row r="203" spans="1:18" ht="29" x14ac:dyDescent="0.35">
      <c r="A203" t="s">
        <v>731</v>
      </c>
      <c r="B203" s="58" t="s">
        <v>732</v>
      </c>
      <c r="C203" s="6" t="s">
        <v>389</v>
      </c>
      <c r="D203" s="6" t="s">
        <v>311</v>
      </c>
      <c r="E203" s="92">
        <v>3.3738191632928472E-6</v>
      </c>
      <c r="F203" s="93">
        <v>4.1935483870967743E-4</v>
      </c>
      <c r="G203" s="92">
        <v>3.0009233610341643E-4</v>
      </c>
      <c r="H203" s="93">
        <v>8.5373134328358205E-2</v>
      </c>
      <c r="I203" s="92">
        <v>1.3850415512465375E-4</v>
      </c>
      <c r="J203" s="93">
        <v>8.5373134328358219E-2</v>
      </c>
      <c r="K203" s="94" t="s">
        <v>37</v>
      </c>
      <c r="L203" s="6">
        <v>1</v>
      </c>
      <c r="M203" s="6">
        <v>1</v>
      </c>
      <c r="N203" s="60" t="s">
        <v>312</v>
      </c>
      <c r="O203" s="60">
        <v>26</v>
      </c>
      <c r="P203" s="60">
        <v>7.6</v>
      </c>
      <c r="Q203" s="60">
        <v>310</v>
      </c>
      <c r="R203" s="60">
        <v>6.7</v>
      </c>
    </row>
    <row r="204" spans="1:18" ht="29" x14ac:dyDescent="0.35">
      <c r="A204">
        <v>401</v>
      </c>
      <c r="B204" s="58" t="s">
        <v>733</v>
      </c>
      <c r="C204" s="6" t="s">
        <v>734</v>
      </c>
      <c r="D204" s="6" t="s">
        <v>37</v>
      </c>
      <c r="E204" s="92">
        <v>4.2625745950554133E-5</v>
      </c>
      <c r="F204" s="93" t="s">
        <v>37</v>
      </c>
      <c r="G204" s="92">
        <v>1.5632515632515633E-3</v>
      </c>
      <c r="H204" s="93" t="s">
        <v>37</v>
      </c>
      <c r="I204" s="92">
        <v>3.0303030303030307E-3</v>
      </c>
      <c r="J204" s="93" t="s">
        <v>37</v>
      </c>
      <c r="K204" s="94" t="s">
        <v>37</v>
      </c>
      <c r="L204" s="6">
        <v>1</v>
      </c>
      <c r="M204" s="6">
        <v>1</v>
      </c>
      <c r="N204" s="60" t="s">
        <v>330</v>
      </c>
      <c r="O204" s="60">
        <v>23</v>
      </c>
      <c r="P204" s="60">
        <v>6.6</v>
      </c>
      <c r="Q204" s="60">
        <v>1</v>
      </c>
      <c r="R204" s="60">
        <v>1</v>
      </c>
    </row>
    <row r="205" spans="1:18" x14ac:dyDescent="0.35">
      <c r="A205" t="s">
        <v>735</v>
      </c>
      <c r="B205" s="58" t="s">
        <v>736</v>
      </c>
      <c r="C205" s="6" t="s">
        <v>734</v>
      </c>
      <c r="D205" s="6" t="s">
        <v>37</v>
      </c>
      <c r="E205" s="92">
        <v>1.0656436487638534E-4</v>
      </c>
      <c r="F205" s="93" t="s">
        <v>37</v>
      </c>
      <c r="G205" s="92">
        <v>3.9081289081289083E-3</v>
      </c>
      <c r="H205" s="93" t="s">
        <v>37</v>
      </c>
      <c r="I205" s="92">
        <v>7.5757575757575768E-3</v>
      </c>
      <c r="J205" s="93" t="s">
        <v>37</v>
      </c>
      <c r="K205" s="94" t="s">
        <v>37</v>
      </c>
      <c r="L205" s="6">
        <v>1</v>
      </c>
      <c r="M205" s="6">
        <v>1</v>
      </c>
      <c r="N205" s="60" t="s">
        <v>330</v>
      </c>
      <c r="O205" s="60">
        <v>23</v>
      </c>
      <c r="P205" s="60">
        <v>6.6</v>
      </c>
      <c r="Q205" s="60">
        <v>1</v>
      </c>
      <c r="R205" s="60">
        <v>1</v>
      </c>
    </row>
    <row r="206" spans="1:18" x14ac:dyDescent="0.35">
      <c r="A206" t="s">
        <v>737</v>
      </c>
      <c r="B206" s="58" t="s">
        <v>738</v>
      </c>
      <c r="C206" s="6" t="s">
        <v>734</v>
      </c>
      <c r="D206" s="6" t="s">
        <v>37</v>
      </c>
      <c r="E206" s="92">
        <v>2.1312872975277067E-4</v>
      </c>
      <c r="F206" s="93" t="s">
        <v>37</v>
      </c>
      <c r="G206" s="92">
        <v>7.8162578162578166E-3</v>
      </c>
      <c r="H206" s="93" t="s">
        <v>37</v>
      </c>
      <c r="I206" s="92">
        <v>1.5151515151515154E-2</v>
      </c>
      <c r="J206" s="93" t="s">
        <v>37</v>
      </c>
      <c r="K206" s="94" t="s">
        <v>37</v>
      </c>
      <c r="L206" s="6">
        <v>1</v>
      </c>
      <c r="M206" s="6">
        <v>1</v>
      </c>
      <c r="N206" s="60" t="s">
        <v>330</v>
      </c>
      <c r="O206" s="60">
        <v>23</v>
      </c>
      <c r="P206" s="60">
        <v>6.6</v>
      </c>
      <c r="Q206" s="60">
        <v>1</v>
      </c>
      <c r="R206" s="60">
        <v>1</v>
      </c>
    </row>
    <row r="207" spans="1:18" x14ac:dyDescent="0.35">
      <c r="A207" t="s">
        <v>355</v>
      </c>
      <c r="B207" s="58" t="s">
        <v>356</v>
      </c>
      <c r="C207" s="6" t="s">
        <v>734</v>
      </c>
      <c r="D207" s="6" t="s">
        <v>311</v>
      </c>
      <c r="E207" s="92">
        <v>4.2625745950554133E-5</v>
      </c>
      <c r="F207" s="93">
        <v>2E-3</v>
      </c>
      <c r="G207" s="92">
        <v>1.5632515632515633E-3</v>
      </c>
      <c r="H207" s="93">
        <v>8.8000000000000005E-3</v>
      </c>
      <c r="I207" s="92">
        <v>3.0303030303030307E-3</v>
      </c>
      <c r="J207" s="93">
        <v>8.8000000000000005E-3</v>
      </c>
      <c r="K207" s="94">
        <v>2E-3</v>
      </c>
      <c r="L207" s="6">
        <v>1</v>
      </c>
      <c r="M207" s="6">
        <v>1</v>
      </c>
      <c r="N207" s="60" t="s">
        <v>330</v>
      </c>
      <c r="O207" s="60">
        <v>23</v>
      </c>
      <c r="P207" s="60">
        <v>6.6</v>
      </c>
      <c r="Q207" s="60">
        <v>1</v>
      </c>
      <c r="R207" s="60">
        <v>1</v>
      </c>
    </row>
    <row r="208" spans="1:18" x14ac:dyDescent="0.35">
      <c r="A208" t="s">
        <v>739</v>
      </c>
      <c r="B208" s="58" t="s">
        <v>740</v>
      </c>
      <c r="C208" s="6" t="s">
        <v>734</v>
      </c>
      <c r="D208" s="6" t="s">
        <v>37</v>
      </c>
      <c r="E208" s="92">
        <v>5.3282182438192668E-5</v>
      </c>
      <c r="F208" s="93" t="s">
        <v>37</v>
      </c>
      <c r="G208" s="92">
        <v>1.9540644540644542E-3</v>
      </c>
      <c r="H208" s="93" t="s">
        <v>37</v>
      </c>
      <c r="I208" s="92">
        <v>3.7878787878787884E-3</v>
      </c>
      <c r="J208" s="93" t="s">
        <v>37</v>
      </c>
      <c r="K208" s="94" t="s">
        <v>37</v>
      </c>
      <c r="L208" s="6">
        <v>1</v>
      </c>
      <c r="M208" s="6">
        <v>1</v>
      </c>
      <c r="N208" s="60" t="s">
        <v>330</v>
      </c>
      <c r="O208" s="60">
        <v>23</v>
      </c>
      <c r="P208" s="60">
        <v>6.6</v>
      </c>
      <c r="Q208" s="60">
        <v>1</v>
      </c>
      <c r="R208" s="60">
        <v>1</v>
      </c>
    </row>
    <row r="209" spans="1:18" x14ac:dyDescent="0.35">
      <c r="A209" t="s">
        <v>741</v>
      </c>
      <c r="B209" s="58" t="s">
        <v>742</v>
      </c>
      <c r="C209" s="6" t="s">
        <v>734</v>
      </c>
      <c r="D209" s="6" t="s">
        <v>37</v>
      </c>
      <c r="E209" s="92">
        <v>2.1312872975277068E-6</v>
      </c>
      <c r="F209" s="93" t="s">
        <v>37</v>
      </c>
      <c r="G209" s="92">
        <v>7.8162578162578172E-5</v>
      </c>
      <c r="H209" s="93" t="s">
        <v>37</v>
      </c>
      <c r="I209" s="92">
        <v>1.5151515151515152E-4</v>
      </c>
      <c r="J209" s="93" t="s">
        <v>37</v>
      </c>
      <c r="K209" s="94" t="s">
        <v>37</v>
      </c>
      <c r="L209" s="6">
        <v>1</v>
      </c>
      <c r="M209" s="6">
        <v>1</v>
      </c>
      <c r="N209" s="60" t="s">
        <v>330</v>
      </c>
      <c r="O209" s="60">
        <v>23</v>
      </c>
      <c r="P209" s="60">
        <v>6.6</v>
      </c>
      <c r="Q209" s="60">
        <v>1</v>
      </c>
      <c r="R209" s="60">
        <v>1</v>
      </c>
    </row>
    <row r="210" spans="1:18" x14ac:dyDescent="0.35">
      <c r="A210" t="s">
        <v>743</v>
      </c>
      <c r="B210" s="58" t="s">
        <v>744</v>
      </c>
      <c r="C210" s="6" t="s">
        <v>734</v>
      </c>
      <c r="D210" s="6" t="s">
        <v>37</v>
      </c>
      <c r="E210" s="92">
        <v>4.7361939945060154E-3</v>
      </c>
      <c r="F210" s="93" t="s">
        <v>37</v>
      </c>
      <c r="G210" s="92">
        <v>0.17369461813906259</v>
      </c>
      <c r="H210" s="93" t="s">
        <v>37</v>
      </c>
      <c r="I210" s="92">
        <v>0.33670033670033672</v>
      </c>
      <c r="J210" s="93" t="s">
        <v>37</v>
      </c>
      <c r="K210" s="94" t="s">
        <v>37</v>
      </c>
      <c r="L210" s="6">
        <v>1</v>
      </c>
      <c r="M210" s="6">
        <v>1</v>
      </c>
      <c r="N210" s="60" t="s">
        <v>330</v>
      </c>
      <c r="O210" s="60">
        <v>23</v>
      </c>
      <c r="P210" s="60">
        <v>6.6</v>
      </c>
      <c r="Q210" s="60">
        <v>1</v>
      </c>
      <c r="R210" s="60">
        <v>1</v>
      </c>
    </row>
    <row r="211" spans="1:18" x14ac:dyDescent="0.35">
      <c r="A211" t="s">
        <v>745</v>
      </c>
      <c r="B211" s="58" t="s">
        <v>746</v>
      </c>
      <c r="C211" s="6" t="s">
        <v>734</v>
      </c>
      <c r="D211" s="6" t="s">
        <v>37</v>
      </c>
      <c r="E211" s="92">
        <v>1.4208581983518045E-4</v>
      </c>
      <c r="F211" s="93" t="s">
        <v>37</v>
      </c>
      <c r="G211" s="92">
        <v>5.2108385441718783E-3</v>
      </c>
      <c r="H211" s="93" t="s">
        <v>37</v>
      </c>
      <c r="I211" s="92">
        <v>1.0101010101010102E-2</v>
      </c>
      <c r="J211" s="93" t="s">
        <v>37</v>
      </c>
      <c r="K211" s="94" t="s">
        <v>37</v>
      </c>
      <c r="L211" s="6">
        <v>1</v>
      </c>
      <c r="M211" s="6">
        <v>1</v>
      </c>
      <c r="N211" s="60" t="s">
        <v>330</v>
      </c>
      <c r="O211" s="60">
        <v>23</v>
      </c>
      <c r="P211" s="60">
        <v>6.6</v>
      </c>
      <c r="Q211" s="60">
        <v>1</v>
      </c>
      <c r="R211" s="60">
        <v>1</v>
      </c>
    </row>
    <row r="212" spans="1:18" x14ac:dyDescent="0.35">
      <c r="A212" t="s">
        <v>747</v>
      </c>
      <c r="B212" s="58" t="s">
        <v>748</v>
      </c>
      <c r="C212" s="6" t="s">
        <v>734</v>
      </c>
      <c r="D212" s="6" t="s">
        <v>37</v>
      </c>
      <c r="E212" s="92">
        <v>1.4208581983518045E-3</v>
      </c>
      <c r="F212" s="93" t="s">
        <v>37</v>
      </c>
      <c r="G212" s="92">
        <v>5.2108385441718787E-2</v>
      </c>
      <c r="H212" s="93" t="s">
        <v>37</v>
      </c>
      <c r="I212" s="92">
        <v>0.10101010101010102</v>
      </c>
      <c r="J212" s="93" t="s">
        <v>37</v>
      </c>
      <c r="K212" s="94" t="s">
        <v>37</v>
      </c>
      <c r="L212" s="6">
        <v>1</v>
      </c>
      <c r="M212" s="6">
        <v>1</v>
      </c>
      <c r="N212" s="60" t="s">
        <v>330</v>
      </c>
      <c r="O212" s="60">
        <v>23</v>
      </c>
      <c r="P212" s="60">
        <v>6.6</v>
      </c>
      <c r="Q212" s="60">
        <v>1</v>
      </c>
      <c r="R212" s="60">
        <v>1</v>
      </c>
    </row>
    <row r="213" spans="1:18" x14ac:dyDescent="0.35">
      <c r="A213" t="s">
        <v>749</v>
      </c>
      <c r="B213" s="58" t="s">
        <v>750</v>
      </c>
      <c r="C213" s="6" t="s">
        <v>734</v>
      </c>
      <c r="D213" s="6" t="s">
        <v>37</v>
      </c>
      <c r="E213" s="92">
        <v>4.2625745950554135E-4</v>
      </c>
      <c r="F213" s="93" t="s">
        <v>37</v>
      </c>
      <c r="G213" s="92">
        <v>1.5632515632515633E-2</v>
      </c>
      <c r="H213" s="93" t="s">
        <v>37</v>
      </c>
      <c r="I213" s="92">
        <v>3.0303030303030307E-2</v>
      </c>
      <c r="J213" s="93" t="s">
        <v>37</v>
      </c>
      <c r="K213" s="94" t="s">
        <v>37</v>
      </c>
      <c r="L213" s="6">
        <v>1</v>
      </c>
      <c r="M213" s="6">
        <v>1</v>
      </c>
      <c r="N213" s="60" t="s">
        <v>330</v>
      </c>
      <c r="O213" s="60">
        <v>23</v>
      </c>
      <c r="P213" s="60">
        <v>6.6</v>
      </c>
      <c r="Q213" s="60">
        <v>1</v>
      </c>
      <c r="R213" s="60">
        <v>1</v>
      </c>
    </row>
    <row r="214" spans="1:18" x14ac:dyDescent="0.35">
      <c r="A214" t="s">
        <v>751</v>
      </c>
      <c r="B214" s="58" t="s">
        <v>752</v>
      </c>
      <c r="C214" s="6" t="s">
        <v>734</v>
      </c>
      <c r="D214" s="6" t="s">
        <v>37</v>
      </c>
      <c r="E214" s="92">
        <v>1.0656436487638534E-4</v>
      </c>
      <c r="F214" s="93" t="s">
        <v>37</v>
      </c>
      <c r="G214" s="92">
        <v>3.9081289081289083E-3</v>
      </c>
      <c r="H214" s="93" t="s">
        <v>37</v>
      </c>
      <c r="I214" s="92">
        <v>7.5757575757575768E-3</v>
      </c>
      <c r="J214" s="93" t="s">
        <v>37</v>
      </c>
      <c r="K214" s="94" t="s">
        <v>37</v>
      </c>
      <c r="L214" s="6">
        <v>1</v>
      </c>
      <c r="M214" s="6">
        <v>1</v>
      </c>
      <c r="N214" s="60" t="s">
        <v>330</v>
      </c>
      <c r="O214" s="60">
        <v>23</v>
      </c>
      <c r="P214" s="60">
        <v>6.6</v>
      </c>
      <c r="Q214" s="60">
        <v>1</v>
      </c>
      <c r="R214" s="60">
        <v>1</v>
      </c>
    </row>
    <row r="215" spans="1:18" x14ac:dyDescent="0.35">
      <c r="A215" t="s">
        <v>753</v>
      </c>
      <c r="B215" s="58" t="s">
        <v>754</v>
      </c>
      <c r="C215" s="6" t="s">
        <v>734</v>
      </c>
      <c r="D215" s="6" t="s">
        <v>37</v>
      </c>
      <c r="E215" s="92">
        <v>4.2625745950554137E-6</v>
      </c>
      <c r="F215" s="93" t="s">
        <v>37</v>
      </c>
      <c r="G215" s="92">
        <v>1.5632515632515634E-4</v>
      </c>
      <c r="H215" s="93" t="s">
        <v>37</v>
      </c>
      <c r="I215" s="92">
        <v>3.0303030303030303E-4</v>
      </c>
      <c r="J215" s="93" t="s">
        <v>37</v>
      </c>
      <c r="K215" s="94" t="s">
        <v>37</v>
      </c>
      <c r="L215" s="6">
        <v>1</v>
      </c>
      <c r="M215" s="6">
        <v>1</v>
      </c>
      <c r="N215" s="60" t="s">
        <v>330</v>
      </c>
      <c r="O215" s="60">
        <v>23</v>
      </c>
      <c r="P215" s="60">
        <v>6.6</v>
      </c>
      <c r="Q215" s="60">
        <v>1</v>
      </c>
      <c r="R215" s="60">
        <v>1</v>
      </c>
    </row>
    <row r="216" spans="1:18" x14ac:dyDescent="0.35">
      <c r="A216" t="s">
        <v>755</v>
      </c>
      <c r="B216" s="58" t="s">
        <v>756</v>
      </c>
      <c r="C216" s="6" t="s">
        <v>734</v>
      </c>
      <c r="D216" s="6" t="s">
        <v>37</v>
      </c>
      <c r="E216" s="92">
        <v>1.0656436487638534E-4</v>
      </c>
      <c r="F216" s="93" t="s">
        <v>37</v>
      </c>
      <c r="G216" s="92">
        <v>3.9081289081289083E-3</v>
      </c>
      <c r="H216" s="93" t="s">
        <v>37</v>
      </c>
      <c r="I216" s="92">
        <v>7.5757575757575768E-3</v>
      </c>
      <c r="J216" s="93" t="s">
        <v>37</v>
      </c>
      <c r="K216" s="94" t="s">
        <v>37</v>
      </c>
      <c r="L216" s="6">
        <v>1</v>
      </c>
      <c r="M216" s="6">
        <v>1</v>
      </c>
      <c r="N216" s="60" t="s">
        <v>330</v>
      </c>
      <c r="O216" s="60">
        <v>23</v>
      </c>
      <c r="P216" s="60">
        <v>6.6</v>
      </c>
      <c r="Q216" s="60">
        <v>1</v>
      </c>
      <c r="R216" s="60">
        <v>1</v>
      </c>
    </row>
    <row r="217" spans="1:18" x14ac:dyDescent="0.35">
      <c r="A217" t="s">
        <v>757</v>
      </c>
      <c r="B217" s="58" t="s">
        <v>758</v>
      </c>
      <c r="C217" s="6" t="s">
        <v>734</v>
      </c>
      <c r="D217" s="6" t="s">
        <v>37</v>
      </c>
      <c r="E217" s="92">
        <v>4.7361939945060156E-5</v>
      </c>
      <c r="F217" s="93" t="s">
        <v>37</v>
      </c>
      <c r="G217" s="92">
        <v>1.7369461813906259E-3</v>
      </c>
      <c r="H217" s="93" t="s">
        <v>37</v>
      </c>
      <c r="I217" s="92">
        <v>3.3670033670033673E-3</v>
      </c>
      <c r="J217" s="93" t="s">
        <v>37</v>
      </c>
      <c r="K217" s="94" t="s">
        <v>37</v>
      </c>
      <c r="L217" s="6">
        <v>1</v>
      </c>
      <c r="M217" s="6">
        <v>1</v>
      </c>
      <c r="N217" s="60" t="s">
        <v>330</v>
      </c>
      <c r="O217" s="60">
        <v>23</v>
      </c>
      <c r="P217" s="60">
        <v>6.6</v>
      </c>
      <c r="Q217" s="60">
        <v>1</v>
      </c>
      <c r="R217" s="60">
        <v>1</v>
      </c>
    </row>
    <row r="218" spans="1:18" x14ac:dyDescent="0.35">
      <c r="A218" t="s">
        <v>759</v>
      </c>
      <c r="B218" s="58" t="s">
        <v>760</v>
      </c>
      <c r="C218" s="6" t="s">
        <v>734</v>
      </c>
      <c r="D218" s="6" t="s">
        <v>37</v>
      </c>
      <c r="E218" s="92">
        <v>7.1042909917590224E-5</v>
      </c>
      <c r="F218" s="93" t="s">
        <v>37</v>
      </c>
      <c r="G218" s="92">
        <v>2.6054192720859392E-3</v>
      </c>
      <c r="H218" s="93" t="s">
        <v>37</v>
      </c>
      <c r="I218" s="92">
        <v>5.0505050505050509E-3</v>
      </c>
      <c r="J218" s="93" t="s">
        <v>37</v>
      </c>
      <c r="K218" s="94" t="s">
        <v>37</v>
      </c>
      <c r="L218" s="6">
        <v>1</v>
      </c>
      <c r="M218" s="6">
        <v>1</v>
      </c>
      <c r="N218" s="60" t="s">
        <v>330</v>
      </c>
      <c r="O218" s="60">
        <v>23</v>
      </c>
      <c r="P218" s="60">
        <v>6.6</v>
      </c>
      <c r="Q218" s="60">
        <v>1</v>
      </c>
      <c r="R218" s="60">
        <v>1</v>
      </c>
    </row>
    <row r="219" spans="1:18" x14ac:dyDescent="0.35">
      <c r="A219" t="s">
        <v>761</v>
      </c>
      <c r="B219" s="58" t="s">
        <v>762</v>
      </c>
      <c r="C219" s="6" t="s">
        <v>734</v>
      </c>
      <c r="D219" s="6" t="s">
        <v>37</v>
      </c>
      <c r="E219" s="92">
        <v>1.4208581983518046E-6</v>
      </c>
      <c r="F219" s="93" t="s">
        <v>37</v>
      </c>
      <c r="G219" s="92">
        <v>5.2108385441718781E-5</v>
      </c>
      <c r="H219" s="93" t="s">
        <v>37</v>
      </c>
      <c r="I219" s="92">
        <v>1.0101010101010102E-4</v>
      </c>
      <c r="J219" s="93" t="s">
        <v>37</v>
      </c>
      <c r="K219" s="94" t="s">
        <v>37</v>
      </c>
      <c r="L219" s="6">
        <v>1</v>
      </c>
      <c r="M219" s="6">
        <v>1</v>
      </c>
      <c r="N219" s="60" t="s">
        <v>330</v>
      </c>
      <c r="O219" s="60">
        <v>23</v>
      </c>
      <c r="P219" s="60">
        <v>6.6</v>
      </c>
      <c r="Q219" s="60">
        <v>1</v>
      </c>
      <c r="R219" s="60">
        <v>1</v>
      </c>
    </row>
    <row r="220" spans="1:18" x14ac:dyDescent="0.35">
      <c r="A220" t="s">
        <v>763</v>
      </c>
      <c r="B220" s="58" t="s">
        <v>764</v>
      </c>
      <c r="C220" s="6" t="s">
        <v>734</v>
      </c>
      <c r="D220" s="6" t="s">
        <v>37</v>
      </c>
      <c r="E220" s="92">
        <v>5.3282182438192671E-4</v>
      </c>
      <c r="F220" s="93" t="s">
        <v>37</v>
      </c>
      <c r="G220" s="92">
        <v>1.9540644540644542E-2</v>
      </c>
      <c r="H220" s="93" t="s">
        <v>37</v>
      </c>
      <c r="I220" s="92">
        <v>3.787878787878788E-2</v>
      </c>
      <c r="J220" s="93" t="s">
        <v>37</v>
      </c>
      <c r="K220" s="94" t="s">
        <v>37</v>
      </c>
      <c r="L220" s="6">
        <v>1</v>
      </c>
      <c r="M220" s="6">
        <v>1</v>
      </c>
      <c r="N220" s="60" t="s">
        <v>330</v>
      </c>
      <c r="O220" s="60">
        <v>23</v>
      </c>
      <c r="P220" s="60">
        <v>6.6</v>
      </c>
      <c r="Q220" s="60">
        <v>1</v>
      </c>
      <c r="R220" s="60">
        <v>1</v>
      </c>
    </row>
    <row r="221" spans="1:18" x14ac:dyDescent="0.35">
      <c r="A221" t="s">
        <v>765</v>
      </c>
      <c r="B221" s="58" t="s">
        <v>766</v>
      </c>
      <c r="C221" s="6" t="s">
        <v>734</v>
      </c>
      <c r="D221" s="6" t="s">
        <v>37</v>
      </c>
      <c r="E221" s="92">
        <v>6.0893922786505903E-4</v>
      </c>
      <c r="F221" s="93" t="s">
        <v>37</v>
      </c>
      <c r="G221" s="92">
        <v>2.2332165189308046E-2</v>
      </c>
      <c r="H221" s="93" t="s">
        <v>37</v>
      </c>
      <c r="I221" s="92">
        <v>4.3290043290043288E-2</v>
      </c>
      <c r="J221" s="93" t="s">
        <v>37</v>
      </c>
      <c r="K221" s="94" t="s">
        <v>37</v>
      </c>
      <c r="L221" s="6">
        <v>1</v>
      </c>
      <c r="M221" s="6">
        <v>1</v>
      </c>
      <c r="N221" s="60" t="s">
        <v>330</v>
      </c>
      <c r="O221" s="60">
        <v>23</v>
      </c>
      <c r="P221" s="60">
        <v>6.6</v>
      </c>
      <c r="Q221" s="60">
        <v>1</v>
      </c>
      <c r="R221" s="60">
        <v>1</v>
      </c>
    </row>
    <row r="222" spans="1:18" x14ac:dyDescent="0.35">
      <c r="A222" t="s">
        <v>767</v>
      </c>
      <c r="B222" s="58" t="s">
        <v>768</v>
      </c>
      <c r="C222" s="6" t="s">
        <v>734</v>
      </c>
      <c r="D222" s="6" t="s">
        <v>37</v>
      </c>
      <c r="E222" s="92">
        <v>4.2625745950554133E-5</v>
      </c>
      <c r="F222" s="93" t="s">
        <v>37</v>
      </c>
      <c r="G222" s="92">
        <v>1.5632515632515633E-3</v>
      </c>
      <c r="H222" s="93" t="s">
        <v>37</v>
      </c>
      <c r="I222" s="92">
        <v>3.0303030303030307E-3</v>
      </c>
      <c r="J222" s="93" t="s">
        <v>37</v>
      </c>
      <c r="K222" s="94" t="s">
        <v>37</v>
      </c>
      <c r="L222" s="6">
        <v>1</v>
      </c>
      <c r="M222" s="6">
        <v>1</v>
      </c>
      <c r="N222" s="60" t="s">
        <v>330</v>
      </c>
      <c r="O222" s="60">
        <v>23</v>
      </c>
      <c r="P222" s="60">
        <v>6.6</v>
      </c>
      <c r="Q222" s="60">
        <v>1</v>
      </c>
      <c r="R222" s="60">
        <v>1</v>
      </c>
    </row>
    <row r="223" spans="1:18" x14ac:dyDescent="0.35">
      <c r="A223" t="s">
        <v>769</v>
      </c>
      <c r="B223" s="58" t="s">
        <v>770</v>
      </c>
      <c r="C223" s="6" t="s">
        <v>734</v>
      </c>
      <c r="D223" s="6" t="s">
        <v>37</v>
      </c>
      <c r="E223" s="92">
        <v>4.2625745950554137E-6</v>
      </c>
      <c r="F223" s="93" t="s">
        <v>37</v>
      </c>
      <c r="G223" s="92">
        <v>1.5632515632515634E-4</v>
      </c>
      <c r="H223" s="93" t="s">
        <v>37</v>
      </c>
      <c r="I223" s="92">
        <v>3.0303030303030303E-4</v>
      </c>
      <c r="J223" s="93" t="s">
        <v>37</v>
      </c>
      <c r="K223" s="94" t="s">
        <v>37</v>
      </c>
      <c r="L223" s="6">
        <v>1</v>
      </c>
      <c r="M223" s="6">
        <v>1</v>
      </c>
      <c r="N223" s="60" t="s">
        <v>330</v>
      </c>
      <c r="O223" s="60">
        <v>23</v>
      </c>
      <c r="P223" s="60">
        <v>6.6</v>
      </c>
      <c r="Q223" s="60">
        <v>1</v>
      </c>
      <c r="R223" s="60">
        <v>1</v>
      </c>
    </row>
    <row r="224" spans="1:18" x14ac:dyDescent="0.35">
      <c r="A224" t="s">
        <v>771</v>
      </c>
      <c r="B224" s="58" t="s">
        <v>772</v>
      </c>
      <c r="C224" s="6"/>
      <c r="D224" s="6" t="s">
        <v>37</v>
      </c>
      <c r="E224" s="92">
        <v>7.1428571428571435E-3</v>
      </c>
      <c r="F224" s="93" t="s">
        <v>37</v>
      </c>
      <c r="G224" s="92">
        <v>0.18571428571428572</v>
      </c>
      <c r="H224" s="93" t="s">
        <v>37</v>
      </c>
      <c r="I224" s="92">
        <v>8.5714285714285715E-2</v>
      </c>
      <c r="J224" s="93" t="s">
        <v>37</v>
      </c>
      <c r="K224" s="94" t="s">
        <v>37</v>
      </c>
      <c r="L224" s="6">
        <v>1</v>
      </c>
      <c r="M224" s="6">
        <v>1</v>
      </c>
      <c r="N224" s="60" t="s">
        <v>312</v>
      </c>
      <c r="O224" s="60">
        <v>1</v>
      </c>
      <c r="P224" s="60">
        <v>1</v>
      </c>
      <c r="Q224" s="60">
        <v>1</v>
      </c>
      <c r="R224" s="60">
        <v>1</v>
      </c>
    </row>
    <row r="225" spans="1:18" x14ac:dyDescent="0.35">
      <c r="A225" t="s">
        <v>773</v>
      </c>
      <c r="B225" s="58" t="s">
        <v>774</v>
      </c>
      <c r="C225" s="6"/>
      <c r="D225" s="6" t="s">
        <v>37</v>
      </c>
      <c r="E225" s="92">
        <v>1.4492753623188406E-3</v>
      </c>
      <c r="F225" s="93" t="s">
        <v>37</v>
      </c>
      <c r="G225" s="92">
        <v>3.7681159420289857E-2</v>
      </c>
      <c r="H225" s="93" t="s">
        <v>37</v>
      </c>
      <c r="I225" s="92">
        <v>1.7391304347826087E-2</v>
      </c>
      <c r="J225" s="93" t="s">
        <v>37</v>
      </c>
      <c r="K225" s="94" t="s">
        <v>37</v>
      </c>
      <c r="L225" s="6">
        <v>1</v>
      </c>
      <c r="M225" s="6">
        <v>1</v>
      </c>
      <c r="N225" s="60" t="s">
        <v>312</v>
      </c>
      <c r="O225" s="60">
        <v>1</v>
      </c>
      <c r="P225" s="60">
        <v>1</v>
      </c>
      <c r="Q225" s="60">
        <v>1</v>
      </c>
      <c r="R225" s="60">
        <v>1</v>
      </c>
    </row>
    <row r="226" spans="1:18" x14ac:dyDescent="0.35">
      <c r="A226" t="s">
        <v>775</v>
      </c>
      <c r="B226" s="58" t="s">
        <v>776</v>
      </c>
      <c r="C226" s="6"/>
      <c r="D226" s="6" t="s">
        <v>326</v>
      </c>
      <c r="E226" s="92" t="s">
        <v>37</v>
      </c>
      <c r="F226" s="93">
        <v>8</v>
      </c>
      <c r="G226" s="92" t="s">
        <v>37</v>
      </c>
      <c r="H226" s="93">
        <v>35.200000000000003</v>
      </c>
      <c r="I226" s="92" t="s">
        <v>37</v>
      </c>
      <c r="J226" s="93">
        <v>35.200000000000003</v>
      </c>
      <c r="K226" s="94" t="s">
        <v>37</v>
      </c>
      <c r="L226" s="6">
        <v>1</v>
      </c>
      <c r="M226" s="6">
        <v>1</v>
      </c>
      <c r="N226" s="60" t="s">
        <v>312</v>
      </c>
      <c r="O226" s="60">
        <v>1</v>
      </c>
      <c r="P226" s="60">
        <v>1</v>
      </c>
      <c r="Q226" s="60">
        <v>1</v>
      </c>
      <c r="R226" s="60">
        <v>1</v>
      </c>
    </row>
    <row r="227" spans="1:18" x14ac:dyDescent="0.35">
      <c r="A227" t="s">
        <v>777</v>
      </c>
      <c r="B227" s="58" t="s">
        <v>778</v>
      </c>
      <c r="C227" s="6"/>
      <c r="D227" s="6" t="s">
        <v>326</v>
      </c>
      <c r="E227" s="92" t="s">
        <v>37</v>
      </c>
      <c r="F227" s="93">
        <v>3000</v>
      </c>
      <c r="G227" s="92" t="s">
        <v>37</v>
      </c>
      <c r="H227" s="93">
        <v>13200.000000000002</v>
      </c>
      <c r="I227" s="92" t="s">
        <v>37</v>
      </c>
      <c r="J227" s="93">
        <v>13200.000000000002</v>
      </c>
      <c r="K227" s="94" t="s">
        <v>37</v>
      </c>
      <c r="L227" s="6">
        <v>1</v>
      </c>
      <c r="M227" s="6">
        <v>1</v>
      </c>
      <c r="N227" s="60" t="s">
        <v>312</v>
      </c>
      <c r="O227" s="60">
        <v>1</v>
      </c>
      <c r="P227" s="60">
        <v>1</v>
      </c>
      <c r="Q227" s="60">
        <v>1</v>
      </c>
      <c r="R227" s="60">
        <v>1</v>
      </c>
    </row>
    <row r="228" spans="1:18" x14ac:dyDescent="0.35">
      <c r="A228" t="s">
        <v>779</v>
      </c>
      <c r="B228" s="58" t="s">
        <v>780</v>
      </c>
      <c r="C228" s="6"/>
      <c r="D228" s="6" t="s">
        <v>326</v>
      </c>
      <c r="E228" s="92" t="s">
        <v>37</v>
      </c>
      <c r="F228" s="93">
        <v>0.27</v>
      </c>
      <c r="G228" s="92" t="s">
        <v>37</v>
      </c>
      <c r="H228" s="93">
        <v>1.1880000000000002</v>
      </c>
      <c r="I228" s="92" t="s">
        <v>37</v>
      </c>
      <c r="J228" s="93">
        <v>1.1880000000000002</v>
      </c>
      <c r="K228" s="94">
        <v>20</v>
      </c>
      <c r="L228" s="6">
        <v>1</v>
      </c>
      <c r="M228" s="6">
        <v>1</v>
      </c>
      <c r="N228" s="60" t="s">
        <v>312</v>
      </c>
      <c r="O228" s="60">
        <v>1</v>
      </c>
      <c r="P228" s="60">
        <v>1</v>
      </c>
      <c r="Q228" s="60">
        <v>1</v>
      </c>
      <c r="R228" s="60">
        <v>1</v>
      </c>
    </row>
    <row r="229" spans="1:18" ht="29" x14ac:dyDescent="0.35">
      <c r="A229" t="s">
        <v>781</v>
      </c>
      <c r="B229" s="58" t="s">
        <v>782</v>
      </c>
      <c r="C229" s="6"/>
      <c r="D229" s="6" t="s">
        <v>311</v>
      </c>
      <c r="E229" s="92" t="s">
        <v>37</v>
      </c>
      <c r="F229" s="93">
        <v>7000</v>
      </c>
      <c r="G229" s="92" t="s">
        <v>37</v>
      </c>
      <c r="H229" s="93">
        <v>30800.000000000004</v>
      </c>
      <c r="I229" s="92" t="s">
        <v>37</v>
      </c>
      <c r="J229" s="93">
        <v>30800.000000000004</v>
      </c>
      <c r="K229" s="94" t="s">
        <v>37</v>
      </c>
      <c r="L229" s="6">
        <v>1</v>
      </c>
      <c r="M229" s="6">
        <v>1</v>
      </c>
      <c r="N229" s="60" t="s">
        <v>312</v>
      </c>
      <c r="O229" s="60">
        <v>1</v>
      </c>
      <c r="P229" s="60">
        <v>1</v>
      </c>
      <c r="Q229" s="60">
        <v>1</v>
      </c>
      <c r="R229" s="60">
        <v>1</v>
      </c>
    </row>
    <row r="230" spans="1:18" x14ac:dyDescent="0.35">
      <c r="A230" t="s">
        <v>783</v>
      </c>
      <c r="B230" s="58" t="s">
        <v>784</v>
      </c>
      <c r="C230" s="6"/>
      <c r="D230" s="6" t="s">
        <v>311</v>
      </c>
      <c r="E230" s="92">
        <v>0.27027027027027023</v>
      </c>
      <c r="F230" s="93">
        <v>30</v>
      </c>
      <c r="G230" s="92">
        <v>7.0270270270270263</v>
      </c>
      <c r="H230" s="93">
        <v>132</v>
      </c>
      <c r="I230" s="92">
        <v>3.243243243243243</v>
      </c>
      <c r="J230" s="93">
        <v>132</v>
      </c>
      <c r="K230" s="94">
        <v>3100</v>
      </c>
      <c r="L230" s="6">
        <v>1</v>
      </c>
      <c r="M230" s="6">
        <v>1</v>
      </c>
      <c r="N230" s="60" t="s">
        <v>312</v>
      </c>
      <c r="O230" s="60">
        <v>1</v>
      </c>
      <c r="P230" s="60">
        <v>1</v>
      </c>
      <c r="Q230" s="60">
        <v>1</v>
      </c>
      <c r="R230" s="60">
        <v>1</v>
      </c>
    </row>
    <row r="231" spans="1:18" x14ac:dyDescent="0.35">
      <c r="A231">
        <v>572</v>
      </c>
      <c r="B231" s="58" t="s">
        <v>785</v>
      </c>
      <c r="C231" s="6" t="s">
        <v>366</v>
      </c>
      <c r="D231" s="6" t="s">
        <v>326</v>
      </c>
      <c r="E231" s="92" t="s">
        <v>37</v>
      </c>
      <c r="F231" s="93">
        <v>0.03</v>
      </c>
      <c r="G231" s="92" t="s">
        <v>37</v>
      </c>
      <c r="H231" s="93">
        <v>0.13200000000000001</v>
      </c>
      <c r="I231" s="92" t="s">
        <v>37</v>
      </c>
      <c r="J231" s="93">
        <v>0.13200000000000001</v>
      </c>
      <c r="K231" s="94" t="s">
        <v>37</v>
      </c>
      <c r="L231" s="6">
        <v>1</v>
      </c>
      <c r="M231" s="6">
        <v>1</v>
      </c>
      <c r="N231" s="60" t="s">
        <v>312</v>
      </c>
      <c r="O231" s="60">
        <v>1</v>
      </c>
      <c r="P231" s="60">
        <v>1</v>
      </c>
      <c r="Q231" s="60">
        <v>1</v>
      </c>
      <c r="R231" s="60">
        <v>1</v>
      </c>
    </row>
    <row r="232" spans="1:18" x14ac:dyDescent="0.35">
      <c r="A232" t="s">
        <v>786</v>
      </c>
      <c r="B232" s="58" t="s">
        <v>787</v>
      </c>
      <c r="C232" s="6"/>
      <c r="D232" s="6" t="s">
        <v>311</v>
      </c>
      <c r="E232" s="92" t="s">
        <v>37</v>
      </c>
      <c r="F232" s="93" t="s">
        <v>37</v>
      </c>
      <c r="G232" s="92" t="s">
        <v>37</v>
      </c>
      <c r="H232" s="93" t="s">
        <v>37</v>
      </c>
      <c r="I232" s="92" t="s">
        <v>37</v>
      </c>
      <c r="J232" s="93" t="s">
        <v>37</v>
      </c>
      <c r="K232" s="94">
        <v>5</v>
      </c>
      <c r="L232" s="6">
        <v>1</v>
      </c>
      <c r="M232" s="6">
        <v>1</v>
      </c>
      <c r="N232" s="60" t="s">
        <v>312</v>
      </c>
      <c r="O232" s="60">
        <v>1</v>
      </c>
      <c r="P232" s="60">
        <v>1</v>
      </c>
      <c r="Q232" s="60">
        <v>1</v>
      </c>
      <c r="R232" s="60">
        <v>1</v>
      </c>
    </row>
    <row r="233" spans="1:18" x14ac:dyDescent="0.35">
      <c r="A233" t="s">
        <v>435</v>
      </c>
      <c r="B233" s="58" t="s">
        <v>436</v>
      </c>
      <c r="C233" s="6" t="s">
        <v>346</v>
      </c>
      <c r="D233" s="6" t="s">
        <v>311</v>
      </c>
      <c r="E233" s="92" t="s">
        <v>37</v>
      </c>
      <c r="F233" s="93" t="s">
        <v>37</v>
      </c>
      <c r="G233" s="92" t="s">
        <v>37</v>
      </c>
      <c r="H233" s="93" t="s">
        <v>37</v>
      </c>
      <c r="I233" s="92" t="s">
        <v>37</v>
      </c>
      <c r="J233" s="93" t="s">
        <v>37</v>
      </c>
      <c r="K233" s="94">
        <v>2</v>
      </c>
      <c r="L233" s="6">
        <v>1</v>
      </c>
      <c r="M233" s="6">
        <v>1</v>
      </c>
      <c r="N233" s="60" t="s">
        <v>312</v>
      </c>
      <c r="O233" s="60">
        <v>1</v>
      </c>
      <c r="P233" s="60">
        <v>1</v>
      </c>
      <c r="Q233" s="60">
        <v>200</v>
      </c>
      <c r="R233" s="60">
        <v>24</v>
      </c>
    </row>
    <row r="234" spans="1:18" ht="29" x14ac:dyDescent="0.35">
      <c r="A234" t="s">
        <v>219</v>
      </c>
      <c r="B234" s="58" t="s">
        <v>439</v>
      </c>
      <c r="C234" s="6"/>
      <c r="D234" s="6" t="s">
        <v>326</v>
      </c>
      <c r="E234" s="92" t="s">
        <v>37</v>
      </c>
      <c r="F234" s="93">
        <v>3</v>
      </c>
      <c r="G234" s="92" t="s">
        <v>37</v>
      </c>
      <c r="H234" s="93">
        <v>13.200000000000001</v>
      </c>
      <c r="I234" s="92" t="s">
        <v>37</v>
      </c>
      <c r="J234" s="93">
        <v>13.200000000000001</v>
      </c>
      <c r="K234" s="94" t="s">
        <v>37</v>
      </c>
      <c r="L234" s="6">
        <v>1</v>
      </c>
      <c r="M234" s="6">
        <v>1</v>
      </c>
      <c r="N234" s="60" t="s">
        <v>312</v>
      </c>
      <c r="O234" s="60">
        <v>1</v>
      </c>
      <c r="P234" s="60">
        <v>1</v>
      </c>
      <c r="Q234" s="60">
        <v>1</v>
      </c>
      <c r="R234" s="60">
        <v>1</v>
      </c>
    </row>
    <row r="235" spans="1:18" x14ac:dyDescent="0.35">
      <c r="A235" t="s">
        <v>788</v>
      </c>
      <c r="B235" s="58" t="s">
        <v>789</v>
      </c>
      <c r="C235" s="6"/>
      <c r="D235" s="6" t="s">
        <v>311</v>
      </c>
      <c r="E235" s="92" t="s">
        <v>37</v>
      </c>
      <c r="F235" s="93" t="s">
        <v>37</v>
      </c>
      <c r="G235" s="92" t="s">
        <v>37</v>
      </c>
      <c r="H235" s="93" t="s">
        <v>37</v>
      </c>
      <c r="I235" s="92" t="s">
        <v>37</v>
      </c>
      <c r="J235" s="93" t="s">
        <v>37</v>
      </c>
      <c r="K235" s="94">
        <v>8</v>
      </c>
      <c r="L235" s="6">
        <v>1</v>
      </c>
      <c r="M235" s="6">
        <v>1</v>
      </c>
      <c r="N235" s="60" t="s">
        <v>312</v>
      </c>
      <c r="O235" s="60">
        <v>1</v>
      </c>
      <c r="P235" s="60">
        <v>1</v>
      </c>
      <c r="Q235" s="60">
        <v>1</v>
      </c>
      <c r="R235" s="60">
        <v>1</v>
      </c>
    </row>
    <row r="236" spans="1:18" x14ac:dyDescent="0.35">
      <c r="A236" t="s">
        <v>446</v>
      </c>
      <c r="B236" s="58" t="s">
        <v>447</v>
      </c>
      <c r="C236" s="6"/>
      <c r="D236" s="6" t="s">
        <v>311</v>
      </c>
      <c r="E236" s="92" t="s">
        <v>37</v>
      </c>
      <c r="F236" s="93">
        <v>1000</v>
      </c>
      <c r="G236" s="92" t="s">
        <v>37</v>
      </c>
      <c r="H236" s="93">
        <v>4400</v>
      </c>
      <c r="I236" s="92" t="s">
        <v>37</v>
      </c>
      <c r="J236" s="93">
        <v>4400</v>
      </c>
      <c r="K236" s="94">
        <v>21000</v>
      </c>
      <c r="L236" s="6">
        <v>1</v>
      </c>
      <c r="M236" s="6">
        <v>1</v>
      </c>
      <c r="N236" s="60" t="s">
        <v>312</v>
      </c>
      <c r="O236" s="60">
        <v>1</v>
      </c>
      <c r="P236" s="60">
        <v>1</v>
      </c>
      <c r="Q236" s="60">
        <v>1</v>
      </c>
      <c r="R236" s="60">
        <v>1</v>
      </c>
    </row>
    <row r="237" spans="1:18" x14ac:dyDescent="0.35">
      <c r="A237" t="s">
        <v>790</v>
      </c>
      <c r="B237" s="58" t="s">
        <v>791</v>
      </c>
      <c r="C237" s="6"/>
      <c r="D237" s="6" t="s">
        <v>326</v>
      </c>
      <c r="E237" s="92" t="s">
        <v>37</v>
      </c>
      <c r="F237" s="93">
        <v>1</v>
      </c>
      <c r="G237" s="92" t="s">
        <v>37</v>
      </c>
      <c r="H237" s="93">
        <v>4.4000000000000004</v>
      </c>
      <c r="I237" s="92" t="s">
        <v>37</v>
      </c>
      <c r="J237" s="93">
        <v>4.4000000000000004</v>
      </c>
      <c r="K237" s="94">
        <v>120</v>
      </c>
      <c r="L237" s="6">
        <v>1</v>
      </c>
      <c r="M237" s="6">
        <v>1</v>
      </c>
      <c r="N237" s="60" t="s">
        <v>312</v>
      </c>
      <c r="O237" s="60">
        <v>1</v>
      </c>
      <c r="P237" s="60">
        <v>1</v>
      </c>
      <c r="Q237" s="60">
        <v>1</v>
      </c>
      <c r="R237" s="60">
        <v>1</v>
      </c>
    </row>
    <row r="238" spans="1:18" x14ac:dyDescent="0.35">
      <c r="A238" t="s">
        <v>792</v>
      </c>
      <c r="B238" s="58" t="s">
        <v>793</v>
      </c>
      <c r="C238" s="6"/>
      <c r="D238" s="6" t="s">
        <v>311</v>
      </c>
      <c r="E238" s="92" t="s">
        <v>37</v>
      </c>
      <c r="F238" s="93" t="s">
        <v>37</v>
      </c>
      <c r="G238" s="92" t="s">
        <v>37</v>
      </c>
      <c r="H238" s="93" t="s">
        <v>37</v>
      </c>
      <c r="I238" s="92" t="s">
        <v>37</v>
      </c>
      <c r="J238" s="93" t="s">
        <v>37</v>
      </c>
      <c r="K238" s="94">
        <v>0.7</v>
      </c>
      <c r="L238" s="6">
        <v>1</v>
      </c>
      <c r="M238" s="6">
        <v>1</v>
      </c>
      <c r="N238" s="60" t="s">
        <v>312</v>
      </c>
      <c r="O238" s="60">
        <v>1</v>
      </c>
      <c r="P238" s="60">
        <v>1</v>
      </c>
      <c r="Q238" s="60">
        <v>1</v>
      </c>
      <c r="R238" s="60">
        <v>1</v>
      </c>
    </row>
    <row r="239" spans="1:18" x14ac:dyDescent="0.35">
      <c r="A239" t="s">
        <v>794</v>
      </c>
      <c r="B239" s="58" t="s">
        <v>795</v>
      </c>
      <c r="C239" s="6"/>
      <c r="D239" s="6" t="s">
        <v>326</v>
      </c>
      <c r="E239" s="92" t="s">
        <v>37</v>
      </c>
      <c r="F239" s="93">
        <v>1</v>
      </c>
      <c r="G239" s="92" t="s">
        <v>37</v>
      </c>
      <c r="H239" s="93">
        <v>4.4000000000000004</v>
      </c>
      <c r="I239" s="92" t="s">
        <v>37</v>
      </c>
      <c r="J239" s="93">
        <v>4.4000000000000004</v>
      </c>
      <c r="K239" s="94">
        <v>120</v>
      </c>
      <c r="L239" s="6">
        <v>1</v>
      </c>
      <c r="M239" s="6">
        <v>1</v>
      </c>
      <c r="N239" s="60" t="s">
        <v>312</v>
      </c>
      <c r="O239" s="60">
        <v>1</v>
      </c>
      <c r="P239" s="60">
        <v>1</v>
      </c>
      <c r="Q239" s="60">
        <v>1</v>
      </c>
      <c r="R239" s="60">
        <v>1</v>
      </c>
    </row>
    <row r="240" spans="1:18" x14ac:dyDescent="0.35">
      <c r="A240" t="s">
        <v>796</v>
      </c>
      <c r="B240" s="58" t="s">
        <v>797</v>
      </c>
      <c r="C240" s="6"/>
      <c r="D240" s="6" t="s">
        <v>37</v>
      </c>
      <c r="E240" s="92">
        <v>0.13513513513513511</v>
      </c>
      <c r="F240" s="93" t="s">
        <v>37</v>
      </c>
      <c r="G240" s="92">
        <v>3.5135135135135132</v>
      </c>
      <c r="H240" s="93" t="s">
        <v>37</v>
      </c>
      <c r="I240" s="92">
        <v>1.6216216216216215</v>
      </c>
      <c r="J240" s="93" t="s">
        <v>37</v>
      </c>
      <c r="K240" s="94" t="s">
        <v>37</v>
      </c>
      <c r="L240" s="6">
        <v>1</v>
      </c>
      <c r="M240" s="6">
        <v>1</v>
      </c>
      <c r="N240" s="60" t="s">
        <v>312</v>
      </c>
      <c r="O240" s="60">
        <v>1</v>
      </c>
      <c r="P240" s="60">
        <v>1</v>
      </c>
      <c r="Q240" s="60">
        <v>1</v>
      </c>
      <c r="R240" s="60">
        <v>1</v>
      </c>
    </row>
    <row r="241" spans="1:18" x14ac:dyDescent="0.35">
      <c r="A241" t="s">
        <v>798</v>
      </c>
      <c r="B241" s="58" t="s">
        <v>799</v>
      </c>
      <c r="C241" s="6"/>
      <c r="D241" s="6" t="s">
        <v>37</v>
      </c>
      <c r="E241" s="92">
        <v>1.7241379310344827E-2</v>
      </c>
      <c r="F241" s="93" t="s">
        <v>37</v>
      </c>
      <c r="G241" s="92">
        <v>0.44827586206896552</v>
      </c>
      <c r="H241" s="93" t="s">
        <v>37</v>
      </c>
      <c r="I241" s="92">
        <v>0.20689655172413793</v>
      </c>
      <c r="J241" s="93" t="s">
        <v>37</v>
      </c>
      <c r="K241" s="94" t="s">
        <v>37</v>
      </c>
      <c r="L241" s="6">
        <v>1</v>
      </c>
      <c r="M241" s="6">
        <v>1</v>
      </c>
      <c r="N241" s="60" t="s">
        <v>312</v>
      </c>
      <c r="O241" s="60">
        <v>1</v>
      </c>
      <c r="P241" s="60">
        <v>1</v>
      </c>
      <c r="Q241" s="60">
        <v>1</v>
      </c>
      <c r="R241" s="60">
        <v>1</v>
      </c>
    </row>
    <row r="242" spans="1:18" ht="29" x14ac:dyDescent="0.35">
      <c r="A242" t="s">
        <v>800</v>
      </c>
      <c r="B242" s="58" t="s">
        <v>801</v>
      </c>
      <c r="C242" s="6"/>
      <c r="D242" s="6" t="s">
        <v>311</v>
      </c>
      <c r="E242" s="92">
        <v>3.8461538461538458</v>
      </c>
      <c r="F242" s="93">
        <v>41</v>
      </c>
      <c r="G242" s="92">
        <v>99.999999999999986</v>
      </c>
      <c r="H242" s="93">
        <v>180.4</v>
      </c>
      <c r="I242" s="92">
        <v>46.153846153846146</v>
      </c>
      <c r="J242" s="93">
        <v>180.4</v>
      </c>
      <c r="K242" s="94">
        <v>41</v>
      </c>
      <c r="L242" s="6">
        <v>1</v>
      </c>
      <c r="M242" s="6">
        <v>1</v>
      </c>
      <c r="N242" s="60" t="s">
        <v>312</v>
      </c>
      <c r="O242" s="60">
        <v>1</v>
      </c>
      <c r="P242" s="60">
        <v>1</v>
      </c>
      <c r="Q242" s="60">
        <v>1</v>
      </c>
      <c r="R242" s="60">
        <v>1</v>
      </c>
    </row>
    <row r="243" spans="1:18" x14ac:dyDescent="0.35">
      <c r="A243" t="s">
        <v>802</v>
      </c>
      <c r="B243" s="58" t="s">
        <v>803</v>
      </c>
      <c r="C243" s="6"/>
      <c r="D243" s="6" t="s">
        <v>311</v>
      </c>
      <c r="E243" s="92" t="s">
        <v>37</v>
      </c>
      <c r="F243" s="93">
        <v>80000</v>
      </c>
      <c r="G243" s="92" t="s">
        <v>37</v>
      </c>
      <c r="H243" s="93">
        <v>352000</v>
      </c>
      <c r="I243" s="92" t="s">
        <v>37</v>
      </c>
      <c r="J243" s="93">
        <v>352000</v>
      </c>
      <c r="K243" s="94" t="s">
        <v>37</v>
      </c>
      <c r="L243" s="6">
        <v>1</v>
      </c>
      <c r="M243" s="6">
        <v>1</v>
      </c>
      <c r="N243" s="60" t="s">
        <v>312</v>
      </c>
      <c r="O243" s="60">
        <v>1</v>
      </c>
      <c r="P243" s="60">
        <v>1</v>
      </c>
      <c r="Q243" s="60">
        <v>1</v>
      </c>
      <c r="R243" s="60">
        <v>1</v>
      </c>
    </row>
    <row r="244" spans="1:18" x14ac:dyDescent="0.35">
      <c r="A244" t="s">
        <v>804</v>
      </c>
      <c r="B244" s="58" t="s">
        <v>805</v>
      </c>
      <c r="C244" s="6"/>
      <c r="D244" s="6" t="s">
        <v>37</v>
      </c>
      <c r="E244" s="92">
        <v>5.8823529411764712E-4</v>
      </c>
      <c r="F244" s="93" t="s">
        <v>37</v>
      </c>
      <c r="G244" s="92">
        <v>1.5294117647058824E-2</v>
      </c>
      <c r="H244" s="93" t="s">
        <v>37</v>
      </c>
      <c r="I244" s="92">
        <v>7.058823529411765E-3</v>
      </c>
      <c r="J244" s="93" t="s">
        <v>37</v>
      </c>
      <c r="K244" s="94" t="s">
        <v>37</v>
      </c>
      <c r="L244" s="6">
        <v>1</v>
      </c>
      <c r="M244" s="6">
        <v>1</v>
      </c>
      <c r="N244" s="60" t="s">
        <v>312</v>
      </c>
      <c r="O244" s="60">
        <v>1</v>
      </c>
      <c r="P244" s="60">
        <v>1</v>
      </c>
      <c r="Q244" s="60">
        <v>1</v>
      </c>
      <c r="R244" s="60">
        <v>1</v>
      </c>
    </row>
    <row r="245" spans="1:18" x14ac:dyDescent="0.35">
      <c r="A245" t="s">
        <v>806</v>
      </c>
      <c r="B245" s="58" t="s">
        <v>807</v>
      </c>
      <c r="C245" s="6"/>
      <c r="D245" s="6" t="s">
        <v>311</v>
      </c>
      <c r="E245" s="92" t="s">
        <v>37</v>
      </c>
      <c r="F245" s="93">
        <v>0.1</v>
      </c>
      <c r="G245" s="92" t="s">
        <v>37</v>
      </c>
      <c r="H245" s="93">
        <v>0.44000000000000006</v>
      </c>
      <c r="I245" s="92" t="s">
        <v>37</v>
      </c>
      <c r="J245" s="93">
        <v>0.44000000000000006</v>
      </c>
      <c r="K245" s="94">
        <v>10</v>
      </c>
      <c r="L245" s="6">
        <v>1</v>
      </c>
      <c r="M245" s="6">
        <v>1</v>
      </c>
      <c r="N245" s="60" t="s">
        <v>312</v>
      </c>
      <c r="O245" s="60">
        <v>1</v>
      </c>
      <c r="P245" s="60">
        <v>1</v>
      </c>
      <c r="Q245" s="60">
        <v>1</v>
      </c>
      <c r="R245" s="60">
        <v>1</v>
      </c>
    </row>
    <row r="246" spans="1:18" x14ac:dyDescent="0.35">
      <c r="A246" t="s">
        <v>450</v>
      </c>
      <c r="B246" s="58" t="s">
        <v>451</v>
      </c>
      <c r="C246" s="6"/>
      <c r="D246" s="6" t="s">
        <v>311</v>
      </c>
      <c r="E246" s="92" t="s">
        <v>37</v>
      </c>
      <c r="F246" s="93">
        <v>5000</v>
      </c>
      <c r="G246" s="92" t="s">
        <v>37</v>
      </c>
      <c r="H246" s="93">
        <v>22000</v>
      </c>
      <c r="I246" s="92" t="s">
        <v>37</v>
      </c>
      <c r="J246" s="93">
        <v>22000</v>
      </c>
      <c r="K246" s="94">
        <v>7500</v>
      </c>
      <c r="L246" s="6">
        <v>1</v>
      </c>
      <c r="M246" s="6">
        <v>1</v>
      </c>
      <c r="N246" s="60" t="s">
        <v>312</v>
      </c>
      <c r="O246" s="60">
        <v>1</v>
      </c>
      <c r="P246" s="60">
        <v>1</v>
      </c>
      <c r="Q246" s="60">
        <v>1</v>
      </c>
      <c r="R246" s="60">
        <v>1</v>
      </c>
    </row>
    <row r="247" spans="1:18" ht="29" x14ac:dyDescent="0.35">
      <c r="A247" t="s">
        <v>808</v>
      </c>
      <c r="B247" s="58" t="s">
        <v>809</v>
      </c>
      <c r="C247" s="6"/>
      <c r="D247" s="6" t="s">
        <v>311</v>
      </c>
      <c r="E247" s="92">
        <v>9.0909090909090912E-2</v>
      </c>
      <c r="F247" s="93">
        <v>2.1000000000000001E-2</v>
      </c>
      <c r="G247" s="92">
        <v>2.3636363636363638</v>
      </c>
      <c r="H247" s="93">
        <v>9.240000000000001E-2</v>
      </c>
      <c r="I247" s="92">
        <v>1.0909090909090908</v>
      </c>
      <c r="J247" s="93">
        <v>9.240000000000001E-2</v>
      </c>
      <c r="K247" s="94">
        <v>7.0999999999999994E-2</v>
      </c>
      <c r="L247" s="6">
        <v>1</v>
      </c>
      <c r="M247" s="6">
        <v>1</v>
      </c>
      <c r="N247" s="60" t="s">
        <v>312</v>
      </c>
      <c r="O247" s="60">
        <v>1</v>
      </c>
      <c r="P247" s="60">
        <v>1</v>
      </c>
      <c r="Q247" s="60">
        <v>1</v>
      </c>
      <c r="R247" s="60">
        <v>1</v>
      </c>
    </row>
    <row r="248" spans="1:18" ht="43.5" x14ac:dyDescent="0.35">
      <c r="A248" t="s">
        <v>810</v>
      </c>
      <c r="B248" s="58" t="s">
        <v>811</v>
      </c>
      <c r="C248" s="6"/>
      <c r="D248" s="6" t="s">
        <v>37</v>
      </c>
      <c r="E248" s="92">
        <v>3.1249999999999997E-3</v>
      </c>
      <c r="F248" s="93" t="s">
        <v>37</v>
      </c>
      <c r="G248" s="92">
        <v>8.1249999999999989E-2</v>
      </c>
      <c r="H248" s="93" t="s">
        <v>37</v>
      </c>
      <c r="I248" s="92">
        <v>3.7499999999999999E-2</v>
      </c>
      <c r="J248" s="93" t="s">
        <v>37</v>
      </c>
      <c r="K248" s="94" t="s">
        <v>37</v>
      </c>
      <c r="L248" s="6">
        <v>1</v>
      </c>
      <c r="M248" s="6">
        <v>1</v>
      </c>
      <c r="N248" s="60" t="s">
        <v>312</v>
      </c>
      <c r="O248" s="60">
        <v>1</v>
      </c>
      <c r="P248" s="60">
        <v>1</v>
      </c>
      <c r="Q248" s="60">
        <v>1</v>
      </c>
      <c r="R248" s="60">
        <v>1</v>
      </c>
    </row>
    <row r="249" spans="1:18" ht="18" customHeight="1" x14ac:dyDescent="0.35">
      <c r="A249" t="s">
        <v>812</v>
      </c>
      <c r="B249" s="58" t="s">
        <v>813</v>
      </c>
      <c r="C249" s="6"/>
      <c r="D249" s="6" t="s">
        <v>311</v>
      </c>
      <c r="E249" s="92" t="s">
        <v>37</v>
      </c>
      <c r="F249" s="93">
        <v>5000</v>
      </c>
      <c r="G249" s="92" t="s">
        <v>37</v>
      </c>
      <c r="H249" s="93">
        <v>22000</v>
      </c>
      <c r="I249" s="92" t="s">
        <v>37</v>
      </c>
      <c r="J249" s="93">
        <v>22000</v>
      </c>
      <c r="K249" s="94">
        <v>11000</v>
      </c>
      <c r="L249" s="6">
        <v>1</v>
      </c>
      <c r="M249" s="6">
        <v>1</v>
      </c>
      <c r="N249" s="60" t="s">
        <v>312</v>
      </c>
      <c r="O249" s="60">
        <v>1</v>
      </c>
      <c r="P249" s="60">
        <v>1</v>
      </c>
      <c r="Q249" s="60">
        <v>1</v>
      </c>
      <c r="R249" s="60">
        <v>1</v>
      </c>
    </row>
    <row r="250" spans="1:18" ht="29" x14ac:dyDescent="0.35">
      <c r="A250" t="s">
        <v>814</v>
      </c>
      <c r="B250" s="58" t="s">
        <v>815</v>
      </c>
      <c r="C250" s="6"/>
      <c r="D250" s="6" t="s">
        <v>37</v>
      </c>
      <c r="E250" s="92">
        <v>6.25E-2</v>
      </c>
      <c r="F250" s="93" t="s">
        <v>37</v>
      </c>
      <c r="G250" s="92">
        <v>1.625</v>
      </c>
      <c r="H250" s="93" t="s">
        <v>37</v>
      </c>
      <c r="I250" s="92">
        <v>0.75</v>
      </c>
      <c r="J250" s="93" t="s">
        <v>37</v>
      </c>
      <c r="K250" s="94" t="s">
        <v>37</v>
      </c>
      <c r="L250" s="6">
        <v>1</v>
      </c>
      <c r="M250" s="6">
        <v>1</v>
      </c>
      <c r="N250" s="60" t="s">
        <v>312</v>
      </c>
      <c r="O250" s="60">
        <v>1</v>
      </c>
      <c r="P250" s="60">
        <v>1</v>
      </c>
      <c r="Q250" s="60">
        <v>1</v>
      </c>
      <c r="R250" s="60">
        <v>1</v>
      </c>
    </row>
    <row r="251" spans="1:18" ht="29" x14ac:dyDescent="0.35">
      <c r="A251" t="s">
        <v>816</v>
      </c>
      <c r="B251" s="58" t="s">
        <v>817</v>
      </c>
      <c r="C251" s="6" t="s">
        <v>329</v>
      </c>
      <c r="D251" s="6" t="s">
        <v>311</v>
      </c>
      <c r="E251" s="92">
        <v>0.2032520325203252</v>
      </c>
      <c r="F251" s="93">
        <v>2.1</v>
      </c>
      <c r="G251" s="92">
        <v>3.5230352303523036</v>
      </c>
      <c r="H251" s="93">
        <v>9.240000000000002</v>
      </c>
      <c r="I251" s="92">
        <v>2.9268292682926829</v>
      </c>
      <c r="J251" s="93">
        <v>9.240000000000002</v>
      </c>
      <c r="K251" s="94">
        <v>2.1</v>
      </c>
      <c r="L251" s="6">
        <v>1</v>
      </c>
      <c r="M251" s="6">
        <v>1</v>
      </c>
      <c r="N251" s="60" t="s">
        <v>330</v>
      </c>
      <c r="O251" s="60">
        <v>1</v>
      </c>
      <c r="P251" s="60">
        <v>1</v>
      </c>
      <c r="Q251" s="60">
        <v>1</v>
      </c>
      <c r="R251" s="60">
        <v>1</v>
      </c>
    </row>
    <row r="252" spans="1:18" x14ac:dyDescent="0.35">
      <c r="A252" t="s">
        <v>818</v>
      </c>
      <c r="B252" s="58" t="s">
        <v>819</v>
      </c>
      <c r="C252" s="6"/>
      <c r="D252" s="6" t="s">
        <v>37</v>
      </c>
      <c r="E252" s="92">
        <v>4.9999999999999996E-2</v>
      </c>
      <c r="F252" s="93" t="s">
        <v>37</v>
      </c>
      <c r="G252" s="92">
        <v>1.2999999999999998</v>
      </c>
      <c r="H252" s="93" t="s">
        <v>37</v>
      </c>
      <c r="I252" s="92">
        <v>0.6</v>
      </c>
      <c r="J252" s="93" t="s">
        <v>37</v>
      </c>
      <c r="K252" s="94" t="s">
        <v>37</v>
      </c>
      <c r="L252" s="6">
        <v>1</v>
      </c>
      <c r="M252" s="6">
        <v>1</v>
      </c>
      <c r="N252" s="60" t="s">
        <v>312</v>
      </c>
      <c r="O252" s="60">
        <v>1</v>
      </c>
      <c r="P252" s="60">
        <v>1</v>
      </c>
      <c r="Q252" s="60">
        <v>1</v>
      </c>
      <c r="R252" s="60">
        <v>1</v>
      </c>
    </row>
    <row r="253" spans="1:18" x14ac:dyDescent="0.35">
      <c r="A253" t="s">
        <v>820</v>
      </c>
      <c r="B253" s="58" t="s">
        <v>821</v>
      </c>
      <c r="C253" s="6"/>
      <c r="D253" s="6" t="s">
        <v>326</v>
      </c>
      <c r="E253" s="92" t="s">
        <v>37</v>
      </c>
      <c r="F253" s="93">
        <v>0.3</v>
      </c>
      <c r="G253" s="92" t="s">
        <v>37</v>
      </c>
      <c r="H253" s="93">
        <v>1.32</v>
      </c>
      <c r="I253" s="92" t="s">
        <v>37</v>
      </c>
      <c r="J253" s="93">
        <v>1.32</v>
      </c>
      <c r="K253" s="94">
        <v>1.8</v>
      </c>
      <c r="L253" s="6">
        <v>1</v>
      </c>
      <c r="M253" s="6">
        <v>1</v>
      </c>
      <c r="N253" s="60" t="s">
        <v>312</v>
      </c>
      <c r="O253" s="60">
        <v>1</v>
      </c>
      <c r="P253" s="60">
        <v>1</v>
      </c>
      <c r="Q253" s="60">
        <v>1</v>
      </c>
      <c r="R253" s="60">
        <v>1</v>
      </c>
    </row>
    <row r="254" spans="1:18" x14ac:dyDescent="0.35">
      <c r="A254" t="s">
        <v>822</v>
      </c>
      <c r="B254" s="58" t="s">
        <v>823</v>
      </c>
      <c r="C254" s="6"/>
      <c r="D254" s="6" t="s">
        <v>311</v>
      </c>
      <c r="E254" s="92" t="s">
        <v>37</v>
      </c>
      <c r="F254" s="93">
        <v>200</v>
      </c>
      <c r="G254" s="92" t="s">
        <v>37</v>
      </c>
      <c r="H254" s="93">
        <v>880.00000000000011</v>
      </c>
      <c r="I254" s="92" t="s">
        <v>37</v>
      </c>
      <c r="J254" s="93">
        <v>880.00000000000011</v>
      </c>
      <c r="K254" s="94">
        <v>2800</v>
      </c>
      <c r="L254" s="6">
        <v>1</v>
      </c>
      <c r="M254" s="6">
        <v>1</v>
      </c>
      <c r="N254" s="60" t="s">
        <v>312</v>
      </c>
      <c r="O254" s="60">
        <v>1</v>
      </c>
      <c r="P254" s="60">
        <v>1</v>
      </c>
      <c r="Q254" s="60">
        <v>1</v>
      </c>
      <c r="R254" s="60">
        <v>1</v>
      </c>
    </row>
    <row r="255" spans="1:18" x14ac:dyDescent="0.35">
      <c r="A255" t="s">
        <v>824</v>
      </c>
      <c r="B255" s="58" t="s">
        <v>825</v>
      </c>
      <c r="C255" s="6"/>
      <c r="D255" s="6" t="s">
        <v>311</v>
      </c>
      <c r="E255" s="92" t="s">
        <v>37</v>
      </c>
      <c r="F255" s="93">
        <v>60</v>
      </c>
      <c r="G255" s="92" t="s">
        <v>37</v>
      </c>
      <c r="H255" s="93">
        <v>264</v>
      </c>
      <c r="I255" s="92" t="s">
        <v>37</v>
      </c>
      <c r="J255" s="93">
        <v>264</v>
      </c>
      <c r="K255" s="94" t="s">
        <v>37</v>
      </c>
      <c r="L255" s="6">
        <v>1</v>
      </c>
      <c r="M255" s="6">
        <v>1</v>
      </c>
      <c r="N255" s="60" t="s">
        <v>312</v>
      </c>
      <c r="O255" s="60">
        <v>1</v>
      </c>
      <c r="P255" s="60">
        <v>1</v>
      </c>
      <c r="Q255" s="60">
        <v>1</v>
      </c>
      <c r="R255" s="60">
        <v>1</v>
      </c>
    </row>
    <row r="256" spans="1:18" x14ac:dyDescent="0.35">
      <c r="A256" t="s">
        <v>826</v>
      </c>
      <c r="B256" s="58" t="s">
        <v>827</v>
      </c>
      <c r="C256" s="6"/>
      <c r="D256" s="6" t="s">
        <v>311</v>
      </c>
      <c r="E256" s="92" t="s">
        <v>37</v>
      </c>
      <c r="F256" s="93">
        <v>60</v>
      </c>
      <c r="G256" s="92" t="s">
        <v>37</v>
      </c>
      <c r="H256" s="93">
        <v>264</v>
      </c>
      <c r="I256" s="92" t="s">
        <v>37</v>
      </c>
      <c r="J256" s="93">
        <v>264</v>
      </c>
      <c r="K256" s="94" t="s">
        <v>37</v>
      </c>
      <c r="L256" s="6">
        <v>1</v>
      </c>
      <c r="M256" s="6">
        <v>1</v>
      </c>
      <c r="N256" s="60" t="s">
        <v>312</v>
      </c>
      <c r="O256" s="60">
        <v>1</v>
      </c>
      <c r="P256" s="60">
        <v>1</v>
      </c>
      <c r="Q256" s="60">
        <v>1</v>
      </c>
      <c r="R256" s="60">
        <v>1</v>
      </c>
    </row>
    <row r="257" spans="1:18" x14ac:dyDescent="0.35">
      <c r="A257" t="s">
        <v>828</v>
      </c>
      <c r="B257" s="58" t="s">
        <v>829</v>
      </c>
      <c r="C257" s="6"/>
      <c r="D257" s="6" t="s">
        <v>311</v>
      </c>
      <c r="E257" s="92" t="s">
        <v>37</v>
      </c>
      <c r="F257" s="93">
        <v>60</v>
      </c>
      <c r="G257" s="92" t="s">
        <v>37</v>
      </c>
      <c r="H257" s="93">
        <v>264</v>
      </c>
      <c r="I257" s="92" t="s">
        <v>37</v>
      </c>
      <c r="J257" s="93">
        <v>264</v>
      </c>
      <c r="K257" s="94" t="s">
        <v>37</v>
      </c>
      <c r="L257" s="6">
        <v>1</v>
      </c>
      <c r="M257" s="6">
        <v>1</v>
      </c>
      <c r="N257" s="60" t="s">
        <v>312</v>
      </c>
      <c r="O257" s="60">
        <v>1</v>
      </c>
      <c r="P257" s="60">
        <v>1</v>
      </c>
      <c r="Q257" s="60">
        <v>1</v>
      </c>
      <c r="R257" s="60">
        <v>1</v>
      </c>
    </row>
    <row r="258" spans="1:18" x14ac:dyDescent="0.35">
      <c r="A258" t="s">
        <v>830</v>
      </c>
      <c r="B258" s="58" t="s">
        <v>831</v>
      </c>
      <c r="C258" s="6" t="s">
        <v>329</v>
      </c>
      <c r="D258" s="6" t="s">
        <v>37</v>
      </c>
      <c r="E258" s="92">
        <v>2.0283975659229209E-3</v>
      </c>
      <c r="F258" s="93" t="s">
        <v>37</v>
      </c>
      <c r="G258" s="92">
        <v>2.134646962233169E-2</v>
      </c>
      <c r="H258" s="93" t="s">
        <v>37</v>
      </c>
      <c r="I258" s="92">
        <v>4.1379310344827586E-2</v>
      </c>
      <c r="J258" s="93" t="s">
        <v>37</v>
      </c>
      <c r="K258" s="94" t="s">
        <v>37</v>
      </c>
      <c r="L258" s="6">
        <v>1</v>
      </c>
      <c r="M258" s="6">
        <v>1</v>
      </c>
      <c r="N258" s="60" t="s">
        <v>330</v>
      </c>
      <c r="O258" s="60">
        <v>1</v>
      </c>
      <c r="P258" s="60">
        <v>1</v>
      </c>
      <c r="Q258" s="60">
        <v>1</v>
      </c>
      <c r="R258" s="60">
        <v>1</v>
      </c>
    </row>
    <row r="259" spans="1:18" x14ac:dyDescent="0.35">
      <c r="A259" t="s">
        <v>31</v>
      </c>
      <c r="B259" s="58" t="s">
        <v>454</v>
      </c>
      <c r="C259" s="6"/>
      <c r="D259" s="6" t="s">
        <v>311</v>
      </c>
      <c r="E259" s="92" t="s">
        <v>37</v>
      </c>
      <c r="F259" s="93">
        <v>0.1</v>
      </c>
      <c r="G259" s="92" t="s">
        <v>37</v>
      </c>
      <c r="H259" s="93">
        <v>0.44000000000000006</v>
      </c>
      <c r="I259" s="92" t="s">
        <v>37</v>
      </c>
      <c r="J259" s="93">
        <v>0.44000000000000006</v>
      </c>
      <c r="K259" s="94">
        <v>0.8</v>
      </c>
      <c r="L259" s="6">
        <v>1</v>
      </c>
      <c r="M259" s="6">
        <v>1</v>
      </c>
      <c r="N259" s="60" t="s">
        <v>312</v>
      </c>
      <c r="O259" s="60">
        <v>1</v>
      </c>
      <c r="P259" s="60">
        <v>1</v>
      </c>
      <c r="Q259" s="60">
        <v>1</v>
      </c>
      <c r="R259" s="60">
        <v>1</v>
      </c>
    </row>
    <row r="260" spans="1:18" x14ac:dyDescent="0.35">
      <c r="A260" t="s">
        <v>832</v>
      </c>
      <c r="B260" s="58" t="s">
        <v>833</v>
      </c>
      <c r="C260" s="6"/>
      <c r="D260" s="6" t="s">
        <v>311</v>
      </c>
      <c r="E260" s="92">
        <v>1.2048192771084337E-4</v>
      </c>
      <c r="F260" s="93">
        <v>7.0000000000000001E-3</v>
      </c>
      <c r="G260" s="92">
        <v>3.1325301204819275E-3</v>
      </c>
      <c r="H260" s="93">
        <v>3.0800000000000004E-2</v>
      </c>
      <c r="I260" s="92">
        <v>1.4457831325301205E-3</v>
      </c>
      <c r="J260" s="93">
        <v>3.0800000000000004E-2</v>
      </c>
      <c r="K260" s="94">
        <v>30</v>
      </c>
      <c r="L260" s="6">
        <v>1</v>
      </c>
      <c r="M260" s="6">
        <v>1</v>
      </c>
      <c r="N260" s="60" t="s">
        <v>312</v>
      </c>
      <c r="O260" s="60">
        <v>1</v>
      </c>
      <c r="P260" s="60">
        <v>1</v>
      </c>
      <c r="Q260" s="60">
        <v>1</v>
      </c>
      <c r="R260" s="60">
        <v>1</v>
      </c>
    </row>
    <row r="261" spans="1:18" x14ac:dyDescent="0.35">
      <c r="A261" t="s">
        <v>834</v>
      </c>
      <c r="B261" s="58" t="s">
        <v>835</v>
      </c>
      <c r="C261" s="6"/>
      <c r="D261" s="6" t="s">
        <v>311</v>
      </c>
      <c r="E261" s="92" t="s">
        <v>37</v>
      </c>
      <c r="F261" s="93">
        <v>200</v>
      </c>
      <c r="G261" s="92" t="s">
        <v>37</v>
      </c>
      <c r="H261" s="93">
        <v>880.00000000000011</v>
      </c>
      <c r="I261" s="92" t="s">
        <v>37</v>
      </c>
      <c r="J261" s="93">
        <v>880.00000000000011</v>
      </c>
      <c r="K261" s="94">
        <v>200</v>
      </c>
      <c r="L261" s="6">
        <v>1</v>
      </c>
      <c r="M261" s="6">
        <v>1</v>
      </c>
      <c r="N261" s="60" t="s">
        <v>312</v>
      </c>
      <c r="O261" s="60">
        <v>1</v>
      </c>
      <c r="P261" s="60">
        <v>1</v>
      </c>
      <c r="Q261" s="60">
        <v>1</v>
      </c>
      <c r="R261" s="60">
        <v>1</v>
      </c>
    </row>
    <row r="262" spans="1:18" x14ac:dyDescent="0.35">
      <c r="A262" t="s">
        <v>836</v>
      </c>
      <c r="B262" s="58" t="s">
        <v>837</v>
      </c>
      <c r="C262" s="6"/>
      <c r="D262" s="6" t="s">
        <v>326</v>
      </c>
      <c r="E262" s="92" t="s">
        <v>37</v>
      </c>
      <c r="F262" s="93">
        <v>3</v>
      </c>
      <c r="G262" s="92" t="s">
        <v>37</v>
      </c>
      <c r="H262" s="93">
        <v>13.200000000000001</v>
      </c>
      <c r="I262" s="92" t="s">
        <v>37</v>
      </c>
      <c r="J262" s="93">
        <v>13.200000000000001</v>
      </c>
      <c r="K262" s="94" t="s">
        <v>37</v>
      </c>
      <c r="L262" s="6">
        <v>1</v>
      </c>
      <c r="M262" s="6">
        <v>1</v>
      </c>
      <c r="N262" s="60" t="s">
        <v>312</v>
      </c>
      <c r="O262" s="60">
        <v>1</v>
      </c>
      <c r="P262" s="60">
        <v>1</v>
      </c>
      <c r="Q262" s="60">
        <v>1</v>
      </c>
      <c r="R262" s="60">
        <v>1</v>
      </c>
    </row>
    <row r="263" spans="1:18" x14ac:dyDescent="0.35">
      <c r="A263" t="s">
        <v>838</v>
      </c>
      <c r="B263" s="58" t="s">
        <v>839</v>
      </c>
      <c r="C263" s="6" t="s">
        <v>840</v>
      </c>
      <c r="D263" s="6" t="s">
        <v>311</v>
      </c>
      <c r="E263" s="92">
        <v>0.11363636363636362</v>
      </c>
      <c r="F263" s="93">
        <v>100</v>
      </c>
      <c r="G263" s="92">
        <v>0.21885521885521883</v>
      </c>
      <c r="H263" s="93">
        <v>440.00000000000006</v>
      </c>
      <c r="I263" s="92">
        <v>2.7272727272727266</v>
      </c>
      <c r="J263" s="93">
        <v>440.00000000000006</v>
      </c>
      <c r="K263" s="94">
        <v>1300</v>
      </c>
      <c r="L263" s="6">
        <v>1</v>
      </c>
      <c r="M263" s="6">
        <v>1</v>
      </c>
      <c r="N263" s="60" t="s">
        <v>330</v>
      </c>
      <c r="O263" s="60">
        <v>1</v>
      </c>
      <c r="P263" s="60">
        <v>1</v>
      </c>
      <c r="Q263" s="60">
        <v>1</v>
      </c>
      <c r="R263" s="60">
        <v>1</v>
      </c>
    </row>
    <row r="264" spans="1:18" x14ac:dyDescent="0.35">
      <c r="A264" t="s">
        <v>841</v>
      </c>
      <c r="B264" s="58" t="s">
        <v>842</v>
      </c>
      <c r="C264" s="6"/>
      <c r="D264" s="6" t="s">
        <v>311</v>
      </c>
      <c r="E264" s="92" t="s">
        <v>37</v>
      </c>
      <c r="F264" s="93">
        <v>200</v>
      </c>
      <c r="G264" s="92" t="s">
        <v>37</v>
      </c>
      <c r="H264" s="93">
        <v>880.00000000000011</v>
      </c>
      <c r="I264" s="92" t="s">
        <v>37</v>
      </c>
      <c r="J264" s="93">
        <v>880.00000000000011</v>
      </c>
      <c r="K264" s="94">
        <v>200</v>
      </c>
      <c r="L264" s="6">
        <v>1</v>
      </c>
      <c r="M264" s="6">
        <v>1</v>
      </c>
      <c r="N264" s="60" t="s">
        <v>312</v>
      </c>
      <c r="O264" s="60">
        <v>1</v>
      </c>
      <c r="P264" s="60">
        <v>1</v>
      </c>
      <c r="Q264" s="60">
        <v>1</v>
      </c>
      <c r="R264" s="60">
        <v>1</v>
      </c>
    </row>
    <row r="265" spans="1:18" ht="43.5" x14ac:dyDescent="0.35">
      <c r="A265" t="s">
        <v>457</v>
      </c>
      <c r="B265" s="58" t="s">
        <v>843</v>
      </c>
      <c r="C265" s="6"/>
      <c r="D265" s="6" t="s">
        <v>311</v>
      </c>
      <c r="E265" s="92" t="s">
        <v>37</v>
      </c>
      <c r="F265" s="93">
        <v>220</v>
      </c>
      <c r="G265" s="92" t="s">
        <v>37</v>
      </c>
      <c r="H265" s="93">
        <v>968.00000000000011</v>
      </c>
      <c r="I265" s="92" t="s">
        <v>37</v>
      </c>
      <c r="J265" s="93">
        <v>968.00000000000011</v>
      </c>
      <c r="K265" s="94">
        <v>8700</v>
      </c>
      <c r="L265" s="6">
        <v>1</v>
      </c>
      <c r="M265" s="6">
        <v>1</v>
      </c>
      <c r="N265" s="60" t="s">
        <v>312</v>
      </c>
      <c r="O265" s="60">
        <v>1</v>
      </c>
      <c r="P265" s="60">
        <v>1</v>
      </c>
      <c r="Q265" s="60">
        <v>1</v>
      </c>
      <c r="R265" s="60">
        <v>1</v>
      </c>
    </row>
  </sheetData>
  <mergeCells count="4">
    <mergeCell ref="E2:F2"/>
    <mergeCell ref="G2:J2"/>
    <mergeCell ref="V2:W2"/>
    <mergeCell ref="X2:AA2"/>
  </mergeCells>
  <dataValidations count="1">
    <dataValidation type="list" errorStyle="information" allowBlank="1" showErrorMessage="1" errorTitle="Not in list" error="This CAS is not in the DEQ CAO pollutant list." promptTitle="CAS Selection" prompt="Select CAS from the list, or copy and paste directly." sqref="T51" xr:uid="{D3321E5D-8EFB-4048-82DB-981E6FFCD8AA}">
      <formula1>CAS_numbers</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70DD1-4CD6-4508-B049-9C4E158EBE2D}">
  <sheetPr>
    <tabColor theme="5"/>
  </sheetPr>
  <dimension ref="A2:DN65"/>
  <sheetViews>
    <sheetView workbookViewId="0"/>
  </sheetViews>
  <sheetFormatPr defaultRowHeight="14.5" x14ac:dyDescent="0.35"/>
  <cols>
    <col min="1" max="1" width="3" customWidth="1"/>
    <col min="2" max="2" width="18.54296875" customWidth="1"/>
    <col min="3" max="3" width="35.81640625" customWidth="1"/>
    <col min="4" max="4" width="9.453125" style="6" customWidth="1"/>
    <col min="5" max="6" width="10.54296875" style="6" customWidth="1"/>
    <col min="7" max="33" width="9.453125" style="6" customWidth="1"/>
    <col min="106" max="106" width="25.453125" bestFit="1" customWidth="1"/>
  </cols>
  <sheetData>
    <row r="2" spans="2:118" x14ac:dyDescent="0.35">
      <c r="C2" s="2" t="s">
        <v>94</v>
      </c>
    </row>
    <row r="3" spans="2:118" ht="7" customHeight="1" thickBot="1" x14ac:dyDescent="0.4"/>
    <row r="4" spans="2:118" ht="15" thickBot="1" x14ac:dyDescent="0.4">
      <c r="D4" s="614" t="s">
        <v>95</v>
      </c>
      <c r="E4" s="615"/>
      <c r="F4" s="615"/>
      <c r="G4" s="615"/>
      <c r="H4" s="615"/>
      <c r="I4" s="615"/>
      <c r="J4" s="615"/>
      <c r="K4" s="615"/>
      <c r="L4" s="615"/>
      <c r="M4" s="615"/>
      <c r="N4" s="615"/>
      <c r="O4" s="615"/>
      <c r="P4" s="615"/>
      <c r="Q4" s="615"/>
      <c r="R4" s="615"/>
      <c r="S4" s="615"/>
      <c r="T4" s="615"/>
      <c r="U4" s="615"/>
      <c r="V4" s="615"/>
      <c r="W4" s="615"/>
      <c r="X4" s="615"/>
      <c r="Y4" s="615"/>
      <c r="Z4" s="615"/>
      <c r="AA4" s="615"/>
      <c r="AB4" s="615"/>
      <c r="AC4" s="615"/>
      <c r="AD4" s="615"/>
      <c r="AE4" s="615"/>
      <c r="AF4" s="615"/>
      <c r="AG4" s="615"/>
      <c r="AH4" s="615"/>
      <c r="AI4" s="615"/>
      <c r="AJ4" s="615"/>
      <c r="AK4" s="615"/>
      <c r="AL4" s="615"/>
      <c r="AM4" s="615"/>
      <c r="AN4" s="615"/>
      <c r="AO4" s="615"/>
      <c r="AP4" s="615"/>
      <c r="AQ4" s="615"/>
      <c r="AR4" s="615"/>
      <c r="AS4" s="615"/>
      <c r="AT4" s="615"/>
      <c r="AU4" s="616"/>
    </row>
    <row r="5" spans="2:118" ht="29.5" customHeight="1" x14ac:dyDescent="0.35">
      <c r="D5" s="146" t="s">
        <v>2</v>
      </c>
      <c r="E5" s="147" t="s">
        <v>2</v>
      </c>
      <c r="F5" s="147" t="s">
        <v>3</v>
      </c>
      <c r="G5" s="147" t="s">
        <v>3</v>
      </c>
      <c r="H5" s="147" t="s">
        <v>4</v>
      </c>
      <c r="I5" s="147" t="s">
        <v>4</v>
      </c>
      <c r="J5" s="147" t="s">
        <v>5</v>
      </c>
      <c r="K5" s="147" t="s">
        <v>5</v>
      </c>
      <c r="L5" s="147" t="s">
        <v>6</v>
      </c>
      <c r="M5" s="147" t="s">
        <v>6</v>
      </c>
      <c r="N5" s="147" t="s">
        <v>7</v>
      </c>
      <c r="O5" s="147" t="s">
        <v>7</v>
      </c>
      <c r="P5" s="147" t="s">
        <v>8</v>
      </c>
      <c r="Q5" s="147" t="s">
        <v>8</v>
      </c>
      <c r="R5" s="147" t="s">
        <v>9</v>
      </c>
      <c r="S5" s="147" t="s">
        <v>9</v>
      </c>
      <c r="T5" s="147" t="s">
        <v>10</v>
      </c>
      <c r="U5" s="147" t="s">
        <v>10</v>
      </c>
      <c r="V5" s="147" t="s">
        <v>11</v>
      </c>
      <c r="W5" s="147" t="s">
        <v>11</v>
      </c>
      <c r="X5" s="147" t="s">
        <v>12</v>
      </c>
      <c r="Y5" s="147" t="s">
        <v>12</v>
      </c>
      <c r="Z5" s="147" t="s">
        <v>13</v>
      </c>
      <c r="AA5" s="147" t="s">
        <v>13</v>
      </c>
      <c r="AB5" s="148" t="s">
        <v>14</v>
      </c>
      <c r="AC5" s="148" t="s">
        <v>14</v>
      </c>
      <c r="AD5" s="147" t="s">
        <v>15</v>
      </c>
      <c r="AE5" s="147" t="s">
        <v>15</v>
      </c>
      <c r="AF5" s="147" t="s">
        <v>16</v>
      </c>
      <c r="AG5" s="152" t="s">
        <v>16</v>
      </c>
      <c r="AH5" s="146" t="s">
        <v>96</v>
      </c>
      <c r="AI5" s="147" t="s">
        <v>96</v>
      </c>
      <c r="AJ5" s="147" t="s">
        <v>97</v>
      </c>
      <c r="AK5" s="147" t="s">
        <v>97</v>
      </c>
      <c r="AL5" s="147" t="s">
        <v>98</v>
      </c>
      <c r="AM5" s="147" t="s">
        <v>98</v>
      </c>
      <c r="AN5" s="147" t="s">
        <v>99</v>
      </c>
      <c r="AO5" s="147"/>
      <c r="AP5" s="147" t="s">
        <v>100</v>
      </c>
      <c r="AQ5" s="147"/>
      <c r="AR5" s="147" t="s">
        <v>101</v>
      </c>
      <c r="AS5" s="147"/>
      <c r="AT5" s="147" t="s">
        <v>102</v>
      </c>
      <c r="AU5" s="147"/>
      <c r="AV5" s="155" t="s">
        <v>103</v>
      </c>
      <c r="AW5" s="155"/>
      <c r="AX5" s="155" t="s">
        <v>104</v>
      </c>
      <c r="AY5" s="155"/>
      <c r="AZ5" s="155" t="s">
        <v>105</v>
      </c>
      <c r="BA5" s="155"/>
      <c r="BB5" s="155" t="s">
        <v>106</v>
      </c>
      <c r="BC5" s="155"/>
      <c r="BD5" s="155" t="s">
        <v>107</v>
      </c>
      <c r="BE5" s="155"/>
      <c r="BF5" s="155" t="s">
        <v>108</v>
      </c>
      <c r="BG5" s="155"/>
      <c r="BH5" s="156" t="s">
        <v>109</v>
      </c>
      <c r="BI5" s="156"/>
      <c r="BJ5" s="155" t="s">
        <v>110</v>
      </c>
      <c r="BK5" s="155"/>
      <c r="BL5" s="157" t="s">
        <v>111</v>
      </c>
      <c r="BM5" s="157"/>
      <c r="BN5" s="157" t="s">
        <v>112</v>
      </c>
      <c r="BO5" s="157"/>
      <c r="BP5" s="155" t="s">
        <v>113</v>
      </c>
      <c r="BQ5" s="155"/>
      <c r="BR5" s="155" t="s">
        <v>114</v>
      </c>
      <c r="BS5" s="155"/>
      <c r="BT5" s="155" t="s">
        <v>115</v>
      </c>
      <c r="BU5" s="155"/>
      <c r="BV5" s="155" t="s">
        <v>116</v>
      </c>
      <c r="BW5" s="155"/>
      <c r="BX5" s="156" t="s">
        <v>117</v>
      </c>
      <c r="BY5" s="156"/>
      <c r="BZ5" s="155" t="s">
        <v>118</v>
      </c>
      <c r="CA5" s="155"/>
      <c r="CB5" s="155" t="s">
        <v>119</v>
      </c>
      <c r="CC5" s="155"/>
      <c r="CD5" s="155" t="s">
        <v>120</v>
      </c>
      <c r="CE5" s="155"/>
      <c r="CF5" s="155" t="s">
        <v>121</v>
      </c>
      <c r="CG5" s="155"/>
      <c r="CH5" s="156" t="s">
        <v>122</v>
      </c>
      <c r="CI5" s="156"/>
      <c r="CJ5" s="155" t="s">
        <v>123</v>
      </c>
      <c r="CK5" s="155"/>
      <c r="CL5" s="155" t="s">
        <v>124</v>
      </c>
      <c r="CM5" s="155"/>
      <c r="CN5" s="156" t="s">
        <v>125</v>
      </c>
      <c r="CO5" s="156"/>
      <c r="CP5" s="156" t="s">
        <v>126</v>
      </c>
      <c r="CQ5" s="156"/>
      <c r="CR5" s="156" t="s">
        <v>127</v>
      </c>
      <c r="CS5" s="156"/>
      <c r="CT5" s="155" t="s">
        <v>17</v>
      </c>
      <c r="CU5" s="155"/>
      <c r="CV5" s="155" t="s">
        <v>128</v>
      </c>
      <c r="CW5" s="155"/>
      <c r="CX5" s="155" t="s">
        <v>129</v>
      </c>
      <c r="CY5" s="155"/>
      <c r="CZ5" s="155" t="s">
        <v>130</v>
      </c>
      <c r="DA5" s="155"/>
      <c r="DB5" s="156" t="s">
        <v>131</v>
      </c>
      <c r="DC5" s="156"/>
      <c r="DD5" s="155" t="s">
        <v>132</v>
      </c>
      <c r="DE5" s="155"/>
      <c r="DF5" s="155" t="s">
        <v>133</v>
      </c>
      <c r="DG5" s="155"/>
      <c r="DH5" s="155" t="s">
        <v>134</v>
      </c>
      <c r="DI5" s="155"/>
      <c r="DJ5" s="155" t="s">
        <v>135</v>
      </c>
      <c r="DK5" s="155"/>
      <c r="DL5" s="155" t="s">
        <v>136</v>
      </c>
      <c r="DM5" s="158"/>
    </row>
    <row r="6" spans="2:118" ht="15" thickBot="1" x14ac:dyDescent="0.4">
      <c r="B6" s="126" t="s">
        <v>137</v>
      </c>
      <c r="D6" s="149" t="s">
        <v>138</v>
      </c>
      <c r="E6" s="139" t="s">
        <v>139</v>
      </c>
      <c r="F6" s="139" t="s">
        <v>138</v>
      </c>
      <c r="G6" s="139" t="s">
        <v>139</v>
      </c>
      <c r="H6" s="139" t="s">
        <v>138</v>
      </c>
      <c r="I6" s="139" t="s">
        <v>139</v>
      </c>
      <c r="J6" s="139" t="s">
        <v>138</v>
      </c>
      <c r="K6" s="139" t="s">
        <v>139</v>
      </c>
      <c r="L6" s="139" t="s">
        <v>138</v>
      </c>
      <c r="M6" s="139" t="s">
        <v>139</v>
      </c>
      <c r="N6" s="139" t="s">
        <v>138</v>
      </c>
      <c r="O6" s="139" t="s">
        <v>139</v>
      </c>
      <c r="P6" s="139" t="s">
        <v>138</v>
      </c>
      <c r="Q6" s="139" t="s">
        <v>139</v>
      </c>
      <c r="R6" s="139" t="s">
        <v>138</v>
      </c>
      <c r="S6" s="139" t="s">
        <v>139</v>
      </c>
      <c r="T6" s="139" t="s">
        <v>138</v>
      </c>
      <c r="U6" s="139" t="s">
        <v>139</v>
      </c>
      <c r="V6" s="139" t="s">
        <v>138</v>
      </c>
      <c r="W6" s="139" t="s">
        <v>139</v>
      </c>
      <c r="X6" s="139" t="s">
        <v>138</v>
      </c>
      <c r="Y6" s="139" t="s">
        <v>139</v>
      </c>
      <c r="Z6" s="139" t="s">
        <v>138</v>
      </c>
      <c r="AA6" s="139" t="s">
        <v>139</v>
      </c>
      <c r="AB6" s="139" t="s">
        <v>138</v>
      </c>
      <c r="AC6" s="139" t="s">
        <v>139</v>
      </c>
      <c r="AD6" s="139" t="s">
        <v>138</v>
      </c>
      <c r="AE6" s="139" t="s">
        <v>139</v>
      </c>
      <c r="AF6" s="139" t="s">
        <v>138</v>
      </c>
      <c r="AG6" s="153" t="s">
        <v>139</v>
      </c>
      <c r="AH6" s="149" t="s">
        <v>138</v>
      </c>
      <c r="AI6" s="139" t="s">
        <v>139</v>
      </c>
      <c r="AJ6" s="139" t="s">
        <v>138</v>
      </c>
      <c r="AK6" s="139" t="s">
        <v>139</v>
      </c>
      <c r="AL6" s="139" t="s">
        <v>138</v>
      </c>
      <c r="AM6" s="139" t="s">
        <v>139</v>
      </c>
      <c r="AN6" s="139" t="s">
        <v>138</v>
      </c>
      <c r="AO6" s="139" t="s">
        <v>139</v>
      </c>
      <c r="AP6" s="139" t="s">
        <v>138</v>
      </c>
      <c r="AQ6" s="139" t="s">
        <v>139</v>
      </c>
      <c r="AR6" s="139" t="s">
        <v>138</v>
      </c>
      <c r="AS6" s="139" t="s">
        <v>139</v>
      </c>
      <c r="AT6" s="139" t="s">
        <v>138</v>
      </c>
      <c r="AU6" s="139" t="s">
        <v>139</v>
      </c>
      <c r="AV6" s="139" t="s">
        <v>138</v>
      </c>
      <c r="AW6" s="139" t="s">
        <v>139</v>
      </c>
      <c r="AX6" s="139" t="s">
        <v>138</v>
      </c>
      <c r="AY6" s="139" t="s">
        <v>139</v>
      </c>
      <c r="AZ6" s="139" t="s">
        <v>138</v>
      </c>
      <c r="BA6" s="139" t="s">
        <v>139</v>
      </c>
      <c r="BB6" s="139" t="s">
        <v>138</v>
      </c>
      <c r="BC6" s="139" t="s">
        <v>139</v>
      </c>
      <c r="BD6" s="139" t="s">
        <v>138</v>
      </c>
      <c r="BE6" s="139" t="s">
        <v>139</v>
      </c>
      <c r="BF6" s="139" t="s">
        <v>138</v>
      </c>
      <c r="BG6" s="139" t="s">
        <v>139</v>
      </c>
      <c r="BH6" s="139" t="s">
        <v>138</v>
      </c>
      <c r="BI6" s="139" t="s">
        <v>139</v>
      </c>
      <c r="BJ6" s="139" t="s">
        <v>138</v>
      </c>
      <c r="BK6" s="139" t="s">
        <v>139</v>
      </c>
      <c r="BL6" s="139" t="s">
        <v>138</v>
      </c>
      <c r="BM6" s="139" t="s">
        <v>139</v>
      </c>
      <c r="BN6" s="139" t="s">
        <v>138</v>
      </c>
      <c r="BO6" s="139" t="s">
        <v>139</v>
      </c>
      <c r="BP6" s="139" t="s">
        <v>138</v>
      </c>
      <c r="BQ6" s="139" t="s">
        <v>139</v>
      </c>
      <c r="BR6" s="139" t="s">
        <v>138</v>
      </c>
      <c r="BS6" s="139" t="s">
        <v>139</v>
      </c>
      <c r="BT6" s="139" t="s">
        <v>138</v>
      </c>
      <c r="BU6" s="139" t="s">
        <v>139</v>
      </c>
      <c r="BV6" s="139" t="s">
        <v>138</v>
      </c>
      <c r="BW6" s="139" t="s">
        <v>139</v>
      </c>
      <c r="BX6" s="139" t="s">
        <v>138</v>
      </c>
      <c r="BY6" s="139" t="s">
        <v>139</v>
      </c>
      <c r="BZ6" s="139" t="s">
        <v>138</v>
      </c>
      <c r="CA6" s="139" t="s">
        <v>139</v>
      </c>
      <c r="CB6" s="139" t="s">
        <v>138</v>
      </c>
      <c r="CC6" s="139" t="s">
        <v>139</v>
      </c>
      <c r="CD6" s="139" t="s">
        <v>138</v>
      </c>
      <c r="CE6" s="139" t="s">
        <v>139</v>
      </c>
      <c r="CF6" s="139" t="s">
        <v>138</v>
      </c>
      <c r="CG6" s="139" t="s">
        <v>139</v>
      </c>
      <c r="CH6" s="139" t="s">
        <v>138</v>
      </c>
      <c r="CI6" s="139" t="s">
        <v>139</v>
      </c>
      <c r="CJ6" s="139" t="s">
        <v>138</v>
      </c>
      <c r="CK6" s="139" t="s">
        <v>139</v>
      </c>
      <c r="CL6" s="139" t="s">
        <v>138</v>
      </c>
      <c r="CM6" s="139" t="s">
        <v>139</v>
      </c>
      <c r="CN6" s="139" t="s">
        <v>138</v>
      </c>
      <c r="CO6" s="139" t="s">
        <v>139</v>
      </c>
      <c r="CP6" s="139" t="s">
        <v>138</v>
      </c>
      <c r="CQ6" s="139" t="s">
        <v>139</v>
      </c>
      <c r="CR6" s="139" t="s">
        <v>138</v>
      </c>
      <c r="CS6" s="139" t="s">
        <v>139</v>
      </c>
      <c r="CT6" s="139" t="s">
        <v>138</v>
      </c>
      <c r="CU6" s="139" t="s">
        <v>139</v>
      </c>
      <c r="CV6" s="139" t="s">
        <v>138</v>
      </c>
      <c r="CW6" s="139" t="s">
        <v>139</v>
      </c>
      <c r="CX6" s="139" t="s">
        <v>138</v>
      </c>
      <c r="CY6" s="139" t="s">
        <v>139</v>
      </c>
      <c r="CZ6" s="139" t="s">
        <v>138</v>
      </c>
      <c r="DA6" s="139" t="s">
        <v>139</v>
      </c>
      <c r="DB6" s="139" t="s">
        <v>138</v>
      </c>
      <c r="DC6" s="139" t="s">
        <v>139</v>
      </c>
      <c r="DD6" s="139" t="s">
        <v>138</v>
      </c>
      <c r="DE6" s="139" t="s">
        <v>139</v>
      </c>
      <c r="DF6" s="139" t="s">
        <v>138</v>
      </c>
      <c r="DG6" s="139" t="s">
        <v>139</v>
      </c>
      <c r="DH6" s="139" t="s">
        <v>138</v>
      </c>
      <c r="DI6" s="139" t="s">
        <v>139</v>
      </c>
      <c r="DJ6" s="139" t="s">
        <v>138</v>
      </c>
      <c r="DK6" s="139" t="s">
        <v>139</v>
      </c>
      <c r="DL6" s="139" t="s">
        <v>138</v>
      </c>
      <c r="DM6" s="150" t="s">
        <v>139</v>
      </c>
    </row>
    <row r="7" spans="2:118" s="112" customFormat="1" x14ac:dyDescent="0.35">
      <c r="B7" s="124" t="s">
        <v>36</v>
      </c>
      <c r="C7" s="143" t="s">
        <v>64</v>
      </c>
      <c r="D7" s="131"/>
      <c r="E7" s="136"/>
      <c r="F7" s="136"/>
      <c r="G7" s="136"/>
      <c r="H7" s="136"/>
      <c r="I7" s="136"/>
      <c r="J7" s="136"/>
      <c r="K7" s="136"/>
      <c r="L7" s="136"/>
      <c r="M7" s="136"/>
      <c r="N7" s="136"/>
      <c r="O7" s="136">
        <v>1.5E-3</v>
      </c>
      <c r="P7" s="136"/>
      <c r="Q7" s="136"/>
      <c r="R7" s="136"/>
      <c r="S7" s="136">
        <v>5.0000000000000001E-3</v>
      </c>
      <c r="T7" s="136">
        <v>0.01</v>
      </c>
      <c r="U7" s="136">
        <v>0.02</v>
      </c>
      <c r="V7" s="136"/>
      <c r="W7" s="136">
        <v>1.5E-3</v>
      </c>
      <c r="X7" s="136"/>
      <c r="Y7" s="136">
        <v>2.5000000000000001E-4</v>
      </c>
      <c r="Z7" s="136"/>
      <c r="AA7" s="136"/>
      <c r="AB7" s="136"/>
      <c r="AC7" s="136"/>
      <c r="AD7" s="136"/>
      <c r="AE7" s="136">
        <v>2.9999999999999997E-4</v>
      </c>
      <c r="AF7" s="136"/>
      <c r="AG7" s="137"/>
      <c r="AH7" s="131">
        <v>0.96</v>
      </c>
      <c r="AI7" s="136">
        <v>1</v>
      </c>
      <c r="AJ7" s="136">
        <v>5.0000000000000001E-3</v>
      </c>
      <c r="AK7" s="136">
        <v>1.2E-2</v>
      </c>
      <c r="AL7" s="136"/>
      <c r="AM7" s="136">
        <v>5.0000000000000001E-3</v>
      </c>
      <c r="AN7" s="136"/>
      <c r="AO7" s="136">
        <v>1.5E-3</v>
      </c>
      <c r="AP7" s="136"/>
      <c r="AQ7" s="136">
        <v>3.5E-4</v>
      </c>
      <c r="AR7" s="136"/>
      <c r="AS7" s="136"/>
      <c r="AT7" s="136"/>
      <c r="AU7" s="136"/>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59"/>
      <c r="DN7" s="112" t="s">
        <v>140</v>
      </c>
    </row>
    <row r="8" spans="2:118" x14ac:dyDescent="0.35">
      <c r="B8" s="92" t="s">
        <v>66</v>
      </c>
      <c r="C8" s="4" t="s">
        <v>67</v>
      </c>
      <c r="D8" s="151"/>
      <c r="E8" s="110">
        <v>0.06</v>
      </c>
      <c r="F8" s="110"/>
      <c r="G8" s="110"/>
      <c r="H8" s="110"/>
      <c r="I8" s="110"/>
      <c r="J8" s="110"/>
      <c r="K8" s="110"/>
      <c r="L8" s="110"/>
      <c r="M8" s="110">
        <v>0.66</v>
      </c>
      <c r="N8" s="110"/>
      <c r="O8" s="110">
        <v>0.33</v>
      </c>
      <c r="P8" s="110"/>
      <c r="Q8" s="110"/>
      <c r="R8" s="110"/>
      <c r="S8" s="110">
        <v>0.34</v>
      </c>
      <c r="T8" s="110"/>
      <c r="U8" s="110">
        <v>0.16</v>
      </c>
      <c r="V8" s="110"/>
      <c r="W8" s="110">
        <v>0.99</v>
      </c>
      <c r="X8" s="110"/>
      <c r="Y8" s="110"/>
      <c r="Z8" s="110"/>
      <c r="AA8" s="110"/>
      <c r="AB8" s="110"/>
      <c r="AC8" s="110"/>
      <c r="AD8" s="110"/>
      <c r="AE8" s="110">
        <v>0.04</v>
      </c>
      <c r="AF8" s="110"/>
      <c r="AG8" s="137"/>
      <c r="AH8" s="131"/>
      <c r="AI8" s="136">
        <v>0.99</v>
      </c>
      <c r="AJ8" s="136"/>
      <c r="AK8" s="136">
        <v>0.04</v>
      </c>
      <c r="AL8" s="136"/>
      <c r="AM8" s="136"/>
      <c r="AN8" s="136"/>
      <c r="AO8" s="136">
        <v>0.3</v>
      </c>
      <c r="AP8" s="136"/>
      <c r="AQ8" s="136"/>
      <c r="AR8" s="136"/>
      <c r="AS8" s="136"/>
      <c r="AT8" s="136"/>
      <c r="AU8" s="136">
        <v>0.06</v>
      </c>
      <c r="AV8" s="113"/>
      <c r="AW8" s="113">
        <v>0.9</v>
      </c>
      <c r="AX8" s="113"/>
      <c r="AY8" s="113">
        <v>0.05</v>
      </c>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40"/>
      <c r="CM8" s="113"/>
      <c r="CN8" s="113"/>
      <c r="CO8" s="113"/>
      <c r="CP8" s="113"/>
      <c r="CQ8" s="113"/>
      <c r="CR8" s="113"/>
      <c r="CS8" s="113"/>
      <c r="CT8" s="113"/>
      <c r="CU8" s="113"/>
      <c r="CV8" s="113"/>
      <c r="CW8" s="113"/>
      <c r="CX8" s="113"/>
      <c r="CY8" s="140"/>
      <c r="CZ8" s="113"/>
      <c r="DA8" s="140"/>
      <c r="DB8" s="113"/>
      <c r="DC8" s="140"/>
      <c r="DD8" s="113"/>
      <c r="DE8" s="140"/>
      <c r="DF8" s="113"/>
      <c r="DG8" s="140"/>
      <c r="DH8" s="113"/>
      <c r="DI8" s="140"/>
      <c r="DJ8" s="113"/>
      <c r="DK8" s="113"/>
      <c r="DL8" s="113"/>
      <c r="DM8" s="159"/>
      <c r="DN8" s="123" t="s">
        <v>141</v>
      </c>
    </row>
    <row r="9" spans="2:118" x14ac:dyDescent="0.35">
      <c r="B9" s="6" t="s">
        <v>36</v>
      </c>
      <c r="C9" s="4" t="s">
        <v>68</v>
      </c>
      <c r="D9" s="151"/>
      <c r="E9" s="110"/>
      <c r="F9" s="110"/>
      <c r="G9" s="110"/>
      <c r="H9" s="110"/>
      <c r="I9" s="110"/>
      <c r="J9" s="110"/>
      <c r="K9" s="110"/>
      <c r="L9" s="110"/>
      <c r="M9" s="110"/>
      <c r="N9" s="110"/>
      <c r="O9" s="110"/>
      <c r="P9" s="110"/>
      <c r="Q9" s="110"/>
      <c r="R9" s="110"/>
      <c r="S9" s="110"/>
      <c r="T9" s="110">
        <v>0.01</v>
      </c>
      <c r="U9" s="110">
        <v>0.05</v>
      </c>
      <c r="V9" s="110"/>
      <c r="W9" s="110"/>
      <c r="X9" s="110"/>
      <c r="Y9" s="110"/>
      <c r="Z9" s="110"/>
      <c r="AA9" s="110"/>
      <c r="AB9" s="110"/>
      <c r="AC9" s="110"/>
      <c r="AD9" s="110"/>
      <c r="AE9" s="110"/>
      <c r="AF9" s="110"/>
      <c r="AG9" s="137"/>
      <c r="AH9" s="131">
        <v>0.5</v>
      </c>
      <c r="AI9" s="136">
        <v>1</v>
      </c>
      <c r="AJ9" s="136">
        <v>1E-3</v>
      </c>
      <c r="AK9" s="136">
        <v>0.01</v>
      </c>
      <c r="AL9" s="136"/>
      <c r="AM9" s="136"/>
      <c r="AN9" s="136"/>
      <c r="AO9" s="136"/>
      <c r="AP9" s="136"/>
      <c r="AQ9" s="136"/>
      <c r="AR9" s="136"/>
      <c r="AS9" s="136"/>
      <c r="AT9" s="136"/>
      <c r="AU9" s="136"/>
      <c r="AV9" s="113"/>
      <c r="AW9" s="113"/>
      <c r="AX9" s="113"/>
      <c r="AY9" s="113"/>
      <c r="AZ9" s="113"/>
      <c r="BA9" s="113"/>
      <c r="BB9" s="140"/>
      <c r="BC9" s="140"/>
      <c r="BD9" s="140"/>
      <c r="BE9" s="140"/>
      <c r="BF9" s="140"/>
      <c r="BG9" s="140"/>
      <c r="BH9" s="140"/>
      <c r="BI9" s="140"/>
      <c r="BJ9" s="140"/>
      <c r="BK9" s="140"/>
      <c r="BL9" s="140"/>
      <c r="BM9" s="140"/>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59"/>
      <c r="DN9" t="s">
        <v>142</v>
      </c>
    </row>
    <row r="10" spans="2:118" x14ac:dyDescent="0.35">
      <c r="B10" s="6" t="s">
        <v>41</v>
      </c>
      <c r="C10" s="4" t="s">
        <v>69</v>
      </c>
      <c r="D10" s="151"/>
      <c r="E10" s="110"/>
      <c r="F10" s="110"/>
      <c r="G10" s="110">
        <v>0.05</v>
      </c>
      <c r="H10" s="110"/>
      <c r="I10" s="110"/>
      <c r="J10" s="110"/>
      <c r="K10" s="110"/>
      <c r="L10" s="110"/>
      <c r="M10" s="110"/>
      <c r="N10" s="110"/>
      <c r="O10" s="110">
        <v>0.05</v>
      </c>
      <c r="P10" s="110"/>
      <c r="Q10" s="110"/>
      <c r="R10" s="110"/>
      <c r="S10" s="110"/>
      <c r="T10" s="110"/>
      <c r="U10" s="110">
        <v>0.05</v>
      </c>
      <c r="V10" s="110"/>
      <c r="W10" s="110">
        <v>0.01</v>
      </c>
      <c r="X10" s="110"/>
      <c r="Y10" s="110"/>
      <c r="Z10" s="110"/>
      <c r="AA10" s="110"/>
      <c r="AB10" s="110"/>
      <c r="AC10" s="110"/>
      <c r="AD10" s="110"/>
      <c r="AE10" s="110"/>
      <c r="AF10" s="110"/>
      <c r="AG10" s="137"/>
      <c r="AH10" s="131"/>
      <c r="AI10" s="136">
        <v>0.05</v>
      </c>
      <c r="AJ10" s="136"/>
      <c r="AK10" s="136">
        <v>5.0000000000000001E-3</v>
      </c>
      <c r="AL10" s="136"/>
      <c r="AM10" s="136"/>
      <c r="AN10" s="136"/>
      <c r="AO10" s="136">
        <v>0.05</v>
      </c>
      <c r="AP10" s="136"/>
      <c r="AQ10" s="136"/>
      <c r="AR10" s="136"/>
      <c r="AS10" s="136"/>
      <c r="AT10" s="136"/>
      <c r="AU10" s="136">
        <v>5.0000000000000001E-3</v>
      </c>
      <c r="AV10" s="113"/>
      <c r="AW10" s="113">
        <v>0.1</v>
      </c>
      <c r="AX10" s="113"/>
      <c r="AY10" s="113"/>
      <c r="AZ10" s="113"/>
      <c r="BA10" s="113"/>
      <c r="BB10" s="140"/>
      <c r="BC10" s="140"/>
      <c r="BD10" s="140"/>
      <c r="BE10" s="140"/>
      <c r="BF10" s="140"/>
      <c r="BG10" s="140"/>
      <c r="BH10" s="140"/>
      <c r="BI10" s="140"/>
      <c r="BJ10" s="140"/>
      <c r="BK10" s="140"/>
      <c r="BL10" s="140"/>
      <c r="BM10" s="140"/>
      <c r="BN10" s="113"/>
      <c r="BO10" s="113">
        <v>0.05</v>
      </c>
      <c r="BP10" s="113"/>
      <c r="BQ10" s="113"/>
      <c r="BR10" s="113"/>
      <c r="BS10" s="113"/>
      <c r="BT10" s="113"/>
      <c r="BU10" s="113"/>
      <c r="BV10" s="113"/>
      <c r="BW10" s="113"/>
      <c r="BX10" s="113"/>
      <c r="BY10" s="113"/>
      <c r="BZ10" s="113"/>
      <c r="CA10" s="113"/>
      <c r="CB10" s="113"/>
      <c r="CC10" s="113"/>
      <c r="CD10" s="113"/>
      <c r="CE10" s="113">
        <v>5.0000000000000001E-3</v>
      </c>
      <c r="CF10" s="113"/>
      <c r="CG10" s="113"/>
      <c r="CH10" s="113"/>
      <c r="CI10" s="113"/>
      <c r="CJ10" s="113"/>
      <c r="CK10" s="113"/>
      <c r="CL10" s="113"/>
      <c r="CM10" s="113"/>
      <c r="CN10" s="113"/>
      <c r="CO10" s="113"/>
      <c r="CP10" s="113"/>
      <c r="CQ10" s="113"/>
      <c r="CR10" s="113"/>
      <c r="CS10" s="113">
        <v>0.1</v>
      </c>
      <c r="CT10" s="113"/>
      <c r="CU10" s="113">
        <v>0.05</v>
      </c>
      <c r="CV10" s="113"/>
      <c r="CW10" s="113">
        <v>0.05</v>
      </c>
      <c r="CX10" s="113"/>
      <c r="CY10" s="113">
        <v>5.0000000000000001E-3</v>
      </c>
      <c r="CZ10" s="113"/>
      <c r="DA10" s="113"/>
      <c r="DB10" s="113"/>
      <c r="DC10" s="113"/>
      <c r="DD10" s="113"/>
      <c r="DE10" s="113"/>
      <c r="DF10" s="113"/>
      <c r="DG10" s="113"/>
      <c r="DH10" s="113"/>
      <c r="DI10" s="113"/>
      <c r="DJ10" s="113"/>
      <c r="DK10" s="113"/>
      <c r="DL10" s="113"/>
      <c r="DM10" s="159"/>
      <c r="DN10" t="s">
        <v>143</v>
      </c>
    </row>
    <row r="11" spans="2:118" x14ac:dyDescent="0.35">
      <c r="B11" s="6" t="s">
        <v>41</v>
      </c>
      <c r="C11" s="4" t="s">
        <v>70</v>
      </c>
      <c r="D11" s="151"/>
      <c r="E11" s="110"/>
      <c r="F11" s="110">
        <v>1E-3</v>
      </c>
      <c r="G11" s="110">
        <v>0.01</v>
      </c>
      <c r="H11" s="110"/>
      <c r="I11" s="110"/>
      <c r="J11" s="110"/>
      <c r="K11" s="110"/>
      <c r="L11" s="110"/>
      <c r="M11" s="110"/>
      <c r="N11" s="110">
        <v>0.2</v>
      </c>
      <c r="O11" s="110">
        <v>0.5</v>
      </c>
      <c r="P11" s="110"/>
      <c r="Q11" s="110"/>
      <c r="R11" s="110">
        <v>1E-3</v>
      </c>
      <c r="S11" s="110">
        <v>0.01</v>
      </c>
      <c r="T11" s="110">
        <v>0.01</v>
      </c>
      <c r="U11" s="110">
        <v>0.05</v>
      </c>
      <c r="V11" s="110">
        <v>0.05</v>
      </c>
      <c r="W11" s="110">
        <v>0.14000000000000001</v>
      </c>
      <c r="X11" s="110"/>
      <c r="Y11" s="110">
        <v>2.9999999999999997E-4</v>
      </c>
      <c r="Z11" s="110"/>
      <c r="AA11" s="110"/>
      <c r="AB11" s="110">
        <v>1E-3</v>
      </c>
      <c r="AC11" s="110">
        <v>0.01</v>
      </c>
      <c r="AD11" s="110"/>
      <c r="AE11" s="110"/>
      <c r="AF11" s="110"/>
      <c r="AG11" s="137"/>
      <c r="AH11" s="131">
        <v>0.2</v>
      </c>
      <c r="AI11" s="136">
        <v>0.5</v>
      </c>
      <c r="AJ11" s="136">
        <v>1E-3</v>
      </c>
      <c r="AK11" s="136">
        <v>0.01</v>
      </c>
      <c r="AL11" s="136"/>
      <c r="AM11" s="136">
        <v>2.9999999999999997E-4</v>
      </c>
      <c r="AN11" s="136">
        <v>1E-3</v>
      </c>
      <c r="AO11" s="136">
        <v>0.01</v>
      </c>
      <c r="AP11" s="136"/>
      <c r="AQ11" s="136">
        <v>2.9999999999999997E-4</v>
      </c>
      <c r="AR11" s="136"/>
      <c r="AS11" s="136"/>
      <c r="AT11" s="136"/>
      <c r="AU11" s="136"/>
      <c r="AV11" s="113"/>
      <c r="AW11" s="113"/>
      <c r="AX11" s="113"/>
      <c r="AY11" s="113"/>
      <c r="AZ11" s="113"/>
      <c r="BA11" s="113"/>
      <c r="BB11" s="113">
        <v>0.06</v>
      </c>
      <c r="BC11" s="113">
        <v>0.15</v>
      </c>
      <c r="BD11" s="113">
        <v>1E-3</v>
      </c>
      <c r="BE11" s="113">
        <v>0.01</v>
      </c>
      <c r="BF11" s="113">
        <v>0.01</v>
      </c>
      <c r="BG11" s="113">
        <v>0.05</v>
      </c>
      <c r="BH11" s="113"/>
      <c r="BI11" s="113"/>
      <c r="BJ11" s="113">
        <v>0.01</v>
      </c>
      <c r="BK11" s="113">
        <v>0.05</v>
      </c>
      <c r="BL11" s="113"/>
      <c r="BM11" s="113"/>
      <c r="BN11" s="113">
        <v>0.01</v>
      </c>
      <c r="BO11" s="113">
        <v>0.05</v>
      </c>
      <c r="BP11" s="113"/>
      <c r="BQ11" s="113"/>
      <c r="BR11" s="113"/>
      <c r="BS11" s="113"/>
      <c r="BT11" s="113"/>
      <c r="BU11" s="113"/>
      <c r="BV11" s="113"/>
      <c r="BW11" s="113"/>
      <c r="BX11" s="113"/>
      <c r="BY11" s="113"/>
      <c r="BZ11" s="113"/>
      <c r="CA11" s="113"/>
      <c r="CB11" s="113">
        <v>0.01</v>
      </c>
      <c r="CC11" s="113">
        <v>0.05</v>
      </c>
      <c r="CD11" s="113">
        <v>0.01</v>
      </c>
      <c r="CE11" s="113">
        <v>0.05</v>
      </c>
      <c r="CF11" s="113"/>
      <c r="CG11" s="113"/>
      <c r="CH11" s="113"/>
      <c r="CI11" s="113"/>
      <c r="CJ11" s="113"/>
      <c r="CK11" s="113"/>
      <c r="CL11" s="113"/>
      <c r="CM11" s="113"/>
      <c r="CN11" s="113">
        <v>0.01</v>
      </c>
      <c r="CO11" s="113">
        <v>0.05</v>
      </c>
      <c r="CP11" s="140"/>
      <c r="CQ11" s="140"/>
      <c r="CR11" s="140"/>
      <c r="CS11" s="113"/>
      <c r="CT11" s="113">
        <v>1E-3</v>
      </c>
      <c r="CU11" s="113">
        <v>0.01</v>
      </c>
      <c r="CV11" s="113"/>
      <c r="CW11" s="113"/>
      <c r="CX11" s="113"/>
      <c r="CY11" s="140"/>
      <c r="CZ11" s="113">
        <v>1E-3</v>
      </c>
      <c r="DA11" s="113">
        <v>5.0000000000000001E-3</v>
      </c>
      <c r="DB11" s="113">
        <v>1E-3</v>
      </c>
      <c r="DC11" s="113">
        <v>0.01</v>
      </c>
      <c r="DD11" s="113">
        <v>1E-3</v>
      </c>
      <c r="DE11" s="113">
        <v>0.01</v>
      </c>
      <c r="DF11" s="113"/>
      <c r="DG11" s="113"/>
      <c r="DH11" s="113">
        <v>1E-3</v>
      </c>
      <c r="DI11" s="113">
        <v>0.01</v>
      </c>
      <c r="DJ11" s="113">
        <v>1E-3</v>
      </c>
      <c r="DK11" s="113">
        <v>0.01</v>
      </c>
      <c r="DL11" s="113">
        <v>1E-3</v>
      </c>
      <c r="DM11" s="159">
        <v>0.01</v>
      </c>
      <c r="DN11" t="s">
        <v>144</v>
      </c>
    </row>
    <row r="12" spans="2:118" x14ac:dyDescent="0.35">
      <c r="B12" s="6" t="s">
        <v>40</v>
      </c>
      <c r="C12" s="4" t="s">
        <v>71</v>
      </c>
      <c r="D12" s="151"/>
      <c r="E12" s="110"/>
      <c r="F12" s="110"/>
      <c r="G12" s="110"/>
      <c r="H12" s="110"/>
      <c r="I12" s="110"/>
      <c r="J12" s="110"/>
      <c r="K12" s="110"/>
      <c r="L12" s="110"/>
      <c r="M12" s="110"/>
      <c r="N12" s="110"/>
      <c r="O12" s="110"/>
      <c r="P12" s="110"/>
      <c r="Q12" s="110"/>
      <c r="R12" s="110"/>
      <c r="S12" s="110"/>
      <c r="T12" s="110">
        <v>1E-3</v>
      </c>
      <c r="U12" s="110">
        <v>0.01</v>
      </c>
      <c r="V12" s="110"/>
      <c r="W12" s="110"/>
      <c r="X12" s="110"/>
      <c r="Y12" s="110"/>
      <c r="Z12" s="110"/>
      <c r="AA12" s="110"/>
      <c r="AB12" s="110"/>
      <c r="AC12" s="110"/>
      <c r="AD12" s="110"/>
      <c r="AE12" s="110"/>
      <c r="AF12" s="110"/>
      <c r="AG12" s="137"/>
      <c r="AH12" s="131">
        <v>0.5</v>
      </c>
      <c r="AI12" s="136">
        <v>1</v>
      </c>
      <c r="AJ12" s="136"/>
      <c r="AK12" s="136"/>
      <c r="AL12" s="136"/>
      <c r="AM12" s="136"/>
      <c r="AN12" s="136"/>
      <c r="AO12" s="136"/>
      <c r="AP12" s="136"/>
      <c r="AQ12" s="136"/>
      <c r="AR12" s="136"/>
      <c r="AS12" s="136"/>
      <c r="AT12" s="136"/>
      <c r="AU12" s="136"/>
      <c r="AV12" s="113"/>
      <c r="AW12" s="113"/>
      <c r="AX12" s="113"/>
      <c r="AY12" s="113"/>
      <c r="AZ12" s="113"/>
      <c r="BA12" s="113"/>
      <c r="BB12" s="113">
        <v>0.01</v>
      </c>
      <c r="BC12" s="113">
        <v>0.05</v>
      </c>
      <c r="BD12" s="113">
        <v>0.01</v>
      </c>
      <c r="BE12" s="113">
        <v>0.05</v>
      </c>
      <c r="BF12" s="113"/>
      <c r="BG12" s="113"/>
      <c r="BH12" s="113"/>
      <c r="BI12" s="113"/>
      <c r="BJ12" s="113"/>
      <c r="BK12" s="113"/>
      <c r="BL12" s="113"/>
      <c r="BM12" s="113"/>
      <c r="BN12" s="113"/>
      <c r="BO12" s="113"/>
      <c r="BP12" s="113"/>
      <c r="BQ12" s="113"/>
      <c r="BR12" s="113"/>
      <c r="BS12" s="113"/>
      <c r="BT12" s="113"/>
      <c r="BU12" s="113"/>
      <c r="BV12" s="113">
        <v>1E-3</v>
      </c>
      <c r="BW12" s="113">
        <v>0.01</v>
      </c>
      <c r="BX12" s="113"/>
      <c r="BY12" s="113"/>
      <c r="BZ12" s="113">
        <v>1E-3</v>
      </c>
      <c r="CA12" s="113">
        <v>0.01</v>
      </c>
      <c r="CB12" s="113"/>
      <c r="CC12" s="113"/>
      <c r="CD12" s="113">
        <v>1E-3</v>
      </c>
      <c r="CE12" s="113">
        <v>0.01</v>
      </c>
      <c r="CF12" s="113">
        <v>0.01</v>
      </c>
      <c r="CG12" s="113">
        <v>0.05</v>
      </c>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c r="DH12" s="113"/>
      <c r="DI12" s="113"/>
      <c r="DJ12" s="113"/>
      <c r="DK12" s="113"/>
      <c r="DL12" s="113"/>
      <c r="DM12" s="159"/>
      <c r="DN12" s="123" t="s">
        <v>145</v>
      </c>
    </row>
    <row r="13" spans="2:118" x14ac:dyDescent="0.35">
      <c r="B13" s="6" t="s">
        <v>40</v>
      </c>
      <c r="C13" s="4" t="s">
        <v>72</v>
      </c>
      <c r="D13" s="151"/>
      <c r="E13" s="110"/>
      <c r="F13" s="110"/>
      <c r="G13" s="110">
        <v>0.05</v>
      </c>
      <c r="H13" s="110"/>
      <c r="I13" s="110"/>
      <c r="J13" s="110"/>
      <c r="K13" s="110"/>
      <c r="L13" s="110"/>
      <c r="M13" s="110"/>
      <c r="N13" s="110">
        <v>0.23</v>
      </c>
      <c r="O13" s="110">
        <v>0.25</v>
      </c>
      <c r="P13" s="110"/>
      <c r="Q13" s="110"/>
      <c r="R13" s="110"/>
      <c r="S13" s="110">
        <v>7.4999999999999997E-3</v>
      </c>
      <c r="T13" s="110">
        <v>0.01</v>
      </c>
      <c r="U13" s="110">
        <v>2.5000000000000001E-2</v>
      </c>
      <c r="V13" s="110">
        <v>0.12</v>
      </c>
      <c r="W13" s="110">
        <v>0.14000000000000001</v>
      </c>
      <c r="X13" s="110"/>
      <c r="Y13" s="110">
        <v>2.9999999999999997E-4</v>
      </c>
      <c r="Z13" s="110"/>
      <c r="AA13" s="110"/>
      <c r="AB13" s="110"/>
      <c r="AC13" s="110"/>
      <c r="AD13" s="110"/>
      <c r="AE13" s="110"/>
      <c r="AF13" s="110"/>
      <c r="AG13" s="137"/>
      <c r="AH13" s="131"/>
      <c r="AI13" s="136"/>
      <c r="AJ13" s="136">
        <v>3.0000000000000001E-3</v>
      </c>
      <c r="AK13" s="136">
        <v>6.4999999999999997E-3</v>
      </c>
      <c r="AL13" s="136"/>
      <c r="AM13" s="136">
        <v>2.9999999999999997E-4</v>
      </c>
      <c r="AN13" s="136"/>
      <c r="AO13" s="136">
        <v>7.4999999999999997E-3</v>
      </c>
      <c r="AP13" s="136"/>
      <c r="AQ13" s="136">
        <v>2.9999999999999997E-4</v>
      </c>
      <c r="AR13" s="136"/>
      <c r="AS13" s="136"/>
      <c r="AT13" s="136"/>
      <c r="AU13" s="136"/>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40"/>
      <c r="DA13" s="140"/>
      <c r="DB13" s="140"/>
      <c r="DC13" s="140"/>
      <c r="DD13" s="140"/>
      <c r="DE13" s="140"/>
      <c r="DF13" s="140"/>
      <c r="DG13" s="140"/>
      <c r="DH13" s="140"/>
      <c r="DI13" s="140"/>
      <c r="DJ13" s="113"/>
      <c r="DK13" s="129"/>
      <c r="DL13" s="113"/>
      <c r="DM13" s="160"/>
      <c r="DN13" t="s">
        <v>146</v>
      </c>
    </row>
    <row r="14" spans="2:118" x14ac:dyDescent="0.35">
      <c r="B14" s="6">
        <v>6010</v>
      </c>
      <c r="C14" s="4" t="s">
        <v>73</v>
      </c>
      <c r="D14" s="151"/>
      <c r="E14" s="110"/>
      <c r="F14" s="110"/>
      <c r="G14" s="110"/>
      <c r="H14" s="110"/>
      <c r="I14" s="110"/>
      <c r="J14" s="110"/>
      <c r="K14" s="110"/>
      <c r="L14" s="110"/>
      <c r="M14" s="110"/>
      <c r="N14" s="110"/>
      <c r="O14" s="110"/>
      <c r="P14" s="110"/>
      <c r="Q14" s="110"/>
      <c r="R14" s="110"/>
      <c r="S14" s="110"/>
      <c r="T14" s="110">
        <v>0.01</v>
      </c>
      <c r="U14" s="110">
        <v>0.05</v>
      </c>
      <c r="V14" s="110"/>
      <c r="W14" s="110"/>
      <c r="X14" s="110"/>
      <c r="Y14" s="110"/>
      <c r="Z14" s="110"/>
      <c r="AA14" s="110"/>
      <c r="AB14" s="110">
        <v>1E-3</v>
      </c>
      <c r="AC14" s="110">
        <v>0.01</v>
      </c>
      <c r="AD14" s="110"/>
      <c r="AE14" s="110"/>
      <c r="AF14" s="110"/>
      <c r="AG14" s="137"/>
      <c r="AH14" s="131">
        <v>0.6</v>
      </c>
      <c r="AI14" s="136">
        <v>1</v>
      </c>
      <c r="AJ14" s="136"/>
      <c r="AK14" s="136"/>
      <c r="AL14" s="136"/>
      <c r="AM14" s="136"/>
      <c r="AN14" s="136"/>
      <c r="AO14" s="136"/>
      <c r="AP14" s="136"/>
      <c r="AQ14" s="136"/>
      <c r="AR14" s="136"/>
      <c r="AS14" s="136"/>
      <c r="AT14" s="136"/>
      <c r="AU14" s="136"/>
      <c r="AV14" s="113"/>
      <c r="AW14" s="113"/>
      <c r="AX14" s="113"/>
      <c r="AY14" s="113"/>
      <c r="AZ14" s="113"/>
      <c r="BA14" s="113"/>
      <c r="BB14" s="113">
        <v>0.01</v>
      </c>
      <c r="BC14" s="113">
        <v>0.05</v>
      </c>
      <c r="BD14" s="113">
        <v>0.01</v>
      </c>
      <c r="BE14" s="113">
        <v>0.05</v>
      </c>
      <c r="BF14" s="113"/>
      <c r="BG14" s="113"/>
      <c r="BH14" s="140"/>
      <c r="BI14" s="140"/>
      <c r="BJ14" s="140"/>
      <c r="BK14" s="140"/>
      <c r="BL14" s="140"/>
      <c r="BM14" s="140"/>
      <c r="BN14" s="113"/>
      <c r="BO14" s="113"/>
      <c r="BP14" s="113"/>
      <c r="BQ14" s="113"/>
      <c r="BR14" s="113"/>
      <c r="BS14" s="113"/>
      <c r="BT14" s="113"/>
      <c r="BU14" s="113"/>
      <c r="BV14" s="113"/>
      <c r="BW14" s="113"/>
      <c r="BX14" s="113"/>
      <c r="BY14" s="113"/>
      <c r="BZ14" s="113"/>
      <c r="CA14" s="113"/>
      <c r="CB14" s="113"/>
      <c r="CC14" s="113"/>
      <c r="CD14" s="113">
        <v>0.01</v>
      </c>
      <c r="CE14" s="113">
        <v>0.05</v>
      </c>
      <c r="CF14" s="113">
        <v>0.05</v>
      </c>
      <c r="CG14" s="113">
        <v>0.1</v>
      </c>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59"/>
      <c r="DN14" t="s">
        <v>147</v>
      </c>
    </row>
    <row r="15" spans="2:118" x14ac:dyDescent="0.35">
      <c r="B15" s="92" t="s">
        <v>38</v>
      </c>
      <c r="C15" s="4" t="s">
        <v>75</v>
      </c>
      <c r="D15" s="151"/>
      <c r="E15" s="110"/>
      <c r="F15" s="110"/>
      <c r="G15" s="110"/>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37"/>
      <c r="AH15" s="131"/>
      <c r="AI15" s="136"/>
      <c r="AJ15" s="136"/>
      <c r="AK15" s="136"/>
      <c r="AL15" s="136">
        <v>6.9999999999999999E-4</v>
      </c>
      <c r="AM15" s="136">
        <v>1.1999999999999999E-3</v>
      </c>
      <c r="AN15" s="136"/>
      <c r="AO15" s="136"/>
      <c r="AP15" s="136"/>
      <c r="AQ15" s="136"/>
      <c r="AR15" s="136"/>
      <c r="AS15" s="136"/>
      <c r="AT15" s="136"/>
      <c r="AU15" s="136"/>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59"/>
    </row>
    <row r="16" spans="2:118" x14ac:dyDescent="0.35">
      <c r="B16" s="92" t="s">
        <v>36</v>
      </c>
      <c r="C16" s="4" t="s">
        <v>76</v>
      </c>
      <c r="D16" s="131"/>
      <c r="E16" s="136"/>
      <c r="F16" s="136"/>
      <c r="G16" s="136"/>
      <c r="H16" s="136"/>
      <c r="I16" s="136"/>
      <c r="J16" s="136"/>
      <c r="K16" s="136"/>
      <c r="L16" s="136"/>
      <c r="M16" s="136"/>
      <c r="N16" s="136"/>
      <c r="O16" s="136">
        <v>1.5E-3</v>
      </c>
      <c r="P16" s="136"/>
      <c r="Q16" s="136"/>
      <c r="R16" s="136"/>
      <c r="S16" s="136">
        <v>5.0000000000000001E-3</v>
      </c>
      <c r="T16" s="136">
        <v>0.01</v>
      </c>
      <c r="U16" s="136">
        <v>0.02</v>
      </c>
      <c r="V16" s="136"/>
      <c r="W16" s="136">
        <v>1.5E-3</v>
      </c>
      <c r="X16" s="136"/>
      <c r="Y16" s="136">
        <v>2.5000000000000001E-4</v>
      </c>
      <c r="Z16" s="136"/>
      <c r="AA16" s="136"/>
      <c r="AB16" s="136"/>
      <c r="AC16" s="136"/>
      <c r="AD16" s="136"/>
      <c r="AE16" s="136">
        <v>2.9999999999999997E-4</v>
      </c>
      <c r="AF16" s="136"/>
      <c r="AG16" s="137"/>
      <c r="AH16" s="131">
        <v>0.96</v>
      </c>
      <c r="AI16" s="136">
        <v>1</v>
      </c>
      <c r="AJ16" s="136">
        <v>5.0000000000000001E-3</v>
      </c>
      <c r="AK16" s="136">
        <v>1.2E-2</v>
      </c>
      <c r="AL16" s="136"/>
      <c r="AM16" s="136">
        <v>5.0000000000000001E-3</v>
      </c>
      <c r="AN16" s="136"/>
      <c r="AO16" s="136">
        <v>1.5E-3</v>
      </c>
      <c r="AP16" s="136"/>
      <c r="AQ16" s="136">
        <v>3.5E-4</v>
      </c>
      <c r="AR16" s="136"/>
      <c r="AS16" s="136"/>
      <c r="AT16" s="136"/>
      <c r="AU16" s="136"/>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59"/>
      <c r="DN16" s="112" t="s">
        <v>140</v>
      </c>
    </row>
    <row r="17" spans="2:118" x14ac:dyDescent="0.35">
      <c r="B17" s="92" t="s">
        <v>39</v>
      </c>
      <c r="C17" s="4" t="s">
        <v>77</v>
      </c>
      <c r="D17" s="151"/>
      <c r="E17" s="110"/>
      <c r="F17" s="110"/>
      <c r="G17" s="110"/>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37"/>
      <c r="AH17" s="131"/>
      <c r="AI17" s="136"/>
      <c r="AJ17" s="136"/>
      <c r="AK17" s="136"/>
      <c r="AL17" s="136"/>
      <c r="AM17" s="136"/>
      <c r="AN17" s="136"/>
      <c r="AO17" s="136"/>
      <c r="AP17" s="136"/>
      <c r="AQ17" s="136"/>
      <c r="AR17" s="136"/>
      <c r="AS17" s="136"/>
      <c r="AT17" s="136"/>
      <c r="AU17" s="136"/>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41"/>
      <c r="DB17" s="142"/>
      <c r="DC17" s="113"/>
      <c r="DD17" s="113"/>
      <c r="DE17" s="113"/>
      <c r="DF17" s="113"/>
      <c r="DG17" s="113"/>
      <c r="DH17" s="113"/>
      <c r="DI17" s="113"/>
      <c r="DJ17" s="113"/>
      <c r="DK17" s="113"/>
      <c r="DL17" s="113"/>
      <c r="DM17" s="159"/>
    </row>
    <row r="18" spans="2:118" x14ac:dyDescent="0.35">
      <c r="B18" s="6">
        <v>6010</v>
      </c>
      <c r="C18" s="4" t="s">
        <v>78</v>
      </c>
      <c r="D18" s="151"/>
      <c r="E18" s="110"/>
      <c r="F18" s="110"/>
      <c r="G18" s="110"/>
      <c r="H18" s="110"/>
      <c r="I18" s="110"/>
      <c r="J18" s="110"/>
      <c r="K18" s="110"/>
      <c r="L18" s="110"/>
      <c r="M18" s="110"/>
      <c r="N18" s="110"/>
      <c r="O18" s="110"/>
      <c r="P18" s="110"/>
      <c r="Q18" s="110"/>
      <c r="R18" s="110"/>
      <c r="S18" s="110"/>
      <c r="T18" s="110">
        <v>0.01</v>
      </c>
      <c r="U18" s="110">
        <v>0.05</v>
      </c>
      <c r="V18" s="110"/>
      <c r="W18" s="110"/>
      <c r="X18" s="110"/>
      <c r="Y18" s="110"/>
      <c r="Z18" s="110"/>
      <c r="AA18" s="110"/>
      <c r="AB18" s="110"/>
      <c r="AC18" s="110"/>
      <c r="AD18" s="110"/>
      <c r="AE18" s="110"/>
      <c r="AF18" s="110"/>
      <c r="AG18" s="137"/>
      <c r="AH18" s="131">
        <v>0.5</v>
      </c>
      <c r="AI18" s="136">
        <v>1</v>
      </c>
      <c r="AJ18" s="136"/>
      <c r="AK18" s="136"/>
      <c r="AL18" s="136"/>
      <c r="AM18" s="136"/>
      <c r="AN18" s="136"/>
      <c r="AO18" s="136"/>
      <c r="AP18" s="136"/>
      <c r="AQ18" s="136"/>
      <c r="AR18" s="136"/>
      <c r="AS18" s="136"/>
      <c r="AT18" s="136"/>
      <c r="AU18" s="136"/>
      <c r="AV18" s="113"/>
      <c r="AW18" s="113"/>
      <c r="AX18" s="113"/>
      <c r="AY18" s="113"/>
      <c r="AZ18" s="113"/>
      <c r="BA18" s="113"/>
      <c r="BB18" s="113">
        <v>0.01</v>
      </c>
      <c r="BC18" s="113">
        <v>0.05</v>
      </c>
      <c r="BD18" s="113">
        <v>0.01</v>
      </c>
      <c r="BE18" s="113">
        <v>0.05</v>
      </c>
      <c r="BF18" s="113"/>
      <c r="BG18" s="113"/>
      <c r="BH18" s="113"/>
      <c r="BI18" s="113"/>
      <c r="BJ18" s="113"/>
      <c r="BK18" s="113"/>
      <c r="BL18" s="113"/>
      <c r="BM18" s="113"/>
      <c r="BN18" s="113">
        <v>0.01</v>
      </c>
      <c r="BO18" s="113">
        <v>0.05</v>
      </c>
      <c r="BP18" s="113"/>
      <c r="BQ18" s="113"/>
      <c r="BR18" s="113"/>
      <c r="BS18" s="113"/>
      <c r="BT18" s="113"/>
      <c r="BU18" s="113"/>
      <c r="BV18" s="113"/>
      <c r="BW18" s="113"/>
      <c r="BX18" s="113"/>
      <c r="BY18" s="113"/>
      <c r="BZ18" s="113"/>
      <c r="CA18" s="113"/>
      <c r="CB18" s="113"/>
      <c r="CC18" s="113"/>
      <c r="CD18" s="113">
        <v>1E-3</v>
      </c>
      <c r="CE18" s="113">
        <v>0.01</v>
      </c>
      <c r="CF18" s="113">
        <v>0.01</v>
      </c>
      <c r="CG18" s="113">
        <v>0.05</v>
      </c>
      <c r="CH18" s="113">
        <v>1E-3</v>
      </c>
      <c r="CI18" s="113">
        <v>0.01</v>
      </c>
      <c r="CJ18" s="113"/>
      <c r="CK18" s="113"/>
      <c r="CL18" s="113"/>
      <c r="CM18" s="113"/>
      <c r="CN18" s="113"/>
      <c r="CO18" s="113"/>
      <c r="CP18" s="113"/>
      <c r="CQ18" s="113"/>
      <c r="CR18" s="113"/>
      <c r="CS18" s="113"/>
      <c r="CT18" s="113"/>
      <c r="CU18" s="113"/>
      <c r="CV18" s="113"/>
      <c r="CW18" s="113"/>
      <c r="CX18" s="113"/>
      <c r="CY18" s="113"/>
      <c r="CZ18" s="113"/>
      <c r="DA18" s="113"/>
      <c r="DB18" s="113"/>
      <c r="DC18" s="113"/>
      <c r="DD18" s="113"/>
      <c r="DE18" s="113"/>
      <c r="DF18" s="113"/>
      <c r="DG18" s="113"/>
      <c r="DH18" s="113"/>
      <c r="DI18" s="113"/>
      <c r="DJ18" s="113"/>
      <c r="DK18" s="113"/>
      <c r="DL18" s="113"/>
      <c r="DM18" s="159"/>
      <c r="DN18" t="s">
        <v>148</v>
      </c>
    </row>
    <row r="19" spans="2:118" x14ac:dyDescent="0.35">
      <c r="B19" s="6">
        <v>6010</v>
      </c>
      <c r="C19" s="4" t="s">
        <v>79</v>
      </c>
      <c r="D19" s="151"/>
      <c r="E19" s="110"/>
      <c r="F19" s="110"/>
      <c r="G19" s="110"/>
      <c r="H19" s="110"/>
      <c r="I19" s="110"/>
      <c r="J19" s="110"/>
      <c r="K19" s="110"/>
      <c r="L19" s="110"/>
      <c r="M19" s="110"/>
      <c r="N19" s="110"/>
      <c r="O19" s="110"/>
      <c r="P19" s="110"/>
      <c r="Q19" s="110"/>
      <c r="R19" s="110"/>
      <c r="S19" s="110"/>
      <c r="T19" s="110">
        <v>1E-3</v>
      </c>
      <c r="U19" s="110">
        <v>0.01</v>
      </c>
      <c r="V19" s="110"/>
      <c r="W19" s="110"/>
      <c r="X19" s="110"/>
      <c r="Y19" s="110"/>
      <c r="Z19" s="110"/>
      <c r="AA19" s="110"/>
      <c r="AB19" s="110"/>
      <c r="AC19" s="110"/>
      <c r="AD19" s="110"/>
      <c r="AE19" s="110"/>
      <c r="AF19" s="110"/>
      <c r="AG19" s="137"/>
      <c r="AH19" s="131">
        <v>0.5</v>
      </c>
      <c r="AI19" s="136">
        <v>1</v>
      </c>
      <c r="AJ19" s="136"/>
      <c r="AK19" s="136"/>
      <c r="AL19" s="136"/>
      <c r="AM19" s="136"/>
      <c r="AN19" s="136"/>
      <c r="AO19" s="136"/>
      <c r="AP19" s="136"/>
      <c r="AQ19" s="136"/>
      <c r="AR19" s="136"/>
      <c r="AS19" s="136"/>
      <c r="AT19" s="136"/>
      <c r="AU19" s="136"/>
      <c r="AV19" s="113"/>
      <c r="AW19" s="113"/>
      <c r="AX19" s="113"/>
      <c r="AY19" s="113"/>
      <c r="AZ19" s="113"/>
      <c r="BA19" s="113"/>
      <c r="BB19" s="113">
        <v>0.01</v>
      </c>
      <c r="BC19" s="113">
        <v>0.05</v>
      </c>
      <c r="BD19" s="113">
        <v>0.01</v>
      </c>
      <c r="BE19" s="113">
        <v>0.05</v>
      </c>
      <c r="BF19" s="113"/>
      <c r="BG19" s="113"/>
      <c r="BH19" s="113"/>
      <c r="BI19" s="113"/>
      <c r="BJ19" s="113"/>
      <c r="BK19" s="113"/>
      <c r="BL19" s="113"/>
      <c r="BM19" s="113"/>
      <c r="BN19" s="113"/>
      <c r="BO19" s="113"/>
      <c r="BP19" s="113"/>
      <c r="BQ19" s="113"/>
      <c r="BR19" s="113"/>
      <c r="BS19" s="113"/>
      <c r="BT19" s="113"/>
      <c r="BU19" s="113"/>
      <c r="BV19" s="113">
        <v>1E-3</v>
      </c>
      <c r="BW19" s="113">
        <v>0.01</v>
      </c>
      <c r="BX19" s="113"/>
      <c r="BY19" s="113"/>
      <c r="BZ19" s="113"/>
      <c r="CA19" s="113"/>
      <c r="CB19" s="113"/>
      <c r="CC19" s="113"/>
      <c r="CD19" s="113">
        <v>1E-3</v>
      </c>
      <c r="CE19" s="113">
        <v>0.01</v>
      </c>
      <c r="CF19" s="113"/>
      <c r="CG19" s="113"/>
      <c r="CH19" s="113"/>
      <c r="CI19" s="113"/>
      <c r="CJ19" s="113">
        <v>1E-3</v>
      </c>
      <c r="CK19" s="113">
        <v>0.01</v>
      </c>
      <c r="CL19" s="113"/>
      <c r="CM19" s="113"/>
      <c r="CN19" s="113"/>
      <c r="CO19" s="113"/>
      <c r="CP19" s="113"/>
      <c r="CQ19" s="113"/>
      <c r="CR19" s="113"/>
      <c r="CS19" s="113"/>
      <c r="CT19" s="113"/>
      <c r="CU19" s="113"/>
      <c r="CV19" s="113"/>
      <c r="CW19" s="113"/>
      <c r="CX19" s="113"/>
      <c r="CY19" s="113"/>
      <c r="CZ19" s="113"/>
      <c r="DA19" s="113"/>
      <c r="DB19" s="113"/>
      <c r="DC19" s="113"/>
      <c r="DD19" s="113"/>
      <c r="DE19" s="113"/>
      <c r="DF19" s="113"/>
      <c r="DG19" s="113"/>
      <c r="DH19" s="113"/>
      <c r="DI19" s="113"/>
      <c r="DJ19" s="113"/>
      <c r="DK19" s="113"/>
      <c r="DL19" s="113"/>
      <c r="DM19" s="159"/>
      <c r="DN19" t="s">
        <v>149</v>
      </c>
    </row>
    <row r="20" spans="2:118" x14ac:dyDescent="0.35">
      <c r="B20" s="6">
        <v>6010</v>
      </c>
      <c r="C20" s="4" t="s">
        <v>80</v>
      </c>
      <c r="D20" s="151"/>
      <c r="E20" s="110"/>
      <c r="F20" s="110"/>
      <c r="G20" s="110"/>
      <c r="H20" s="110"/>
      <c r="I20" s="110"/>
      <c r="J20" s="110"/>
      <c r="K20" s="110"/>
      <c r="L20" s="110"/>
      <c r="M20" s="110"/>
      <c r="N20" s="110"/>
      <c r="O20" s="110"/>
      <c r="P20" s="110"/>
      <c r="Q20" s="110"/>
      <c r="R20" s="110"/>
      <c r="S20" s="110"/>
      <c r="T20" s="110">
        <v>0.01</v>
      </c>
      <c r="U20" s="110">
        <v>0.05</v>
      </c>
      <c r="V20" s="110"/>
      <c r="W20" s="110"/>
      <c r="X20" s="110"/>
      <c r="Y20" s="110"/>
      <c r="Z20" s="110"/>
      <c r="AA20" s="110"/>
      <c r="AB20" s="110"/>
      <c r="AC20" s="110"/>
      <c r="AD20" s="110"/>
      <c r="AE20" s="110"/>
      <c r="AF20" s="110"/>
      <c r="AG20" s="137"/>
      <c r="AH20" s="131">
        <v>0.6</v>
      </c>
      <c r="AI20" s="136">
        <v>1</v>
      </c>
      <c r="AJ20" s="136"/>
      <c r="AK20" s="136"/>
      <c r="AL20" s="136"/>
      <c r="AM20" s="136"/>
      <c r="AN20" s="136"/>
      <c r="AO20" s="136"/>
      <c r="AP20" s="136"/>
      <c r="AQ20" s="136"/>
      <c r="AR20" s="136"/>
      <c r="AS20" s="136"/>
      <c r="AT20" s="136"/>
      <c r="AU20" s="136"/>
      <c r="AV20" s="113"/>
      <c r="AW20" s="113"/>
      <c r="AX20" s="113"/>
      <c r="AY20" s="113"/>
      <c r="AZ20" s="113"/>
      <c r="BA20" s="113"/>
      <c r="BB20" s="113">
        <v>0.01</v>
      </c>
      <c r="BC20" s="113">
        <v>0.05</v>
      </c>
      <c r="BD20" s="113">
        <v>0.01</v>
      </c>
      <c r="BE20" s="113">
        <v>0.05</v>
      </c>
      <c r="BF20" s="113"/>
      <c r="BG20" s="113"/>
      <c r="BH20" s="113"/>
      <c r="BI20" s="113"/>
      <c r="BJ20" s="113"/>
      <c r="BK20" s="113"/>
      <c r="BL20" s="113"/>
      <c r="BM20" s="113"/>
      <c r="BN20" s="113">
        <v>0.01</v>
      </c>
      <c r="BO20" s="113">
        <v>0.05</v>
      </c>
      <c r="BP20" s="113"/>
      <c r="BQ20" s="113"/>
      <c r="BR20" s="113"/>
      <c r="BS20" s="113"/>
      <c r="BT20" s="113"/>
      <c r="BU20" s="113"/>
      <c r="BV20" s="113"/>
      <c r="BW20" s="113"/>
      <c r="BX20" s="113"/>
      <c r="BY20" s="113"/>
      <c r="BZ20" s="113"/>
      <c r="CA20" s="113"/>
      <c r="CB20" s="113"/>
      <c r="CC20" s="113"/>
      <c r="CD20" s="113">
        <v>1E-3</v>
      </c>
      <c r="CE20" s="113">
        <v>0.01</v>
      </c>
      <c r="CF20" s="113">
        <v>0.03</v>
      </c>
      <c r="CG20" s="113">
        <v>7.0000000000000007E-2</v>
      </c>
      <c r="CH20" s="113">
        <v>1E-3</v>
      </c>
      <c r="CI20" s="113">
        <v>0.01</v>
      </c>
      <c r="CJ20" s="113"/>
      <c r="CK20" s="113"/>
      <c r="CL20" s="113"/>
      <c r="CM20" s="113"/>
      <c r="CN20" s="113"/>
      <c r="CO20" s="113"/>
      <c r="CP20" s="113"/>
      <c r="CQ20" s="113"/>
      <c r="CR20" s="113"/>
      <c r="CS20" s="113"/>
      <c r="CT20" s="113"/>
      <c r="CU20" s="113"/>
      <c r="CV20" s="113"/>
      <c r="CW20" s="113"/>
      <c r="CX20" s="113"/>
      <c r="CY20" s="113"/>
      <c r="CZ20" s="113"/>
      <c r="DA20" s="113"/>
      <c r="DB20" s="113"/>
      <c r="DC20" s="113"/>
      <c r="DD20" s="113"/>
      <c r="DE20" s="113"/>
      <c r="DF20" s="113"/>
      <c r="DG20" s="113"/>
      <c r="DH20" s="113"/>
      <c r="DI20" s="113"/>
      <c r="DJ20" s="113"/>
      <c r="DK20" s="113"/>
      <c r="DL20" s="113"/>
      <c r="DM20" s="159"/>
      <c r="DN20" s="123" t="s">
        <v>150</v>
      </c>
    </row>
    <row r="21" spans="2:118" x14ac:dyDescent="0.35">
      <c r="B21" s="6">
        <v>6011</v>
      </c>
      <c r="C21" s="4" t="s">
        <v>81</v>
      </c>
      <c r="D21" s="151"/>
      <c r="E21" s="110"/>
      <c r="F21" s="110"/>
      <c r="G21" s="110"/>
      <c r="H21" s="110"/>
      <c r="I21" s="110"/>
      <c r="J21" s="110"/>
      <c r="K21" s="110"/>
      <c r="L21" s="110"/>
      <c r="M21" s="110"/>
      <c r="N21" s="110"/>
      <c r="O21" s="110"/>
      <c r="P21" s="110"/>
      <c r="Q21" s="110"/>
      <c r="R21" s="110"/>
      <c r="S21" s="110"/>
      <c r="T21" s="110">
        <v>0.01</v>
      </c>
      <c r="U21" s="110">
        <v>0.05</v>
      </c>
      <c r="V21" s="110"/>
      <c r="W21" s="110"/>
      <c r="X21" s="110"/>
      <c r="Y21" s="110"/>
      <c r="Z21" s="110"/>
      <c r="AA21" s="110"/>
      <c r="AB21" s="110">
        <v>1E-3</v>
      </c>
      <c r="AC21" s="110">
        <v>0.01</v>
      </c>
      <c r="AD21" s="110"/>
      <c r="AE21" s="110"/>
      <c r="AF21" s="110"/>
      <c r="AG21" s="137"/>
      <c r="AH21" s="131">
        <v>0.6</v>
      </c>
      <c r="AI21" s="136">
        <v>1</v>
      </c>
      <c r="AJ21" s="136"/>
      <c r="AK21" s="136"/>
      <c r="AL21" s="136"/>
      <c r="AM21" s="136"/>
      <c r="AN21" s="136"/>
      <c r="AO21" s="136"/>
      <c r="AP21" s="136"/>
      <c r="AQ21" s="136"/>
      <c r="AR21" s="136"/>
      <c r="AS21" s="136"/>
      <c r="AT21" s="136"/>
      <c r="AU21" s="136"/>
      <c r="AV21" s="113"/>
      <c r="AW21" s="113"/>
      <c r="AX21" s="113"/>
      <c r="AY21" s="113"/>
      <c r="AZ21" s="113"/>
      <c r="BA21" s="113"/>
      <c r="BB21" s="113">
        <v>0.01</v>
      </c>
      <c r="BC21" s="113">
        <v>0.05</v>
      </c>
      <c r="BD21" s="113">
        <v>0.01</v>
      </c>
      <c r="BE21" s="113">
        <v>0.05</v>
      </c>
      <c r="BF21" s="113"/>
      <c r="BG21" s="113"/>
      <c r="BH21" s="113"/>
      <c r="BI21" s="113"/>
      <c r="BJ21" s="113"/>
      <c r="BK21" s="113"/>
      <c r="BL21" s="113"/>
      <c r="BM21" s="113"/>
      <c r="BN21" s="113"/>
      <c r="BO21" s="113"/>
      <c r="BP21" s="113"/>
      <c r="BQ21" s="113"/>
      <c r="BR21" s="113"/>
      <c r="BS21" s="113"/>
      <c r="BT21" s="113"/>
      <c r="BU21" s="113"/>
      <c r="BV21" s="113"/>
      <c r="BW21" s="113"/>
      <c r="BX21" s="113"/>
      <c r="BY21" s="113"/>
      <c r="BZ21" s="113"/>
      <c r="CA21" s="113"/>
      <c r="CB21" s="113"/>
      <c r="CC21" s="113"/>
      <c r="CD21" s="113">
        <v>0.01</v>
      </c>
      <c r="CE21" s="113">
        <v>0.05</v>
      </c>
      <c r="CF21" s="113">
        <v>0.05</v>
      </c>
      <c r="CG21" s="113">
        <v>0.1</v>
      </c>
      <c r="CH21" s="113"/>
      <c r="CI21" s="113"/>
      <c r="CJ21" s="113"/>
      <c r="CK21" s="113"/>
      <c r="CL21" s="113"/>
      <c r="CM21" s="113"/>
      <c r="CN21" s="113">
        <v>0.01</v>
      </c>
      <c r="CO21" s="113">
        <v>0.05</v>
      </c>
      <c r="CP21" s="113"/>
      <c r="CQ21" s="113"/>
      <c r="CR21" s="113"/>
      <c r="CS21" s="113"/>
      <c r="CT21" s="113"/>
      <c r="CU21" s="113"/>
      <c r="CV21" s="113"/>
      <c r="CW21" s="113"/>
      <c r="CX21" s="113"/>
      <c r="CY21" s="113"/>
      <c r="CZ21" s="113"/>
      <c r="DA21" s="113"/>
      <c r="DB21" s="113"/>
      <c r="DC21" s="113"/>
      <c r="DD21" s="113"/>
      <c r="DE21" s="113"/>
      <c r="DF21" s="113"/>
      <c r="DG21" s="113"/>
      <c r="DH21" s="113"/>
      <c r="DI21" s="113"/>
      <c r="DJ21" s="113"/>
      <c r="DK21" s="113"/>
      <c r="DL21" s="113"/>
      <c r="DM21" s="159"/>
      <c r="DN21" t="s">
        <v>147</v>
      </c>
    </row>
    <row r="22" spans="2:118" x14ac:dyDescent="0.35">
      <c r="B22" s="6" t="s">
        <v>45</v>
      </c>
      <c r="C22" s="4" t="s">
        <v>82</v>
      </c>
      <c r="D22" s="151"/>
      <c r="E22" s="110"/>
      <c r="F22" s="110">
        <v>1E-3</v>
      </c>
      <c r="G22" s="110">
        <v>0.01</v>
      </c>
      <c r="H22" s="110"/>
      <c r="I22" s="110"/>
      <c r="J22" s="110"/>
      <c r="K22" s="110"/>
      <c r="L22" s="110"/>
      <c r="M22" s="110"/>
      <c r="N22" s="110">
        <v>0.2</v>
      </c>
      <c r="O22" s="110">
        <v>0.5</v>
      </c>
      <c r="P22" s="110"/>
      <c r="Q22" s="110"/>
      <c r="R22" s="110"/>
      <c r="S22" s="110"/>
      <c r="T22" s="110">
        <v>0.01</v>
      </c>
      <c r="U22" s="110">
        <v>0.05</v>
      </c>
      <c r="V22" s="110">
        <v>1E-3</v>
      </c>
      <c r="W22" s="110">
        <v>0.01</v>
      </c>
      <c r="X22" s="110"/>
      <c r="Y22" s="110"/>
      <c r="Z22" s="110"/>
      <c r="AA22" s="110"/>
      <c r="AB22" s="110">
        <v>1E-3</v>
      </c>
      <c r="AC22" s="110">
        <v>0.01</v>
      </c>
      <c r="AD22" s="110">
        <v>1E-3</v>
      </c>
      <c r="AE22" s="110">
        <v>0.01</v>
      </c>
      <c r="AF22" s="110"/>
      <c r="AG22" s="137"/>
      <c r="AH22" s="131">
        <v>0.5</v>
      </c>
      <c r="AI22" s="136">
        <v>1</v>
      </c>
      <c r="AJ22" s="136">
        <v>1E-3</v>
      </c>
      <c r="AK22" s="136">
        <v>0.01</v>
      </c>
      <c r="AL22" s="136"/>
      <c r="AM22" s="136"/>
      <c r="AN22" s="136">
        <v>0.01</v>
      </c>
      <c r="AO22" s="136">
        <v>0.05</v>
      </c>
      <c r="AP22" s="136"/>
      <c r="AQ22" s="136"/>
      <c r="AR22" s="136"/>
      <c r="AS22" s="136"/>
      <c r="AT22" s="136"/>
      <c r="AU22" s="136"/>
      <c r="AV22" s="113">
        <v>1E-3</v>
      </c>
      <c r="AW22" s="113">
        <v>0.01</v>
      </c>
      <c r="AX22" s="113"/>
      <c r="AY22" s="113"/>
      <c r="AZ22" s="113"/>
      <c r="BA22" s="113"/>
      <c r="BB22" s="113"/>
      <c r="BC22" s="113"/>
      <c r="BD22" s="113">
        <v>0.01</v>
      </c>
      <c r="BE22" s="113">
        <v>0.05</v>
      </c>
      <c r="BF22" s="113"/>
      <c r="BG22" s="113"/>
      <c r="BH22" s="113"/>
      <c r="BI22" s="113"/>
      <c r="BJ22" s="113"/>
      <c r="BK22" s="113"/>
      <c r="BL22" s="113"/>
      <c r="BM22" s="113"/>
      <c r="BN22" s="113"/>
      <c r="BO22" s="113"/>
      <c r="BP22" s="113"/>
      <c r="BQ22" s="113"/>
      <c r="BR22" s="113"/>
      <c r="BS22" s="113"/>
      <c r="BT22" s="113"/>
      <c r="BU22" s="113"/>
      <c r="BV22" s="113"/>
      <c r="BW22" s="113"/>
      <c r="BX22" s="113"/>
      <c r="BY22" s="113"/>
      <c r="BZ22" s="113"/>
      <c r="CA22" s="113"/>
      <c r="CB22" s="113"/>
      <c r="CC22" s="113"/>
      <c r="CD22" s="113"/>
      <c r="CE22" s="113"/>
      <c r="CF22" s="113"/>
      <c r="CG22" s="113"/>
      <c r="CH22" s="113">
        <v>1E-3</v>
      </c>
      <c r="CI22" s="113">
        <v>0.01</v>
      </c>
      <c r="CJ22" s="113"/>
      <c r="CK22" s="113"/>
      <c r="CL22" s="113">
        <v>0.01</v>
      </c>
      <c r="CM22" s="113">
        <v>0.05</v>
      </c>
      <c r="CN22" s="113">
        <v>0.01</v>
      </c>
      <c r="CO22" s="113">
        <v>0.05</v>
      </c>
      <c r="CP22" s="113">
        <v>1E-3</v>
      </c>
      <c r="CQ22" s="113">
        <v>0.01</v>
      </c>
      <c r="CR22" s="113">
        <v>0</v>
      </c>
      <c r="CS22" s="113">
        <v>0.1</v>
      </c>
      <c r="CT22" s="113"/>
      <c r="CU22" s="113"/>
      <c r="CV22" s="113"/>
      <c r="CW22" s="113"/>
      <c r="CX22" s="113"/>
      <c r="CY22" s="113"/>
      <c r="CZ22" s="113"/>
      <c r="DA22" s="113"/>
      <c r="DB22" s="113"/>
      <c r="DC22" s="113"/>
      <c r="DD22" s="113"/>
      <c r="DE22" s="113"/>
      <c r="DF22" s="113"/>
      <c r="DG22" s="113"/>
      <c r="DH22" s="113"/>
      <c r="DI22" s="113"/>
      <c r="DJ22" s="113"/>
      <c r="DK22" s="113"/>
      <c r="DL22" s="113"/>
      <c r="DM22" s="159"/>
      <c r="DN22" t="s">
        <v>151</v>
      </c>
    </row>
    <row r="23" spans="2:118" x14ac:dyDescent="0.35">
      <c r="B23" s="6" t="s">
        <v>49</v>
      </c>
      <c r="C23" s="4" t="s">
        <v>83</v>
      </c>
      <c r="D23" s="151"/>
      <c r="E23" s="110"/>
      <c r="F23" s="110"/>
      <c r="G23" s="110"/>
      <c r="H23" s="110"/>
      <c r="I23" s="110"/>
      <c r="J23" s="110"/>
      <c r="K23" s="110"/>
      <c r="L23" s="110"/>
      <c r="M23" s="110"/>
      <c r="N23" s="110">
        <v>0.15</v>
      </c>
      <c r="O23" s="110">
        <v>0.4</v>
      </c>
      <c r="P23" s="110"/>
      <c r="Q23" s="110"/>
      <c r="R23" s="110"/>
      <c r="S23" s="110"/>
      <c r="T23" s="110">
        <v>1E-3</v>
      </c>
      <c r="U23" s="110">
        <v>0.01</v>
      </c>
      <c r="V23" s="110">
        <v>7.0000000000000007E-2</v>
      </c>
      <c r="W23" s="110">
        <v>0.13</v>
      </c>
      <c r="X23" s="110"/>
      <c r="Y23" s="110"/>
      <c r="Z23" s="110"/>
      <c r="AA23" s="110"/>
      <c r="AB23" s="110">
        <v>1E-3</v>
      </c>
      <c r="AC23" s="110">
        <v>0.01</v>
      </c>
      <c r="AD23" s="110"/>
      <c r="AE23" s="110"/>
      <c r="AF23" s="110"/>
      <c r="AG23" s="137"/>
      <c r="AH23" s="131">
        <v>0.3</v>
      </c>
      <c r="AI23" s="136">
        <v>0.6</v>
      </c>
      <c r="AJ23" s="136"/>
      <c r="AK23" s="136"/>
      <c r="AL23" s="136"/>
      <c r="AM23" s="136"/>
      <c r="AN23" s="136">
        <v>1E-3</v>
      </c>
      <c r="AO23" s="136">
        <v>0.01</v>
      </c>
      <c r="AP23" s="136"/>
      <c r="AQ23" s="136"/>
      <c r="AR23" s="136"/>
      <c r="AS23" s="136"/>
      <c r="AT23" s="136"/>
      <c r="AU23" s="136"/>
      <c r="AV23" s="113"/>
      <c r="AW23" s="113"/>
      <c r="AX23" s="113"/>
      <c r="AY23" s="113"/>
      <c r="AZ23" s="113">
        <v>0.01</v>
      </c>
      <c r="BA23" s="113">
        <v>0.05</v>
      </c>
      <c r="BB23" s="113">
        <v>0.1</v>
      </c>
      <c r="BC23" s="129">
        <v>0.3</v>
      </c>
      <c r="BD23" s="113">
        <v>0.01</v>
      </c>
      <c r="BE23" s="129">
        <v>0.05</v>
      </c>
      <c r="BF23" s="113">
        <v>0.01</v>
      </c>
      <c r="BG23" s="129">
        <v>0.05</v>
      </c>
      <c r="BH23" s="113">
        <v>0.01</v>
      </c>
      <c r="BI23" s="129">
        <v>0.05</v>
      </c>
      <c r="BJ23" s="113">
        <v>0.01</v>
      </c>
      <c r="BK23" s="129">
        <v>0.05</v>
      </c>
      <c r="BL23" s="113">
        <v>5.0000000000000001E-3</v>
      </c>
      <c r="BM23" s="129">
        <v>1.4999999999999999E-2</v>
      </c>
      <c r="BN23" s="113"/>
      <c r="BO23" s="113"/>
      <c r="BP23" s="113"/>
      <c r="BQ23" s="113"/>
      <c r="BR23" s="113"/>
      <c r="BS23" s="113"/>
      <c r="BT23" s="113"/>
      <c r="BU23" s="113"/>
      <c r="BV23" s="113"/>
      <c r="BW23" s="113"/>
      <c r="BX23" s="113"/>
      <c r="BY23" s="113"/>
      <c r="BZ23" s="113"/>
      <c r="CA23" s="113"/>
      <c r="CB23" s="113"/>
      <c r="CC23" s="113"/>
      <c r="CD23" s="113"/>
      <c r="CE23" s="113"/>
      <c r="CF23" s="113"/>
      <c r="CG23" s="113"/>
      <c r="CH23" s="113"/>
      <c r="CI23" s="113"/>
      <c r="CJ23" s="113"/>
      <c r="CK23" s="113"/>
      <c r="CL23" s="113"/>
      <c r="CM23" s="113"/>
      <c r="CN23" s="113"/>
      <c r="CO23" s="113"/>
      <c r="CP23" s="113"/>
      <c r="CQ23" s="113"/>
      <c r="CR23" s="113"/>
      <c r="CS23" s="113"/>
      <c r="CT23" s="113"/>
      <c r="CU23" s="113"/>
      <c r="CV23" s="113"/>
      <c r="CW23" s="113"/>
      <c r="CX23" s="113"/>
      <c r="CY23" s="113"/>
      <c r="CZ23" s="113"/>
      <c r="DA23" s="113"/>
      <c r="DB23" s="113"/>
      <c r="DC23" s="113"/>
      <c r="DD23" s="113"/>
      <c r="DE23" s="113"/>
      <c r="DF23" s="113"/>
      <c r="DG23" s="113"/>
      <c r="DH23" s="113"/>
      <c r="DI23" s="113"/>
      <c r="DJ23" s="113"/>
      <c r="DK23" s="113"/>
      <c r="DL23" s="113"/>
      <c r="DM23" s="159"/>
      <c r="DN23" t="s">
        <v>152</v>
      </c>
    </row>
    <row r="24" spans="2:118" x14ac:dyDescent="0.35">
      <c r="B24" s="6" t="s">
        <v>66</v>
      </c>
      <c r="C24" s="4" t="s">
        <v>84</v>
      </c>
      <c r="D24" s="151"/>
      <c r="E24" s="110">
        <v>0.06</v>
      </c>
      <c r="F24" s="110"/>
      <c r="G24" s="110"/>
      <c r="H24" s="110"/>
      <c r="I24" s="110"/>
      <c r="J24" s="110"/>
      <c r="K24" s="110"/>
      <c r="L24" s="110"/>
      <c r="M24" s="110">
        <v>0.66</v>
      </c>
      <c r="N24" s="110"/>
      <c r="O24" s="110">
        <v>0.33</v>
      </c>
      <c r="P24" s="110"/>
      <c r="Q24" s="110"/>
      <c r="R24" s="110"/>
      <c r="S24" s="110">
        <v>0.34</v>
      </c>
      <c r="T24" s="110"/>
      <c r="U24" s="110">
        <v>0.16</v>
      </c>
      <c r="V24" s="110"/>
      <c r="W24" s="110">
        <v>0.99</v>
      </c>
      <c r="X24" s="110"/>
      <c r="Y24" s="110"/>
      <c r="Z24" s="110"/>
      <c r="AA24" s="110"/>
      <c r="AB24" s="110"/>
      <c r="AC24" s="110"/>
      <c r="AD24" s="110"/>
      <c r="AE24" s="110">
        <v>0.04</v>
      </c>
      <c r="AF24" s="110"/>
      <c r="AG24" s="137"/>
      <c r="AH24" s="131"/>
      <c r="AI24" s="136">
        <v>0.99</v>
      </c>
      <c r="AJ24" s="136"/>
      <c r="AK24" s="136">
        <v>0.04</v>
      </c>
      <c r="AL24" s="136"/>
      <c r="AM24" s="136"/>
      <c r="AN24" s="136"/>
      <c r="AO24" s="136">
        <v>0.3</v>
      </c>
      <c r="AP24" s="136"/>
      <c r="AQ24" s="136"/>
      <c r="AR24" s="136"/>
      <c r="AS24" s="136"/>
      <c r="AT24" s="136"/>
      <c r="AU24" s="136">
        <v>0.06</v>
      </c>
      <c r="AV24" s="113"/>
      <c r="AW24" s="113">
        <v>0.9</v>
      </c>
      <c r="AX24" s="113"/>
      <c r="AY24" s="113">
        <v>0.05</v>
      </c>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13"/>
      <c r="CC24" s="113"/>
      <c r="CD24" s="113"/>
      <c r="CE24" s="113"/>
      <c r="CF24" s="113"/>
      <c r="CG24" s="113"/>
      <c r="CH24" s="113"/>
      <c r="CI24" s="113"/>
      <c r="CJ24" s="113"/>
      <c r="CK24" s="113"/>
      <c r="CL24" s="140"/>
      <c r="CM24" s="113"/>
      <c r="CN24" s="113"/>
      <c r="CO24" s="113"/>
      <c r="CP24" s="113"/>
      <c r="CQ24" s="113"/>
      <c r="CR24" s="113"/>
      <c r="CS24" s="113"/>
      <c r="CT24" s="113"/>
      <c r="CU24" s="113"/>
      <c r="CV24" s="113"/>
      <c r="CW24" s="113"/>
      <c r="CX24" s="113"/>
      <c r="CY24" s="140"/>
      <c r="CZ24" s="113"/>
      <c r="DA24" s="140"/>
      <c r="DB24" s="113"/>
      <c r="DC24" s="140"/>
      <c r="DD24" s="113"/>
      <c r="DE24" s="140"/>
      <c r="DF24" s="113"/>
      <c r="DG24" s="140"/>
      <c r="DH24" s="113"/>
      <c r="DI24" s="140"/>
      <c r="DJ24" s="113"/>
      <c r="DK24" s="113"/>
      <c r="DL24" s="113"/>
      <c r="DM24" s="159"/>
      <c r="DN24" s="123" t="s">
        <v>141</v>
      </c>
    </row>
    <row r="25" spans="2:118" x14ac:dyDescent="0.35">
      <c r="B25" s="6" t="s">
        <v>43</v>
      </c>
      <c r="C25" s="4" t="s">
        <v>85</v>
      </c>
      <c r="D25" s="151"/>
      <c r="E25" s="110"/>
      <c r="F25" s="110"/>
      <c r="G25" s="110"/>
      <c r="H25" s="110"/>
      <c r="I25" s="110"/>
      <c r="J25" s="110"/>
      <c r="K25" s="110"/>
      <c r="L25" s="110"/>
      <c r="M25" s="110"/>
      <c r="N25" s="110"/>
      <c r="O25" s="110"/>
      <c r="P25" s="110"/>
      <c r="Q25" s="110"/>
      <c r="R25" s="110">
        <v>0.94</v>
      </c>
      <c r="S25" s="110">
        <v>1</v>
      </c>
      <c r="T25" s="110"/>
      <c r="U25" s="110">
        <v>1.4999999999999999E-2</v>
      </c>
      <c r="V25" s="110"/>
      <c r="W25" s="110"/>
      <c r="X25" s="110"/>
      <c r="Y25" s="110"/>
      <c r="Z25" s="110"/>
      <c r="AA25" s="110"/>
      <c r="AB25" s="110"/>
      <c r="AC25" s="110"/>
      <c r="AD25" s="110"/>
      <c r="AE25" s="110"/>
      <c r="AF25" s="110"/>
      <c r="AG25" s="154">
        <v>1.4999999999999999E-2</v>
      </c>
      <c r="AH25" s="131"/>
      <c r="AI25" s="136">
        <v>5.0000000000000001E-3</v>
      </c>
      <c r="AJ25" s="136"/>
      <c r="AK25" s="136">
        <v>0.04</v>
      </c>
      <c r="AL25" s="136"/>
      <c r="AM25" s="136"/>
      <c r="AN25" s="136"/>
      <c r="AO25" s="136"/>
      <c r="AP25" s="136"/>
      <c r="AQ25" s="136"/>
      <c r="AR25" s="136"/>
      <c r="AS25" s="136">
        <v>1.4999999999999999E-2</v>
      </c>
      <c r="AT25" s="136"/>
      <c r="AU25" s="136"/>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3"/>
      <c r="BU25" s="113"/>
      <c r="BV25" s="113"/>
      <c r="BW25" s="113"/>
      <c r="BX25" s="113"/>
      <c r="BY25" s="113"/>
      <c r="BZ25" s="113"/>
      <c r="CA25" s="113"/>
      <c r="CB25" s="113"/>
      <c r="CC25" s="113"/>
      <c r="CD25" s="113"/>
      <c r="CE25" s="113"/>
      <c r="CF25" s="113"/>
      <c r="CG25" s="113"/>
      <c r="CH25" s="113"/>
      <c r="CI25" s="113"/>
      <c r="CJ25" s="113"/>
      <c r="CK25" s="113"/>
      <c r="CL25" s="113"/>
      <c r="CM25" s="113"/>
      <c r="CN25" s="113"/>
      <c r="CO25" s="113"/>
      <c r="CP25" s="113"/>
      <c r="CQ25" s="113"/>
      <c r="CR25" s="113"/>
      <c r="CS25" s="113"/>
      <c r="CT25" s="113"/>
      <c r="CU25" s="113"/>
      <c r="CV25" s="113"/>
      <c r="CW25" s="113"/>
      <c r="CX25" s="113"/>
      <c r="CY25" s="113"/>
      <c r="CZ25" s="113"/>
      <c r="DA25" s="113"/>
      <c r="DB25" s="113"/>
      <c r="DC25" s="113"/>
      <c r="DD25" s="113"/>
      <c r="DE25" s="113"/>
      <c r="DF25" s="113"/>
      <c r="DG25" s="113"/>
      <c r="DH25" s="113"/>
      <c r="DI25" s="113"/>
      <c r="DJ25" s="113"/>
      <c r="DK25" s="113"/>
      <c r="DL25" s="113"/>
      <c r="DM25" s="159"/>
      <c r="DN25" t="s">
        <v>153</v>
      </c>
    </row>
    <row r="26" spans="2:118" x14ac:dyDescent="0.35">
      <c r="B26" s="6">
        <v>7018</v>
      </c>
      <c r="C26" s="4" t="s">
        <v>86</v>
      </c>
      <c r="D26" s="151"/>
      <c r="E26" s="110"/>
      <c r="F26" s="136"/>
      <c r="G26" s="145"/>
      <c r="H26" s="110"/>
      <c r="I26" s="110"/>
      <c r="J26" s="110"/>
      <c r="K26" s="110"/>
      <c r="L26" s="110"/>
      <c r="M26" s="110"/>
      <c r="N26" s="110"/>
      <c r="O26" s="110"/>
      <c r="P26" s="110"/>
      <c r="Q26" s="110"/>
      <c r="R26" s="110"/>
      <c r="S26" s="110"/>
      <c r="T26" s="110">
        <v>1E-3</v>
      </c>
      <c r="U26" s="110">
        <v>0.01</v>
      </c>
      <c r="V26" s="110"/>
      <c r="W26" s="110"/>
      <c r="X26" s="110"/>
      <c r="Y26" s="110"/>
      <c r="Z26" s="110"/>
      <c r="AA26" s="110"/>
      <c r="AB26" s="110">
        <v>1E-3</v>
      </c>
      <c r="AC26" s="110">
        <v>0.01</v>
      </c>
      <c r="AD26" s="110"/>
      <c r="AE26" s="110"/>
      <c r="AF26" s="110"/>
      <c r="AG26" s="137"/>
      <c r="AH26" s="131">
        <v>0.5</v>
      </c>
      <c r="AI26" s="136">
        <v>1</v>
      </c>
      <c r="AJ26" s="136">
        <v>0</v>
      </c>
      <c r="AK26" s="136">
        <v>0.01</v>
      </c>
      <c r="AL26" s="136"/>
      <c r="AM26" s="136"/>
      <c r="AN26" s="136">
        <v>1E-3</v>
      </c>
      <c r="AO26" s="136">
        <v>0.01</v>
      </c>
      <c r="AP26" s="136"/>
      <c r="AQ26" s="136"/>
      <c r="AR26" s="136"/>
      <c r="AS26" s="136"/>
      <c r="AT26" s="136"/>
      <c r="AU26" s="136"/>
      <c r="AV26" s="113"/>
      <c r="AW26" s="113"/>
      <c r="AX26" s="113"/>
      <c r="AY26" s="113"/>
      <c r="AZ26" s="113"/>
      <c r="BA26" s="113"/>
      <c r="BB26" s="113">
        <v>0.01</v>
      </c>
      <c r="BC26" s="113">
        <v>0.05</v>
      </c>
      <c r="BD26" s="113">
        <v>0.01</v>
      </c>
      <c r="BE26" s="129">
        <v>0.05</v>
      </c>
      <c r="BF26" s="113"/>
      <c r="BG26" s="113"/>
      <c r="BH26" s="113"/>
      <c r="BI26" s="113"/>
      <c r="BJ26" s="113"/>
      <c r="BK26" s="113"/>
      <c r="BL26" s="113"/>
      <c r="BM26" s="113"/>
      <c r="BN26" s="113">
        <v>0.1</v>
      </c>
      <c r="BO26" s="129">
        <v>0.2</v>
      </c>
      <c r="BP26" s="113"/>
      <c r="BQ26" s="129"/>
      <c r="BR26" s="113"/>
      <c r="BS26" s="129"/>
      <c r="BT26" s="113"/>
      <c r="BU26" s="129"/>
      <c r="BV26" s="113"/>
      <c r="BW26" s="129"/>
      <c r="BX26" s="113"/>
      <c r="BY26" s="129"/>
      <c r="BZ26" s="113"/>
      <c r="CA26" s="129"/>
      <c r="CB26" s="113">
        <v>0</v>
      </c>
      <c r="CC26" s="129">
        <v>0.01</v>
      </c>
      <c r="CD26" s="113"/>
      <c r="CE26" s="129"/>
      <c r="CF26" s="113"/>
      <c r="CG26" s="129"/>
      <c r="CH26" s="113">
        <v>1E-3</v>
      </c>
      <c r="CI26" s="129">
        <v>0.01</v>
      </c>
      <c r="CJ26" s="113"/>
      <c r="CK26" s="129"/>
      <c r="CL26" s="113"/>
      <c r="CM26" s="129"/>
      <c r="CN26" s="113">
        <v>0.01</v>
      </c>
      <c r="CO26" s="129">
        <v>0.05</v>
      </c>
      <c r="CP26" s="113"/>
      <c r="CQ26" s="129"/>
      <c r="CR26" s="113"/>
      <c r="CS26" s="129"/>
      <c r="CT26" s="113">
        <v>0.01</v>
      </c>
      <c r="CU26" s="129">
        <v>0.05</v>
      </c>
      <c r="CV26" s="113"/>
      <c r="CW26" s="129"/>
      <c r="CX26" s="113"/>
      <c r="CY26" s="129"/>
      <c r="CZ26" s="113">
        <v>1E-3</v>
      </c>
      <c r="DA26" s="129">
        <v>0.01</v>
      </c>
      <c r="DB26" s="113">
        <v>1E-3</v>
      </c>
      <c r="DC26" s="129">
        <v>0.01</v>
      </c>
      <c r="DD26" s="113"/>
      <c r="DE26" s="129"/>
      <c r="DF26" s="113"/>
      <c r="DG26" s="129"/>
      <c r="DH26" s="113"/>
      <c r="DI26" s="129"/>
      <c r="DJ26" s="113"/>
      <c r="DK26" s="129"/>
      <c r="DL26" s="113">
        <v>0.01</v>
      </c>
      <c r="DM26" s="160">
        <v>0.05</v>
      </c>
      <c r="DN26" s="123" t="s">
        <v>154</v>
      </c>
    </row>
    <row r="27" spans="2:118" x14ac:dyDescent="0.35">
      <c r="B27" s="6">
        <v>7018</v>
      </c>
      <c r="C27" s="4" t="s">
        <v>87</v>
      </c>
      <c r="D27" s="151"/>
      <c r="E27" s="110"/>
      <c r="F27" s="136"/>
      <c r="G27" s="145"/>
      <c r="H27" s="110"/>
      <c r="I27" s="110"/>
      <c r="J27" s="110"/>
      <c r="K27" s="110"/>
      <c r="L27" s="110"/>
      <c r="M27" s="110"/>
      <c r="N27" s="110"/>
      <c r="O27" s="110"/>
      <c r="P27" s="110"/>
      <c r="Q27" s="110"/>
      <c r="R27" s="110"/>
      <c r="S27" s="110"/>
      <c r="T27" s="110">
        <v>1E-3</v>
      </c>
      <c r="U27" s="110">
        <v>0.01</v>
      </c>
      <c r="V27" s="110"/>
      <c r="W27" s="110"/>
      <c r="X27" s="110"/>
      <c r="Y27" s="110"/>
      <c r="Z27" s="110"/>
      <c r="AA27" s="110"/>
      <c r="AB27" s="110">
        <v>1E-3</v>
      </c>
      <c r="AC27" s="110">
        <v>0.01</v>
      </c>
      <c r="AD27" s="110"/>
      <c r="AE27" s="110"/>
      <c r="AF27" s="110"/>
      <c r="AG27" s="137"/>
      <c r="AH27" s="131">
        <v>0.5</v>
      </c>
      <c r="AI27" s="136">
        <v>1</v>
      </c>
      <c r="AJ27" s="136">
        <v>0</v>
      </c>
      <c r="AK27" s="136">
        <v>0.01</v>
      </c>
      <c r="AL27" s="136"/>
      <c r="AM27" s="136"/>
      <c r="AN27" s="136">
        <v>1E-3</v>
      </c>
      <c r="AO27" s="136">
        <v>0.01</v>
      </c>
      <c r="AP27" s="136"/>
      <c r="AQ27" s="136"/>
      <c r="AR27" s="136"/>
      <c r="AS27" s="136"/>
      <c r="AT27" s="136"/>
      <c r="AU27" s="136"/>
      <c r="AV27" s="113"/>
      <c r="AW27" s="113"/>
      <c r="AX27" s="113"/>
      <c r="AY27" s="113"/>
      <c r="AZ27" s="113"/>
      <c r="BA27" s="113"/>
      <c r="BB27" s="113">
        <v>0.01</v>
      </c>
      <c r="BC27" s="113">
        <v>0.05</v>
      </c>
      <c r="BD27" s="113">
        <v>0.01</v>
      </c>
      <c r="BE27" s="129">
        <v>0.05</v>
      </c>
      <c r="BF27" s="113"/>
      <c r="BG27" s="113"/>
      <c r="BH27" s="113"/>
      <c r="BI27" s="113"/>
      <c r="BJ27" s="113"/>
      <c r="BK27" s="113"/>
      <c r="BL27" s="113"/>
      <c r="BM27" s="113"/>
      <c r="BN27" s="113">
        <v>0.05</v>
      </c>
      <c r="BO27" s="129">
        <v>0.1</v>
      </c>
      <c r="BP27" s="113"/>
      <c r="BQ27" s="129"/>
      <c r="BR27" s="113"/>
      <c r="BS27" s="129"/>
      <c r="BT27" s="113"/>
      <c r="BU27" s="129"/>
      <c r="BV27" s="113"/>
      <c r="BW27" s="129"/>
      <c r="BX27" s="113"/>
      <c r="BY27" s="129"/>
      <c r="BZ27" s="113"/>
      <c r="CA27" s="129"/>
      <c r="CB27" s="113">
        <v>0</v>
      </c>
      <c r="CC27" s="129">
        <v>0.01</v>
      </c>
      <c r="CD27" s="113"/>
      <c r="CE27" s="129"/>
      <c r="CF27" s="113"/>
      <c r="CG27" s="129"/>
      <c r="CH27" s="113">
        <v>1E-3</v>
      </c>
      <c r="CI27" s="129">
        <v>0.01</v>
      </c>
      <c r="CJ27" s="113"/>
      <c r="CK27" s="129"/>
      <c r="CL27" s="113"/>
      <c r="CM27" s="129"/>
      <c r="CN27" s="113">
        <v>0.01</v>
      </c>
      <c r="CO27" s="129">
        <v>0.05</v>
      </c>
      <c r="CP27" s="113"/>
      <c r="CQ27" s="129"/>
      <c r="CR27" s="113"/>
      <c r="CS27" s="129"/>
      <c r="CT27" s="113">
        <v>0.01</v>
      </c>
      <c r="CU27" s="129">
        <v>0.05</v>
      </c>
      <c r="CV27" s="113"/>
      <c r="CW27" s="129"/>
      <c r="CX27" s="113"/>
      <c r="CY27" s="129"/>
      <c r="CZ27" s="113">
        <v>1E-3</v>
      </c>
      <c r="DA27" s="129">
        <v>0.01</v>
      </c>
      <c r="DB27" s="113">
        <v>1E-3</v>
      </c>
      <c r="DC27" s="129">
        <v>0.01</v>
      </c>
      <c r="DD27" s="113"/>
      <c r="DE27" s="129"/>
      <c r="DF27" s="113">
        <v>1E-3</v>
      </c>
      <c r="DG27" s="129">
        <v>0.01</v>
      </c>
      <c r="DH27" s="113"/>
      <c r="DI27" s="129"/>
      <c r="DJ27" s="113"/>
      <c r="DK27" s="129"/>
      <c r="DL27" s="113">
        <v>0.01</v>
      </c>
      <c r="DM27" s="160">
        <v>0.05</v>
      </c>
      <c r="DN27" s="123" t="s">
        <v>155</v>
      </c>
    </row>
    <row r="28" spans="2:118" x14ac:dyDescent="0.35">
      <c r="B28" s="6">
        <v>7018</v>
      </c>
      <c r="C28" s="4" t="s">
        <v>88</v>
      </c>
      <c r="D28" s="151"/>
      <c r="E28" s="110"/>
      <c r="F28" s="110"/>
      <c r="G28" s="110"/>
      <c r="H28" s="110"/>
      <c r="I28" s="110"/>
      <c r="J28" s="110"/>
      <c r="K28" s="110"/>
      <c r="L28" s="110"/>
      <c r="M28" s="110"/>
      <c r="N28" s="110"/>
      <c r="O28" s="110"/>
      <c r="P28" s="110"/>
      <c r="Q28" s="110"/>
      <c r="R28" s="110"/>
      <c r="S28" s="110"/>
      <c r="T28" s="110">
        <v>5.0000000000000001E-3</v>
      </c>
      <c r="U28" s="110">
        <v>0.05</v>
      </c>
      <c r="V28" s="110"/>
      <c r="W28" s="110"/>
      <c r="X28" s="110"/>
      <c r="Y28" s="110"/>
      <c r="Z28" s="110"/>
      <c r="AA28" s="110"/>
      <c r="AB28" s="110"/>
      <c r="AC28" s="110"/>
      <c r="AD28" s="110"/>
      <c r="AE28" s="110"/>
      <c r="AF28" s="110"/>
      <c r="AG28" s="137"/>
      <c r="AH28" s="131">
        <v>0.5</v>
      </c>
      <c r="AI28" s="136">
        <v>1</v>
      </c>
      <c r="AJ28" s="136">
        <v>1E-3</v>
      </c>
      <c r="AK28" s="136">
        <v>0.01</v>
      </c>
      <c r="AL28" s="136"/>
      <c r="AM28" s="136"/>
      <c r="AN28" s="136"/>
      <c r="AO28" s="136"/>
      <c r="AP28" s="136"/>
      <c r="AQ28" s="136"/>
      <c r="AR28" s="136"/>
      <c r="AS28" s="136"/>
      <c r="AT28" s="136"/>
      <c r="AU28" s="136"/>
      <c r="AV28" s="113"/>
      <c r="AW28" s="113"/>
      <c r="AX28" s="113"/>
      <c r="AY28" s="113"/>
      <c r="AZ28" s="113"/>
      <c r="BA28" s="113"/>
      <c r="BB28" s="113">
        <v>0.01</v>
      </c>
      <c r="BC28" s="113">
        <v>0.05</v>
      </c>
      <c r="BD28" s="113">
        <v>0.01</v>
      </c>
      <c r="BE28" s="113">
        <v>0.05</v>
      </c>
      <c r="BF28" s="113"/>
      <c r="BG28" s="113"/>
      <c r="BH28" s="113"/>
      <c r="BI28" s="113"/>
      <c r="BJ28" s="113"/>
      <c r="BK28" s="113"/>
      <c r="BL28" s="113"/>
      <c r="BM28" s="113"/>
      <c r="BN28" s="113">
        <v>0.05</v>
      </c>
      <c r="BO28" s="113">
        <v>0.1</v>
      </c>
      <c r="BP28" s="113"/>
      <c r="BQ28" s="113"/>
      <c r="BR28" s="113"/>
      <c r="BS28" s="113"/>
      <c r="BT28" s="113"/>
      <c r="BU28" s="113"/>
      <c r="BV28" s="113"/>
      <c r="BW28" s="113"/>
      <c r="BX28" s="113"/>
      <c r="BY28" s="113"/>
      <c r="BZ28" s="113"/>
      <c r="CA28" s="113"/>
      <c r="CB28" s="113">
        <v>1E-3</v>
      </c>
      <c r="CC28" s="113">
        <v>0.01</v>
      </c>
      <c r="CD28" s="113"/>
      <c r="CE28" s="113"/>
      <c r="CF28" s="113"/>
      <c r="CG28" s="113"/>
      <c r="CH28" s="113">
        <v>1E-3</v>
      </c>
      <c r="CI28" s="113">
        <v>0.01</v>
      </c>
      <c r="CJ28" s="113"/>
      <c r="CK28" s="113"/>
      <c r="CL28" s="113"/>
      <c r="CM28" s="113"/>
      <c r="CN28" s="113">
        <v>0.01</v>
      </c>
      <c r="CO28" s="113">
        <v>0.05</v>
      </c>
      <c r="CP28" s="113"/>
      <c r="CQ28" s="113"/>
      <c r="CR28" s="113"/>
      <c r="CS28" s="113"/>
      <c r="CT28" s="113"/>
      <c r="CU28" s="113"/>
      <c r="CV28" s="113"/>
      <c r="CW28" s="113"/>
      <c r="CX28" s="113"/>
      <c r="CY28" s="140"/>
      <c r="CZ28" s="113">
        <v>1E-3</v>
      </c>
      <c r="DA28" s="140">
        <v>1</v>
      </c>
      <c r="DB28" s="113">
        <v>1E-3</v>
      </c>
      <c r="DC28" s="113">
        <v>0.01</v>
      </c>
      <c r="DD28" s="113"/>
      <c r="DE28" s="140"/>
      <c r="DF28" s="113">
        <v>1E-3</v>
      </c>
      <c r="DG28" s="113">
        <v>0.01</v>
      </c>
      <c r="DH28" s="113"/>
      <c r="DI28" s="140"/>
      <c r="DJ28" s="113"/>
      <c r="DK28" s="113"/>
      <c r="DL28" s="113">
        <v>0.01</v>
      </c>
      <c r="DM28" s="159">
        <v>0.05</v>
      </c>
      <c r="DN28" s="123" t="s">
        <v>156</v>
      </c>
    </row>
    <row r="29" spans="2:118" x14ac:dyDescent="0.35">
      <c r="B29" s="6" t="s">
        <v>48</v>
      </c>
      <c r="C29" s="4" t="s">
        <v>89</v>
      </c>
      <c r="D29" s="151"/>
      <c r="E29" s="110"/>
      <c r="F29" s="110"/>
      <c r="G29" s="110">
        <v>0.05</v>
      </c>
      <c r="H29" s="110"/>
      <c r="I29" s="110"/>
      <c r="J29" s="110"/>
      <c r="K29" s="110"/>
      <c r="L29" s="110"/>
      <c r="M29" s="110"/>
      <c r="N29" s="110">
        <v>0.18</v>
      </c>
      <c r="O29" s="110">
        <v>0.2</v>
      </c>
      <c r="P29" s="110"/>
      <c r="Q29" s="110"/>
      <c r="R29" s="110"/>
      <c r="S29" s="110">
        <v>7.4999999999999997E-3</v>
      </c>
      <c r="T29" s="110">
        <v>0.01</v>
      </c>
      <c r="U29" s="110">
        <v>2.5000000000000001E-2</v>
      </c>
      <c r="V29" s="110">
        <v>0.11</v>
      </c>
      <c r="W29" s="110">
        <v>0.14000000000000001</v>
      </c>
      <c r="X29" s="110"/>
      <c r="Y29" s="110">
        <v>2.9999999999999997E-4</v>
      </c>
      <c r="Z29" s="110"/>
      <c r="AA29" s="110"/>
      <c r="AB29" s="110"/>
      <c r="AC29" s="110"/>
      <c r="AD29" s="110"/>
      <c r="AE29" s="110"/>
      <c r="AF29" s="110"/>
      <c r="AG29" s="137"/>
      <c r="AH29" s="131"/>
      <c r="AI29" s="136"/>
      <c r="AJ29" s="136">
        <v>3.0000000000000001E-3</v>
      </c>
      <c r="AK29" s="136">
        <v>6.4999999999999997E-3</v>
      </c>
      <c r="AL29" s="136"/>
      <c r="AM29" s="136">
        <v>2.9999999999999997E-4</v>
      </c>
      <c r="AN29" s="136">
        <v>0.02</v>
      </c>
      <c r="AO29" s="136">
        <v>0.03</v>
      </c>
      <c r="AP29" s="136"/>
      <c r="AQ29" s="136">
        <v>2.9999999999999997E-4</v>
      </c>
      <c r="AR29" s="136"/>
      <c r="AS29" s="136"/>
      <c r="AT29" s="136"/>
      <c r="AU29" s="136"/>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113"/>
      <c r="CC29" s="113"/>
      <c r="CD29" s="113"/>
      <c r="CE29" s="113"/>
      <c r="CF29" s="113"/>
      <c r="CG29" s="113"/>
      <c r="CH29" s="113"/>
      <c r="CI29" s="113"/>
      <c r="CJ29" s="113"/>
      <c r="CK29" s="113"/>
      <c r="CL29" s="113"/>
      <c r="CM29" s="113"/>
      <c r="CN29" s="113"/>
      <c r="CO29" s="113"/>
      <c r="CP29" s="113"/>
      <c r="CQ29" s="113"/>
      <c r="CR29" s="113"/>
      <c r="CS29" s="113"/>
      <c r="CT29" s="113"/>
      <c r="CU29" s="113"/>
      <c r="CV29" s="113"/>
      <c r="CW29" s="113"/>
      <c r="CX29" s="113"/>
      <c r="CY29" s="113"/>
      <c r="CZ29" s="140"/>
      <c r="DA29" s="140"/>
      <c r="DB29" s="140"/>
      <c r="DC29" s="140"/>
      <c r="DD29" s="140"/>
      <c r="DE29" s="140"/>
      <c r="DF29" s="140"/>
      <c r="DG29" s="140"/>
      <c r="DH29" s="140"/>
      <c r="DI29" s="140"/>
      <c r="DJ29" s="140"/>
      <c r="DK29" s="113"/>
      <c r="DL29" s="113"/>
      <c r="DM29" s="159"/>
      <c r="DN29" s="123" t="s">
        <v>145</v>
      </c>
    </row>
    <row r="30" spans="2:118" x14ac:dyDescent="0.35">
      <c r="B30" s="6" t="s">
        <v>47</v>
      </c>
      <c r="C30" s="4" t="s">
        <v>90</v>
      </c>
      <c r="D30" s="151"/>
      <c r="E30" s="110"/>
      <c r="F30" s="110">
        <v>1E-3</v>
      </c>
      <c r="G30" s="110">
        <v>0.01</v>
      </c>
      <c r="H30" s="110"/>
      <c r="I30" s="110"/>
      <c r="J30" s="110"/>
      <c r="K30" s="110"/>
      <c r="L30" s="110"/>
      <c r="M30" s="110"/>
      <c r="N30" s="110">
        <v>0.2</v>
      </c>
      <c r="O30" s="110">
        <v>0.5</v>
      </c>
      <c r="P30" s="110"/>
      <c r="Q30" s="110"/>
      <c r="R30" s="110">
        <v>1E-3</v>
      </c>
      <c r="S30" s="110">
        <v>0.01</v>
      </c>
      <c r="T30" s="110">
        <v>0.01</v>
      </c>
      <c r="U30" s="110">
        <v>0.05</v>
      </c>
      <c r="V30" s="110">
        <v>0.05</v>
      </c>
      <c r="W30" s="110">
        <v>0.1</v>
      </c>
      <c r="X30" s="110"/>
      <c r="Y30" s="110"/>
      <c r="Z30" s="110"/>
      <c r="AA30" s="110"/>
      <c r="AB30" s="110">
        <v>1E-3</v>
      </c>
      <c r="AC30" s="110">
        <v>0.01</v>
      </c>
      <c r="AD30" s="110"/>
      <c r="AE30" s="110"/>
      <c r="AF30" s="110"/>
      <c r="AG30" s="137"/>
      <c r="AH30" s="131">
        <v>0.2</v>
      </c>
      <c r="AI30" s="136">
        <v>0.5</v>
      </c>
      <c r="AJ30" s="136">
        <v>1E-3</v>
      </c>
      <c r="AK30" s="136">
        <v>0.01</v>
      </c>
      <c r="AL30" s="136"/>
      <c r="AM30" s="136"/>
      <c r="AN30" s="136">
        <v>1E-3</v>
      </c>
      <c r="AO30" s="136">
        <v>0.01</v>
      </c>
      <c r="AP30" s="136"/>
      <c r="AQ30" s="136"/>
      <c r="AR30" s="136"/>
      <c r="AS30" s="136"/>
      <c r="AT30" s="136"/>
      <c r="AU30" s="136"/>
      <c r="AV30" s="113"/>
      <c r="AW30" s="113"/>
      <c r="AX30" s="113"/>
      <c r="AY30" s="113"/>
      <c r="AZ30" s="113"/>
      <c r="BA30" s="113"/>
      <c r="BB30" s="113">
        <v>0.06</v>
      </c>
      <c r="BC30" s="113">
        <v>0.15</v>
      </c>
      <c r="BD30" s="113">
        <v>1E-3</v>
      </c>
      <c r="BE30" s="113">
        <v>0.01</v>
      </c>
      <c r="BF30" s="113">
        <v>0.01</v>
      </c>
      <c r="BG30" s="113">
        <v>0.05</v>
      </c>
      <c r="BH30" s="113"/>
      <c r="BI30" s="113"/>
      <c r="BJ30" s="113">
        <v>0.01</v>
      </c>
      <c r="BK30" s="113">
        <v>0.05</v>
      </c>
      <c r="BL30" s="113"/>
      <c r="BM30" s="113"/>
      <c r="BN30" s="113">
        <v>0.01</v>
      </c>
      <c r="BO30" s="113">
        <v>0.05</v>
      </c>
      <c r="BP30" s="113"/>
      <c r="BQ30" s="113"/>
      <c r="BR30" s="113"/>
      <c r="BS30" s="113"/>
      <c r="BT30" s="113"/>
      <c r="BU30" s="113"/>
      <c r="BV30" s="113"/>
      <c r="BW30" s="113"/>
      <c r="BX30" s="113"/>
      <c r="BY30" s="113"/>
      <c r="BZ30" s="113"/>
      <c r="CA30" s="113"/>
      <c r="CB30" s="113">
        <v>0.01</v>
      </c>
      <c r="CC30" s="113">
        <v>0.05</v>
      </c>
      <c r="CD30" s="113">
        <v>0.01</v>
      </c>
      <c r="CE30" s="113">
        <v>0.05</v>
      </c>
      <c r="CF30" s="113"/>
      <c r="CG30" s="113"/>
      <c r="CH30" s="113"/>
      <c r="CI30" s="113"/>
      <c r="CJ30" s="113"/>
      <c r="CK30" s="113"/>
      <c r="CL30" s="113"/>
      <c r="CM30" s="113"/>
      <c r="CN30" s="113">
        <v>0.01</v>
      </c>
      <c r="CO30" s="113">
        <v>0.05</v>
      </c>
      <c r="CP30" s="113"/>
      <c r="CQ30" s="113"/>
      <c r="CR30" s="113"/>
      <c r="CS30" s="113"/>
      <c r="CT30" s="113">
        <v>1E-3</v>
      </c>
      <c r="CU30" s="113">
        <v>0.01</v>
      </c>
      <c r="CV30" s="113"/>
      <c r="CW30" s="113"/>
      <c r="CX30" s="113"/>
      <c r="CY30" s="140"/>
      <c r="CZ30" s="113">
        <v>1E-3</v>
      </c>
      <c r="DA30" s="113">
        <v>5.0000000000000001E-3</v>
      </c>
      <c r="DB30" s="113">
        <v>1E-3</v>
      </c>
      <c r="DC30" s="113">
        <v>0.01</v>
      </c>
      <c r="DD30" s="113">
        <v>1E-3</v>
      </c>
      <c r="DE30" s="113">
        <v>0.01</v>
      </c>
      <c r="DF30" s="113"/>
      <c r="DG30" s="113"/>
      <c r="DH30" s="113">
        <v>1E-3</v>
      </c>
      <c r="DI30" s="113">
        <v>0.01</v>
      </c>
      <c r="DJ30" s="113">
        <v>1E-3</v>
      </c>
      <c r="DK30" s="113">
        <v>0.01</v>
      </c>
      <c r="DL30" s="113">
        <v>1E-3</v>
      </c>
      <c r="DM30" s="159">
        <v>0.01</v>
      </c>
      <c r="DN30" s="123" t="s">
        <v>144</v>
      </c>
    </row>
    <row r="31" spans="2:118" s="117" customFormat="1" hidden="1" x14ac:dyDescent="0.35">
      <c r="B31" s="125"/>
      <c r="C31" s="144" t="s">
        <v>157</v>
      </c>
      <c r="D31" s="151"/>
      <c r="E31" s="110"/>
      <c r="F31" s="110"/>
      <c r="G31" s="110"/>
      <c r="H31" s="110"/>
      <c r="I31" s="110"/>
      <c r="J31" s="110"/>
      <c r="K31" s="110"/>
      <c r="L31" s="110">
        <v>1E-3</v>
      </c>
      <c r="M31" s="110">
        <v>0.01</v>
      </c>
      <c r="N31" s="110">
        <v>0.2</v>
      </c>
      <c r="O31" s="110">
        <v>0.5</v>
      </c>
      <c r="P31" s="110"/>
      <c r="Q31" s="110"/>
      <c r="R31" s="110">
        <v>1E-3</v>
      </c>
      <c r="S31" s="110">
        <v>0.01</v>
      </c>
      <c r="T31" s="110">
        <v>0.01</v>
      </c>
      <c r="U31" s="110">
        <v>0.05</v>
      </c>
      <c r="V31" s="110">
        <v>0.1</v>
      </c>
      <c r="W31" s="110">
        <v>0.2</v>
      </c>
      <c r="X31" s="110"/>
      <c r="Y31" s="110"/>
      <c r="Z31" s="110"/>
      <c r="AA31" s="110"/>
      <c r="AB31" s="110"/>
      <c r="AC31" s="110"/>
      <c r="AD31" s="110">
        <v>1E-3</v>
      </c>
      <c r="AE31" s="110">
        <v>0.01</v>
      </c>
      <c r="AF31" s="110"/>
      <c r="AG31" s="137"/>
      <c r="AH31" s="131">
        <v>0.5</v>
      </c>
      <c r="AI31" s="136">
        <v>1</v>
      </c>
      <c r="AJ31" s="136">
        <v>1E-3</v>
      </c>
      <c r="AK31" s="136">
        <v>0.01</v>
      </c>
      <c r="AL31" s="136"/>
      <c r="AM31" s="136"/>
      <c r="AN31" s="136">
        <v>1E-3</v>
      </c>
      <c r="AO31" s="136">
        <v>0.01</v>
      </c>
      <c r="AP31" s="136"/>
      <c r="AQ31" s="136"/>
      <c r="AR31" s="136"/>
      <c r="AS31" s="136"/>
      <c r="AT31" s="136"/>
      <c r="AU31" s="136"/>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113"/>
      <c r="CC31" s="113"/>
      <c r="CD31" s="113"/>
      <c r="CE31" s="113"/>
      <c r="CF31" s="113"/>
      <c r="CG31" s="113"/>
      <c r="CH31" s="113"/>
      <c r="CI31" s="113"/>
      <c r="CJ31" s="113"/>
      <c r="CK31" s="113"/>
      <c r="CL31" s="113"/>
      <c r="CM31" s="113"/>
      <c r="CN31" s="113"/>
      <c r="CO31" s="113"/>
      <c r="CP31" s="113"/>
      <c r="CQ31" s="113"/>
      <c r="CR31" s="113"/>
      <c r="CS31" s="113"/>
      <c r="CT31" s="113"/>
      <c r="CU31" s="113"/>
      <c r="CV31" s="113"/>
      <c r="CW31" s="113"/>
      <c r="CX31" s="113"/>
      <c r="CY31" s="140"/>
      <c r="CZ31" s="113"/>
      <c r="DA31" s="140"/>
      <c r="DB31" s="113"/>
      <c r="DC31" s="140"/>
      <c r="DD31" s="113"/>
      <c r="DE31" s="140"/>
      <c r="DF31" s="113"/>
      <c r="DG31" s="140"/>
      <c r="DH31" s="113"/>
      <c r="DI31" s="140"/>
      <c r="DJ31" s="113"/>
      <c r="DK31" s="113"/>
      <c r="DL31" s="113"/>
      <c r="DM31" s="159"/>
      <c r="DN31" s="117" t="s">
        <v>146</v>
      </c>
    </row>
    <row r="32" spans="2:118" ht="15" thickBot="1" x14ac:dyDescent="0.4">
      <c r="B32" s="6" t="s">
        <v>66</v>
      </c>
      <c r="C32" s="5" t="s">
        <v>91</v>
      </c>
      <c r="D32" s="161"/>
      <c r="E32" s="111">
        <v>0.06</v>
      </c>
      <c r="F32" s="111"/>
      <c r="G32" s="111"/>
      <c r="H32" s="111"/>
      <c r="I32" s="111"/>
      <c r="J32" s="111"/>
      <c r="K32" s="111"/>
      <c r="L32" s="111"/>
      <c r="M32" s="111">
        <v>0.66</v>
      </c>
      <c r="N32" s="111"/>
      <c r="O32" s="111">
        <v>0.33</v>
      </c>
      <c r="P32" s="111"/>
      <c r="Q32" s="111"/>
      <c r="R32" s="111"/>
      <c r="S32" s="111">
        <v>0.34</v>
      </c>
      <c r="T32" s="111"/>
      <c r="U32" s="111">
        <v>0.16</v>
      </c>
      <c r="V32" s="111"/>
      <c r="W32" s="111">
        <v>0.99</v>
      </c>
      <c r="X32" s="111"/>
      <c r="Y32" s="111"/>
      <c r="Z32" s="111"/>
      <c r="AA32" s="111"/>
      <c r="AB32" s="111"/>
      <c r="AC32" s="111"/>
      <c r="AD32" s="111"/>
      <c r="AE32" s="111">
        <v>0.04</v>
      </c>
      <c r="AF32" s="111"/>
      <c r="AG32" s="135"/>
      <c r="AH32" s="130"/>
      <c r="AI32" s="134">
        <v>0.99</v>
      </c>
      <c r="AJ32" s="134"/>
      <c r="AK32" s="134">
        <v>0.04</v>
      </c>
      <c r="AL32" s="134"/>
      <c r="AM32" s="134"/>
      <c r="AN32" s="134"/>
      <c r="AO32" s="134">
        <v>0.3</v>
      </c>
      <c r="AP32" s="134"/>
      <c r="AQ32" s="134"/>
      <c r="AR32" s="134"/>
      <c r="AS32" s="134"/>
      <c r="AT32" s="134"/>
      <c r="AU32" s="134">
        <v>0.06</v>
      </c>
      <c r="AV32" s="115"/>
      <c r="AW32" s="115">
        <v>0.9</v>
      </c>
      <c r="AX32" s="115"/>
      <c r="AY32" s="115">
        <v>0.05</v>
      </c>
      <c r="AZ32" s="115"/>
      <c r="BA32" s="115"/>
      <c r="BB32" s="115"/>
      <c r="BC32" s="115"/>
      <c r="BD32" s="115"/>
      <c r="BE32" s="115"/>
      <c r="BF32" s="115"/>
      <c r="BG32" s="115"/>
      <c r="BH32" s="115"/>
      <c r="BI32" s="115"/>
      <c r="BJ32" s="115"/>
      <c r="BK32" s="115"/>
      <c r="BL32" s="115"/>
      <c r="BM32" s="115"/>
      <c r="BN32" s="115"/>
      <c r="BO32" s="115"/>
      <c r="BP32" s="115"/>
      <c r="BQ32" s="115"/>
      <c r="BR32" s="115"/>
      <c r="BS32" s="115"/>
      <c r="BT32" s="115"/>
      <c r="BU32" s="115"/>
      <c r="BV32" s="115"/>
      <c r="BW32" s="115"/>
      <c r="BX32" s="115"/>
      <c r="BY32" s="115"/>
      <c r="BZ32" s="115"/>
      <c r="CA32" s="115"/>
      <c r="CB32" s="115"/>
      <c r="CC32" s="115"/>
      <c r="CD32" s="115"/>
      <c r="CE32" s="115"/>
      <c r="CF32" s="115"/>
      <c r="CG32" s="115"/>
      <c r="CH32" s="115"/>
      <c r="CI32" s="115"/>
      <c r="CJ32" s="115"/>
      <c r="CK32" s="115"/>
      <c r="CL32" s="162"/>
      <c r="CM32" s="115"/>
      <c r="CN32" s="115"/>
      <c r="CO32" s="115"/>
      <c r="CP32" s="115"/>
      <c r="CQ32" s="115"/>
      <c r="CR32" s="115"/>
      <c r="CS32" s="115"/>
      <c r="CT32" s="115"/>
      <c r="CU32" s="115"/>
      <c r="CV32" s="115"/>
      <c r="CW32" s="115"/>
      <c r="CX32" s="115"/>
      <c r="CY32" s="162"/>
      <c r="CZ32" s="115"/>
      <c r="DA32" s="162"/>
      <c r="DB32" s="115"/>
      <c r="DC32" s="162"/>
      <c r="DD32" s="115"/>
      <c r="DE32" s="162"/>
      <c r="DF32" s="115"/>
      <c r="DG32" s="162"/>
      <c r="DH32" s="115"/>
      <c r="DI32" s="162"/>
      <c r="DJ32" s="115"/>
      <c r="DK32" s="115"/>
      <c r="DL32" s="115"/>
      <c r="DM32" s="163"/>
      <c r="DN32" t="s">
        <v>146</v>
      </c>
    </row>
    <row r="33" spans="1:117" ht="15" thickBot="1" x14ac:dyDescent="0.4">
      <c r="C33" s="1" t="s">
        <v>158</v>
      </c>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67"/>
      <c r="AH33" s="164"/>
      <c r="AI33" s="138"/>
      <c r="AJ33" s="138"/>
      <c r="AK33" s="138"/>
      <c r="AL33" s="138"/>
      <c r="AM33" s="138"/>
      <c r="AN33" s="138"/>
      <c r="AO33" s="138"/>
      <c r="AP33" s="138"/>
      <c r="AQ33" s="138"/>
      <c r="AR33" s="138"/>
      <c r="AS33" s="138"/>
      <c r="AT33" s="138"/>
      <c r="AU33" s="138"/>
      <c r="AV33" s="116"/>
      <c r="AW33" s="116"/>
      <c r="AX33" s="116"/>
      <c r="AY33" s="116"/>
      <c r="AZ33" s="116"/>
      <c r="BA33" s="116"/>
      <c r="BB33" s="165"/>
      <c r="BC33" s="165"/>
      <c r="BD33" s="165"/>
      <c r="BE33" s="165"/>
      <c r="BF33" s="165"/>
      <c r="BG33" s="165"/>
      <c r="BH33" s="165"/>
      <c r="BI33" s="165"/>
      <c r="BJ33" s="165"/>
      <c r="BK33" s="165"/>
      <c r="BL33" s="165"/>
      <c r="BM33" s="165"/>
      <c r="BN33" s="165"/>
      <c r="BO33" s="165"/>
      <c r="BP33" s="165"/>
      <c r="BQ33" s="165"/>
      <c r="BR33" s="116"/>
      <c r="BS33" s="116"/>
      <c r="BT33" s="116"/>
      <c r="BU33" s="116"/>
      <c r="BV33" s="116"/>
      <c r="BW33" s="116"/>
      <c r="BX33" s="116"/>
      <c r="BY33" s="116"/>
      <c r="BZ33" s="116"/>
      <c r="CA33" s="116"/>
      <c r="CB33" s="116"/>
      <c r="CC33" s="116"/>
      <c r="CD33" s="116"/>
      <c r="CE33" s="116"/>
      <c r="CF33" s="116"/>
      <c r="CG33" s="116"/>
      <c r="CH33" s="116"/>
      <c r="CI33" s="116"/>
      <c r="CJ33" s="116"/>
      <c r="CK33" s="116"/>
      <c r="CL33" s="165"/>
      <c r="CM33" s="116"/>
      <c r="CN33" s="116"/>
      <c r="CO33" s="116"/>
      <c r="CP33" s="116"/>
      <c r="CQ33" s="116"/>
      <c r="CR33" s="116"/>
      <c r="CS33" s="116"/>
      <c r="CT33" s="116"/>
      <c r="CU33" s="116"/>
      <c r="CV33" s="116"/>
      <c r="CW33" s="116"/>
      <c r="CX33" s="116"/>
      <c r="CY33" s="165"/>
      <c r="CZ33" s="116"/>
      <c r="DA33" s="165"/>
      <c r="DB33" s="116"/>
      <c r="DC33" s="165"/>
      <c r="DD33" s="116"/>
      <c r="DE33" s="165"/>
      <c r="DF33" s="165"/>
      <c r="DG33" s="165"/>
      <c r="DH33" s="116"/>
      <c r="DI33" s="165"/>
      <c r="DJ33" s="116"/>
      <c r="DK33" s="116"/>
      <c r="DL33" s="116"/>
      <c r="DM33" s="166"/>
    </row>
    <row r="34" spans="1:117" x14ac:dyDescent="0.35">
      <c r="A34">
        <v>1</v>
      </c>
      <c r="C34" t="s">
        <v>159</v>
      </c>
      <c r="BR34" s="112"/>
      <c r="BS34" s="112"/>
      <c r="BT34" s="112"/>
      <c r="BU34" s="112"/>
      <c r="BV34" s="112"/>
      <c r="BW34" s="112"/>
      <c r="BX34" s="112"/>
      <c r="CS34" s="112"/>
      <c r="CT34" s="112"/>
      <c r="CU34" s="112"/>
      <c r="CV34" s="112"/>
      <c r="CW34" s="112"/>
      <c r="CX34" s="112"/>
      <c r="DK34" s="112"/>
      <c r="DL34" s="112"/>
      <c r="DM34" s="112"/>
    </row>
    <row r="35" spans="1:117" hidden="1" x14ac:dyDescent="0.35">
      <c r="C35" s="3">
        <v>0.99950000000000006</v>
      </c>
      <c r="CS35" s="112"/>
      <c r="CT35" s="112"/>
      <c r="CU35" s="112"/>
      <c r="CV35" s="112"/>
      <c r="CW35" s="112"/>
      <c r="CX35" s="112"/>
    </row>
    <row r="36" spans="1:117" x14ac:dyDescent="0.35">
      <c r="A36">
        <v>2</v>
      </c>
      <c r="C36" t="s">
        <v>160</v>
      </c>
      <c r="CS36" s="112"/>
      <c r="CT36" s="112"/>
      <c r="CU36" s="112"/>
      <c r="CV36" s="112"/>
      <c r="CW36" s="112"/>
      <c r="CX36" s="112"/>
    </row>
    <row r="37" spans="1:117" x14ac:dyDescent="0.35">
      <c r="A37">
        <v>3</v>
      </c>
      <c r="C37" t="s">
        <v>161</v>
      </c>
      <c r="CS37" s="112"/>
      <c r="CT37" s="112"/>
      <c r="CU37" s="112"/>
      <c r="CV37" s="112"/>
      <c r="CW37" s="112"/>
      <c r="CX37" s="112"/>
    </row>
    <row r="38" spans="1:117" ht="15" thickBot="1" x14ac:dyDescent="0.4"/>
    <row r="39" spans="1:117" ht="15" customHeight="1" thickBot="1" x14ac:dyDescent="0.4">
      <c r="C39" s="617"/>
      <c r="D39" s="621" t="s">
        <v>60</v>
      </c>
      <c r="E39" s="619" t="s">
        <v>61</v>
      </c>
      <c r="F39" s="620"/>
    </row>
    <row r="40" spans="1:117" ht="45.75" customHeight="1" thickBot="1" x14ac:dyDescent="0.4">
      <c r="C40" s="618"/>
      <c r="D40" s="622"/>
      <c r="E40" s="121" t="s">
        <v>62</v>
      </c>
      <c r="F40" s="122" t="s">
        <v>63</v>
      </c>
    </row>
    <row r="41" spans="1:117" x14ac:dyDescent="0.35">
      <c r="B41" s="124" t="s">
        <v>36</v>
      </c>
      <c r="C41" s="127" t="s">
        <v>64</v>
      </c>
      <c r="D41" s="6" t="s">
        <v>65</v>
      </c>
      <c r="E41" s="6">
        <v>5.2</v>
      </c>
      <c r="F41" s="118">
        <v>0.01</v>
      </c>
    </row>
    <row r="42" spans="1:117" x14ac:dyDescent="0.35">
      <c r="B42" s="92" t="s">
        <v>66</v>
      </c>
      <c r="C42" s="114" t="s">
        <v>67</v>
      </c>
      <c r="D42" s="6" t="s">
        <v>65</v>
      </c>
      <c r="E42" s="119" t="s">
        <v>37</v>
      </c>
      <c r="F42" s="118">
        <v>0.01</v>
      </c>
    </row>
    <row r="43" spans="1:117" x14ac:dyDescent="0.35">
      <c r="B43" s="6" t="s">
        <v>36</v>
      </c>
      <c r="C43" s="114" t="s">
        <v>68</v>
      </c>
      <c r="D43" s="6" t="s">
        <v>65</v>
      </c>
      <c r="E43" s="6">
        <v>5.2</v>
      </c>
      <c r="F43" s="118">
        <v>0.01</v>
      </c>
    </row>
    <row r="44" spans="1:117" x14ac:dyDescent="0.35">
      <c r="B44" s="6" t="s">
        <v>41</v>
      </c>
      <c r="C44" s="114" t="s">
        <v>69</v>
      </c>
      <c r="D44" s="6" t="s">
        <v>65</v>
      </c>
      <c r="E44" s="6">
        <v>3.2</v>
      </c>
      <c r="F44" s="118">
        <v>0.01</v>
      </c>
    </row>
    <row r="45" spans="1:117" x14ac:dyDescent="0.35">
      <c r="B45" s="6" t="s">
        <v>41</v>
      </c>
      <c r="C45" s="114" t="s">
        <v>70</v>
      </c>
      <c r="D45" s="6" t="s">
        <v>65</v>
      </c>
      <c r="E45" s="6">
        <v>3.2</v>
      </c>
      <c r="F45" s="118">
        <v>0.01</v>
      </c>
    </row>
    <row r="46" spans="1:117" x14ac:dyDescent="0.35">
      <c r="B46" s="6" t="s">
        <v>40</v>
      </c>
      <c r="C46" s="114" t="s">
        <v>71</v>
      </c>
      <c r="D46" s="6" t="s">
        <v>65</v>
      </c>
      <c r="E46" s="119" t="s">
        <v>37</v>
      </c>
      <c r="F46" s="118">
        <v>0.01</v>
      </c>
    </row>
    <row r="47" spans="1:117" x14ac:dyDescent="0.35">
      <c r="B47" s="6" t="s">
        <v>40</v>
      </c>
      <c r="C47" s="114" t="s">
        <v>72</v>
      </c>
      <c r="D47" s="6" t="s">
        <v>65</v>
      </c>
      <c r="E47" s="119" t="s">
        <v>37</v>
      </c>
      <c r="F47" s="118">
        <v>0.01</v>
      </c>
    </row>
    <row r="48" spans="1:117" x14ac:dyDescent="0.35">
      <c r="B48" s="6">
        <v>6010</v>
      </c>
      <c r="C48" s="114" t="s">
        <v>73</v>
      </c>
      <c r="D48" s="6" t="s">
        <v>74</v>
      </c>
      <c r="E48" s="6">
        <v>25.6</v>
      </c>
      <c r="F48" s="118">
        <v>0.02</v>
      </c>
    </row>
    <row r="49" spans="2:6" x14ac:dyDescent="0.35">
      <c r="B49" s="92" t="s">
        <v>38</v>
      </c>
      <c r="C49" s="114" t="s">
        <v>75</v>
      </c>
      <c r="D49" s="6" t="s">
        <v>65</v>
      </c>
      <c r="E49" s="119" t="s">
        <v>37</v>
      </c>
      <c r="F49" s="118">
        <v>0.01</v>
      </c>
    </row>
    <row r="50" spans="2:6" x14ac:dyDescent="0.35">
      <c r="B50" s="92" t="s">
        <v>36</v>
      </c>
      <c r="C50" s="114" t="s">
        <v>76</v>
      </c>
      <c r="D50" s="6" t="s">
        <v>65</v>
      </c>
      <c r="E50" s="6">
        <v>5.2</v>
      </c>
      <c r="F50" s="118">
        <v>0.01</v>
      </c>
    </row>
    <row r="51" spans="2:6" x14ac:dyDescent="0.35">
      <c r="B51" s="92" t="s">
        <v>39</v>
      </c>
      <c r="C51" s="114" t="s">
        <v>77</v>
      </c>
      <c r="D51" s="6" t="s">
        <v>65</v>
      </c>
      <c r="E51" s="119" t="s">
        <v>37</v>
      </c>
      <c r="F51" s="118">
        <v>0.01</v>
      </c>
    </row>
    <row r="52" spans="2:6" x14ac:dyDescent="0.35">
      <c r="B52" s="6">
        <v>6010</v>
      </c>
      <c r="C52" s="114" t="s">
        <v>78</v>
      </c>
      <c r="D52" s="6" t="s">
        <v>74</v>
      </c>
      <c r="E52" s="6">
        <v>25.6</v>
      </c>
      <c r="F52" s="118">
        <v>0.02</v>
      </c>
    </row>
    <row r="53" spans="2:6" x14ac:dyDescent="0.35">
      <c r="B53" s="6">
        <v>6010</v>
      </c>
      <c r="C53" s="114" t="s">
        <v>79</v>
      </c>
      <c r="D53" s="6" t="s">
        <v>74</v>
      </c>
      <c r="E53" s="6">
        <v>25.6</v>
      </c>
      <c r="F53" s="118">
        <v>0.02</v>
      </c>
    </row>
    <row r="54" spans="2:6" x14ac:dyDescent="0.35">
      <c r="B54" s="6">
        <v>6010</v>
      </c>
      <c r="C54" s="114" t="s">
        <v>80</v>
      </c>
      <c r="D54" s="6" t="s">
        <v>74</v>
      </c>
      <c r="E54" s="6">
        <v>25.6</v>
      </c>
      <c r="F54" s="118">
        <v>0.02</v>
      </c>
    </row>
    <row r="55" spans="2:6" x14ac:dyDescent="0.35">
      <c r="B55" s="6">
        <v>6011</v>
      </c>
      <c r="C55" s="114" t="s">
        <v>81</v>
      </c>
      <c r="D55" s="6" t="s">
        <v>74</v>
      </c>
      <c r="E55" s="6">
        <v>38.4</v>
      </c>
      <c r="F55" s="118">
        <v>0.02</v>
      </c>
    </row>
    <row r="56" spans="2:6" x14ac:dyDescent="0.35">
      <c r="B56" s="6" t="s">
        <v>45</v>
      </c>
      <c r="C56" s="114" t="s">
        <v>82</v>
      </c>
      <c r="D56" s="6" t="s">
        <v>74</v>
      </c>
      <c r="E56" s="119" t="s">
        <v>37</v>
      </c>
      <c r="F56" s="118">
        <v>0.02</v>
      </c>
    </row>
    <row r="57" spans="2:6" x14ac:dyDescent="0.35">
      <c r="B57" s="6" t="s">
        <v>49</v>
      </c>
      <c r="C57" s="114" t="s">
        <v>83</v>
      </c>
      <c r="D57" s="6" t="s">
        <v>74</v>
      </c>
      <c r="E57" s="119" t="s">
        <v>37</v>
      </c>
      <c r="F57" s="118">
        <v>0.02</v>
      </c>
    </row>
    <row r="58" spans="2:6" x14ac:dyDescent="0.35">
      <c r="B58" s="6" t="s">
        <v>66</v>
      </c>
      <c r="C58" s="114" t="s">
        <v>84</v>
      </c>
      <c r="D58" s="6" t="s">
        <v>65</v>
      </c>
      <c r="E58" s="119" t="s">
        <v>37</v>
      </c>
      <c r="F58" s="118">
        <v>0.01</v>
      </c>
    </row>
    <row r="59" spans="2:6" x14ac:dyDescent="0.35">
      <c r="B59" s="6" t="s">
        <v>43</v>
      </c>
      <c r="C59" s="114" t="s">
        <v>85</v>
      </c>
      <c r="D59" s="6" t="s">
        <v>65</v>
      </c>
      <c r="E59" s="119" t="s">
        <v>37</v>
      </c>
      <c r="F59" s="118">
        <v>0.01</v>
      </c>
    </row>
    <row r="60" spans="2:6" x14ac:dyDescent="0.35">
      <c r="B60" s="6">
        <v>7018</v>
      </c>
      <c r="C60" s="114" t="s">
        <v>86</v>
      </c>
      <c r="D60" s="6" t="s">
        <v>74</v>
      </c>
      <c r="E60" s="6">
        <v>18.399999999999999</v>
      </c>
      <c r="F60" s="118">
        <v>0.02</v>
      </c>
    </row>
    <row r="61" spans="2:6" x14ac:dyDescent="0.35">
      <c r="B61" s="6">
        <v>7018</v>
      </c>
      <c r="C61" s="114" t="s">
        <v>87</v>
      </c>
      <c r="D61" s="6" t="s">
        <v>74</v>
      </c>
      <c r="E61" s="6">
        <v>18.399999999999999</v>
      </c>
      <c r="F61" s="118">
        <v>0.02</v>
      </c>
    </row>
    <row r="62" spans="2:6" x14ac:dyDescent="0.35">
      <c r="B62" s="6">
        <v>7018</v>
      </c>
      <c r="C62" s="114" t="s">
        <v>88</v>
      </c>
      <c r="D62" s="6" t="s">
        <v>74</v>
      </c>
      <c r="E62" s="6">
        <v>18.399999999999999</v>
      </c>
      <c r="F62" s="118">
        <v>0.02</v>
      </c>
    </row>
    <row r="63" spans="2:6" x14ac:dyDescent="0.35">
      <c r="B63" s="6" t="s">
        <v>48</v>
      </c>
      <c r="C63" s="114" t="s">
        <v>89</v>
      </c>
      <c r="D63" s="6" t="s">
        <v>74</v>
      </c>
      <c r="E63" s="6">
        <v>10</v>
      </c>
      <c r="F63" s="118">
        <v>0.02</v>
      </c>
    </row>
    <row r="64" spans="2:6" x14ac:dyDescent="0.35">
      <c r="B64" s="6" t="s">
        <v>47</v>
      </c>
      <c r="C64" s="114" t="s">
        <v>90</v>
      </c>
      <c r="D64" s="6" t="s">
        <v>74</v>
      </c>
      <c r="E64" s="119" t="s">
        <v>37</v>
      </c>
      <c r="F64" s="118">
        <v>0.02</v>
      </c>
    </row>
    <row r="65" spans="2:6" ht="15" thickBot="1" x14ac:dyDescent="0.4">
      <c r="B65" s="6" t="s">
        <v>66</v>
      </c>
      <c r="C65" s="128" t="s">
        <v>91</v>
      </c>
      <c r="D65" s="133" t="s">
        <v>65</v>
      </c>
      <c r="E65" s="120" t="s">
        <v>37</v>
      </c>
      <c r="F65" s="105">
        <v>0.01</v>
      </c>
    </row>
  </sheetData>
  <mergeCells count="4">
    <mergeCell ref="D4:AU4"/>
    <mergeCell ref="C39:C40"/>
    <mergeCell ref="E39:F39"/>
    <mergeCell ref="D39:D40"/>
  </mergeCells>
  <phoneticPr fontId="3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8D778-0882-409C-B24F-395AD27CEE45}">
  <sheetPr>
    <tabColor rgb="FFFFFF00"/>
  </sheetPr>
  <dimension ref="A2:U68"/>
  <sheetViews>
    <sheetView zoomScale="60" zoomScaleNormal="60" workbookViewId="0">
      <selection activeCell="L12" sqref="L12"/>
    </sheetView>
  </sheetViews>
  <sheetFormatPr defaultColWidth="9.1796875" defaultRowHeight="12.5" x14ac:dyDescent="0.25"/>
  <cols>
    <col min="1" max="1" width="2.81640625" style="101" customWidth="1"/>
    <col min="2" max="2" width="14.81640625" style="101" customWidth="1"/>
    <col min="3" max="17" width="10.453125" style="101" customWidth="1"/>
    <col min="18" max="18" width="10.453125" style="190" customWidth="1"/>
    <col min="19" max="19" width="22.1796875" style="101" customWidth="1"/>
    <col min="20" max="20" width="28.90625" style="101" customWidth="1"/>
    <col min="21" max="16384" width="9.1796875" style="101"/>
  </cols>
  <sheetData>
    <row r="2" spans="2:21" x14ac:dyDescent="0.25">
      <c r="B2" s="100" t="s">
        <v>33</v>
      </c>
    </row>
    <row r="3" spans="2:21" ht="7" customHeight="1" thickBot="1" x14ac:dyDescent="0.3"/>
    <row r="4" spans="2:21" ht="14.5" thickBot="1" x14ac:dyDescent="0.3">
      <c r="C4" s="611" t="s">
        <v>34</v>
      </c>
      <c r="D4" s="612"/>
      <c r="E4" s="612"/>
      <c r="F4" s="612"/>
      <c r="G4" s="612"/>
      <c r="H4" s="612"/>
      <c r="I4" s="612"/>
      <c r="J4" s="612"/>
      <c r="K4" s="612"/>
      <c r="L4" s="612"/>
      <c r="M4" s="612"/>
      <c r="N4" s="612"/>
      <c r="O4" s="612"/>
      <c r="P4" s="612"/>
      <c r="Q4" s="612"/>
      <c r="R4" s="613"/>
    </row>
    <row r="5" spans="2:21" ht="24.5" customHeight="1" thickBot="1" x14ac:dyDescent="0.3">
      <c r="B5" s="191"/>
      <c r="C5" s="192" t="s">
        <v>2</v>
      </c>
      <c r="D5" s="171" t="s">
        <v>3</v>
      </c>
      <c r="E5" s="171" t="s">
        <v>4</v>
      </c>
      <c r="F5" s="171" t="s">
        <v>5</v>
      </c>
      <c r="G5" s="171" t="s">
        <v>6</v>
      </c>
      <c r="H5" s="171" t="s">
        <v>7</v>
      </c>
      <c r="I5" s="171" t="s">
        <v>8</v>
      </c>
      <c r="J5" s="171" t="s">
        <v>9</v>
      </c>
      <c r="K5" s="171" t="s">
        <v>10</v>
      </c>
      <c r="L5" s="171" t="s">
        <v>11</v>
      </c>
      <c r="M5" s="171" t="s">
        <v>12</v>
      </c>
      <c r="N5" s="171" t="s">
        <v>13</v>
      </c>
      <c r="O5" s="172" t="s">
        <v>14</v>
      </c>
      <c r="P5" s="171" t="s">
        <v>15</v>
      </c>
      <c r="Q5" s="193" t="s">
        <v>16</v>
      </c>
      <c r="R5" s="573" t="s">
        <v>17</v>
      </c>
      <c r="S5" s="500" t="s">
        <v>847</v>
      </c>
      <c r="T5" s="557" t="s">
        <v>890</v>
      </c>
    </row>
    <row r="6" spans="2:21" ht="14.5" thickBot="1" x14ac:dyDescent="0.3">
      <c r="B6" s="630" t="s">
        <v>35</v>
      </c>
      <c r="C6" s="631"/>
      <c r="D6" s="631"/>
      <c r="E6" s="631"/>
      <c r="F6" s="631"/>
      <c r="G6" s="631"/>
      <c r="H6" s="631"/>
      <c r="I6" s="631"/>
      <c r="J6" s="631"/>
      <c r="K6" s="631"/>
      <c r="L6" s="631"/>
      <c r="M6" s="631"/>
      <c r="N6" s="631"/>
      <c r="O6" s="631"/>
      <c r="P6" s="631"/>
      <c r="Q6" s="631"/>
      <c r="R6" s="632"/>
      <c r="T6" s="202"/>
      <c r="U6" s="202"/>
    </row>
    <row r="7" spans="2:21" x14ac:dyDescent="0.25">
      <c r="B7" s="196" t="s">
        <v>36</v>
      </c>
      <c r="C7" s="197" t="s">
        <v>37</v>
      </c>
      <c r="D7" s="198" t="s">
        <v>37</v>
      </c>
      <c r="E7" s="198" t="s">
        <v>37</v>
      </c>
      <c r="F7" s="198" t="s">
        <v>37</v>
      </c>
      <c r="G7" s="197" t="s">
        <v>37</v>
      </c>
      <c r="H7" s="199">
        <v>8.0099999999999995E-5</v>
      </c>
      <c r="I7" s="199">
        <v>4.0999999999999997E-6</v>
      </c>
      <c r="J7" s="197">
        <f>E38/1000*C66*'Avg Wt Percent SDS'!K6</f>
        <v>7.1032E-6</v>
      </c>
      <c r="K7" s="199">
        <v>3.1799999999999998E-4</v>
      </c>
      <c r="L7" s="199">
        <v>9.9999999999999995E-7</v>
      </c>
      <c r="M7" s="197">
        <f>E38/1000*C66*'Avg Wt Percent SDS'!N6</f>
        <v>3.5516000000000001E-7</v>
      </c>
      <c r="N7" s="198" t="s">
        <v>37</v>
      </c>
      <c r="O7" s="197">
        <f>'Emission Factors'!E47/1000*'Emission Factors'!C66*'Avg Wt Percent SDS'!P6</f>
        <v>5.1654854766820933E-5</v>
      </c>
      <c r="P7" s="197">
        <f>E38/1000*C66*'Avg Wt Percent SDS'!Q6</f>
        <v>4.2619199999999993E-7</v>
      </c>
      <c r="Q7" s="200" t="s">
        <v>37</v>
      </c>
      <c r="R7" s="201" t="s">
        <v>37</v>
      </c>
      <c r="S7" s="501">
        <f>E38/1000*$C$66*'Avg Wt Percent SDS'!T6*(143.94/95.95)</f>
        <v>3.1967731360083369E-6</v>
      </c>
      <c r="T7" s="608" t="s">
        <v>857</v>
      </c>
      <c r="U7" s="202"/>
    </row>
    <row r="8" spans="2:21" x14ac:dyDescent="0.25">
      <c r="B8" s="203" t="s">
        <v>38</v>
      </c>
      <c r="C8" s="204" t="s">
        <v>37</v>
      </c>
      <c r="D8" s="205" t="s">
        <v>37</v>
      </c>
      <c r="E8" s="204" t="s">
        <v>37</v>
      </c>
      <c r="F8" s="204" t="s">
        <v>37</v>
      </c>
      <c r="G8" s="204" t="s">
        <v>37</v>
      </c>
      <c r="H8" s="510">
        <f>$F$46*$C$66*'Avg Wt Percent SDS'!I14</f>
        <v>7.3764000000000007E-5</v>
      </c>
      <c r="I8" s="510">
        <f>H8*0.05</f>
        <v>3.6882000000000005E-6</v>
      </c>
      <c r="J8" s="511">
        <f>$F$46*$C$66*'Avg Wt Percent SDS'!K14</f>
        <v>2.7320000000000003E-5</v>
      </c>
      <c r="K8" s="511">
        <f>$F$46*$C$66*'Avg Wt Percent SDS'!L14</f>
        <v>3.0052E-5</v>
      </c>
      <c r="L8" s="511">
        <f>$F$46*$C$66*'Avg Wt Percent SDS'!M14</f>
        <v>3.2784000000000003E-5</v>
      </c>
      <c r="M8" s="511">
        <f>$F$46*$C$66*'Avg Wt Percent SDS'!N14</f>
        <v>2.1856000000000002E-5</v>
      </c>
      <c r="N8" s="204" t="s">
        <v>37</v>
      </c>
      <c r="O8" s="205">
        <f>F46*C66*'Avg Wt Percent SDS'!P14</f>
        <v>6.4276402990388028E-5</v>
      </c>
      <c r="P8" s="204" t="s">
        <v>37</v>
      </c>
      <c r="Q8" s="206" t="s">
        <v>37</v>
      </c>
      <c r="R8" s="201" t="s">
        <v>37</v>
      </c>
      <c r="S8" s="501">
        <f>F39*$C$66*'Avg Wt Percent SDS'!T14*(143.94/95.95)</f>
        <v>4.3033484523189162E-5</v>
      </c>
      <c r="T8" s="609" t="s">
        <v>867</v>
      </c>
      <c r="U8" s="202"/>
    </row>
    <row r="9" spans="2:21" x14ac:dyDescent="0.25">
      <c r="B9" s="203" t="s">
        <v>39</v>
      </c>
      <c r="C9" s="204" t="s">
        <v>37</v>
      </c>
      <c r="D9" s="204" t="s">
        <v>37</v>
      </c>
      <c r="E9" s="204" t="s">
        <v>37</v>
      </c>
      <c r="F9" s="204" t="s">
        <v>37</v>
      </c>
      <c r="G9" s="204" t="s">
        <v>37</v>
      </c>
      <c r="H9" s="510">
        <f>$F$48*$C$66*'Avg Wt Percent SDS'!I16</f>
        <v>1.3660000000000001E-4</v>
      </c>
      <c r="I9" s="510">
        <f>H9*0.05</f>
        <v>6.8300000000000007E-6</v>
      </c>
      <c r="J9" s="510">
        <f>$F$48*$C$66*'Avg Wt Percent SDS'!K16</f>
        <v>2.7320000000000003E-5</v>
      </c>
      <c r="K9" s="510">
        <f>$F$48*$C$66*'Avg Wt Percent SDS'!L16</f>
        <v>3.0052E-5</v>
      </c>
      <c r="L9" s="510">
        <f>$F$48*$C$66*'Avg Wt Percent SDS'!M16</f>
        <v>3.2784000000000003E-5</v>
      </c>
      <c r="M9" s="510">
        <f>$F$48*$C$66*'Avg Wt Percent SDS'!N16</f>
        <v>2.1856000000000002E-5</v>
      </c>
      <c r="N9" s="204" t="s">
        <v>37</v>
      </c>
      <c r="O9" s="205">
        <f>F48*C66*'Avg Wt Percent SDS'!P16</f>
        <v>6.4276402990388028E-5</v>
      </c>
      <c r="P9" s="204" t="s">
        <v>37</v>
      </c>
      <c r="Q9" s="206" t="s">
        <v>37</v>
      </c>
      <c r="R9" s="201" t="s">
        <v>37</v>
      </c>
      <c r="S9" s="501">
        <f>F48*$C$66*'Avg Wt Percent SDS'!T16*(143.94/95.95)</f>
        <v>8.6066969046378323E-5</v>
      </c>
      <c r="T9" s="609" t="s">
        <v>867</v>
      </c>
      <c r="U9" s="202"/>
    </row>
    <row r="10" spans="2:21" x14ac:dyDescent="0.25">
      <c r="B10" s="203" t="s">
        <v>40</v>
      </c>
      <c r="C10" s="204" t="s">
        <v>37</v>
      </c>
      <c r="D10" s="607" t="s">
        <v>37</v>
      </c>
      <c r="E10" s="204" t="s">
        <v>37</v>
      </c>
      <c r="F10" s="204" t="s">
        <v>37</v>
      </c>
      <c r="G10" s="204" t="s">
        <v>37</v>
      </c>
      <c r="H10" s="97">
        <v>7.6099999999999996E-3</v>
      </c>
      <c r="I10" s="97">
        <v>8.0099999999999995E-5</v>
      </c>
      <c r="J10" s="511">
        <f>$F$43*$C$66*'Avg Wt Percent SDS'!K12</f>
        <v>4.0979999999999997E-5</v>
      </c>
      <c r="K10" s="511">
        <f>$F$43*$C$66*'Avg Wt Percent SDS'!L12</f>
        <v>9.5620000000000009E-5</v>
      </c>
      <c r="L10" s="511">
        <f>$F$43*$C$66*'Avg Wt Percent SDS'!M12</f>
        <v>7.1032000000000007E-4</v>
      </c>
      <c r="M10" s="511">
        <f>$F$43*$C$66*'Avg Wt Percent SDS'!N12</f>
        <v>1.6391999999999999E-6</v>
      </c>
      <c r="N10" s="204" t="s">
        <v>37</v>
      </c>
      <c r="O10" s="510">
        <f>$F$43*$C$66*'Avg Wt Percent SDS'!P12</f>
        <v>5.5511438946244225E-5</v>
      </c>
      <c r="P10" s="204" t="s">
        <v>37</v>
      </c>
      <c r="Q10" s="206" t="s">
        <v>37</v>
      </c>
      <c r="R10" s="201" t="s">
        <v>37</v>
      </c>
      <c r="S10" s="501">
        <f>F43*$C$66*'Avg Wt Percent SDS'!T12*(143.94/95.95)</f>
        <v>6.1476406461698791E-5</v>
      </c>
      <c r="T10" s="609" t="s">
        <v>863</v>
      </c>
      <c r="U10" s="202"/>
    </row>
    <row r="11" spans="2:21" x14ac:dyDescent="0.25">
      <c r="B11" s="203" t="s">
        <v>41</v>
      </c>
      <c r="C11" s="207" t="s">
        <v>37</v>
      </c>
      <c r="D11" s="510">
        <f>E41/1000*C66*'Avg Wt Percent SDS'!E9</f>
        <v>0</v>
      </c>
      <c r="E11" s="204" t="s">
        <v>37</v>
      </c>
      <c r="F11" s="204" t="s">
        <v>37</v>
      </c>
      <c r="G11" s="204" t="s">
        <v>37</v>
      </c>
      <c r="H11" s="97">
        <v>7.7200000000000003E-3</v>
      </c>
      <c r="I11" s="97">
        <v>2.8399999999999999E-5</v>
      </c>
      <c r="J11" s="510">
        <f>$E$42/1000*$C$66*'Avg Wt Percent SDS'!K9</f>
        <v>1.3113600000000001E-5</v>
      </c>
      <c r="K11" s="97">
        <v>2.4499999999999999E-4</v>
      </c>
      <c r="L11" s="97">
        <v>2.2599999999999999E-4</v>
      </c>
      <c r="M11" s="510">
        <f>$E$42/1000*$C$66*'Avg Wt Percent SDS'!N9</f>
        <v>5.2454399999999996E-7</v>
      </c>
      <c r="N11" s="204" t="s">
        <v>37</v>
      </c>
      <c r="O11" s="205">
        <f>E42/1000*C66*'Avg Wt Percent SDS'!P9</f>
        <v>1.7763660462798153E-5</v>
      </c>
      <c r="P11" s="204" t="s">
        <v>37</v>
      </c>
      <c r="Q11" s="206" t="s">
        <v>37</v>
      </c>
      <c r="R11" s="201" t="s">
        <v>37</v>
      </c>
      <c r="S11" s="501">
        <f>E42/1000*$C$66*'Avg Wt Percent SDS'!T9*(143.94/95.95)</f>
        <v>6.5574833559145393E-5</v>
      </c>
      <c r="T11" s="609" t="s">
        <v>860</v>
      </c>
      <c r="U11" s="202"/>
    </row>
    <row r="12" spans="2:21" x14ac:dyDescent="0.25">
      <c r="B12" s="209" t="s">
        <v>42</v>
      </c>
      <c r="C12" s="210">
        <f>F40*C66*'Avg Wt Percent SDS'!D7</f>
        <v>3.2783999999999998E-4</v>
      </c>
      <c r="D12" s="210" t="s">
        <v>37</v>
      </c>
      <c r="E12" s="210" t="str">
        <f>IF(AND('SDAPCD Default EF'!E12=0,'Weight Percent SDAPCD'!F8=0),0,IF('Weight Percent SDAPCD'!F8&gt;0,'SDAPCD Default EF'!E12*'Avg Wt Percent SDS'!F7/'Weight Percent SDAPCD'!F8,IF(AND('Avg Wt Percent SDS'!F7&gt;0,'Weight Percent SDAPCD'!F8=0),'Weight Percent SDS'!$F$42*0.5654*'Avg Wt Percent SDS'!F7,"--")))</f>
        <v>--</v>
      </c>
      <c r="F12" s="210" t="str">
        <f>IF(AND('SDAPCD Default EF'!F12=0,'Weight Percent SDAPCD'!G8=0),0,IF('Weight Percent SDAPCD'!G8&gt;0,'SDAPCD Default EF'!F12*'Avg Wt Percent SDS'!G7/'Weight Percent SDAPCD'!G8,IF(AND('Avg Wt Percent SDS'!G7&gt;0,'Weight Percent SDAPCD'!G8=0),'Weight Percent SDS'!$F$42*0.5654*'Avg Wt Percent SDS'!G7,"--")))</f>
        <v>--</v>
      </c>
      <c r="G12" s="210">
        <f>F39*C66*'Avg Wt Percent SDS'!H7</f>
        <v>3.6062400000000001E-3</v>
      </c>
      <c r="H12" s="211">
        <f>$F$39*$C$66*'Avg Wt Percent SDS'!I7</f>
        <v>1.8031200000000001E-3</v>
      </c>
      <c r="I12" s="610">
        <f>H12*0.05</f>
        <v>9.0156000000000009E-5</v>
      </c>
      <c r="J12" s="610">
        <f>$F$39*$C$66*'Avg Wt Percent SDS'!K7</f>
        <v>1.8577600000000002E-3</v>
      </c>
      <c r="K12" s="610">
        <f>$F$39*$C$66*'Avg Wt Percent SDS'!L7</f>
        <v>8.7424000000000009E-4</v>
      </c>
      <c r="L12" s="610">
        <f>$F$39*$C$66*'Avg Wt Percent SDS'!M7</f>
        <v>5.4093600000000002E-3</v>
      </c>
      <c r="M12" s="515"/>
      <c r="N12" s="210" t="str">
        <f>IF(AND('SDAPCD Default EF'!N12=0,'Weight Percent SDAPCD'!O8=0),0,IF('Weight Percent SDAPCD'!O8&gt;0,'SDAPCD Default EF'!N12*'Avg Wt Percent SDS'!O7/'Weight Percent SDAPCD'!O8,IF(AND('Avg Wt Percent SDS'!O7&gt;0,'Weight Percent SDAPCD'!O8=0),'Weight Percent SDS'!$F$42*0.5654*'Avg Wt Percent SDS'!O7,"--")))</f>
        <v>--</v>
      </c>
      <c r="O12" s="210">
        <f>F39*C66*'Avg Wt Percent SDS'!P7</f>
        <v>2.1856000000000002E-4</v>
      </c>
      <c r="P12" s="211">
        <f>F39*C66*'Avg Wt Percent SDS'!Q7</f>
        <v>2.1856000000000002E-4</v>
      </c>
      <c r="Q12" s="212" t="str">
        <f>IF(AND('SDAPCD Default EF'!Q12=0,'Weight Percent SDAPCD'!R8=0),0,IF('Weight Percent SDAPCD'!R8&gt;0,'SDAPCD Default EF'!Q12*'Avg Wt Percent SDS'!R7/'Weight Percent SDAPCD'!R8,IF(AND('Avg Wt Percent SDS'!R7&gt;0,'Weight Percent SDAPCD'!R8=0),'Weight Percent SDS'!$F$42*0.5654*'Avg Wt Percent SDS'!R7,"--")))</f>
        <v>--</v>
      </c>
      <c r="R12" s="201" t="s">
        <v>37</v>
      </c>
      <c r="S12" s="501">
        <f>F39*$C$66*'Avg Wt Percent SDS'!T7*(143.94/95.95)</f>
        <v>2.4590562584679517E-3</v>
      </c>
      <c r="T12" s="609" t="s">
        <v>858</v>
      </c>
      <c r="U12" s="202"/>
    </row>
    <row r="13" spans="2:21" ht="13" thickBot="1" x14ac:dyDescent="0.3">
      <c r="B13" s="209" t="s">
        <v>43</v>
      </c>
      <c r="C13" s="515">
        <f>F56*C67*'Avg Wt Percent SDS'!D24</f>
        <v>1.719E-4</v>
      </c>
      <c r="D13" s="207" t="s">
        <v>37</v>
      </c>
      <c r="E13" s="207" t="s">
        <v>37</v>
      </c>
      <c r="F13" s="207" t="s">
        <v>37</v>
      </c>
      <c r="G13" s="207" t="s">
        <v>37</v>
      </c>
      <c r="H13" s="210" t="s">
        <v>37</v>
      </c>
      <c r="I13" s="210" t="s">
        <v>37</v>
      </c>
      <c r="J13" s="210" t="s">
        <v>37</v>
      </c>
      <c r="K13" s="210" t="s">
        <v>37</v>
      </c>
      <c r="L13" s="515">
        <f>F56*C67*'Avg Wt Percent SDS'!M24</f>
        <v>1.5757500000000001E-3</v>
      </c>
      <c r="M13" s="210" t="s">
        <v>37</v>
      </c>
      <c r="N13" s="207" t="s">
        <v>37</v>
      </c>
      <c r="O13" s="207" t="s">
        <v>37</v>
      </c>
      <c r="P13" s="207" t="s">
        <v>37</v>
      </c>
      <c r="Q13" s="213" t="s">
        <v>37</v>
      </c>
      <c r="R13" s="515">
        <f>F56*C67*'Avg Wt Percent SDS'!S24</f>
        <v>8.363892445582587E-5</v>
      </c>
      <c r="S13" s="501" t="s">
        <v>37</v>
      </c>
      <c r="T13" s="609" t="s">
        <v>871</v>
      </c>
      <c r="U13" s="202"/>
    </row>
    <row r="14" spans="2:21" ht="14.5" thickBot="1" x14ac:dyDescent="0.3">
      <c r="B14" s="630" t="s">
        <v>44</v>
      </c>
      <c r="C14" s="631"/>
      <c r="D14" s="631"/>
      <c r="E14" s="631"/>
      <c r="F14" s="631"/>
      <c r="G14" s="631"/>
      <c r="H14" s="631"/>
      <c r="I14" s="631"/>
      <c r="J14" s="631"/>
      <c r="K14" s="631"/>
      <c r="L14" s="631"/>
      <c r="M14" s="631"/>
      <c r="N14" s="631"/>
      <c r="O14" s="631"/>
      <c r="P14" s="631"/>
      <c r="Q14" s="631"/>
      <c r="R14" s="632"/>
      <c r="S14" s="202"/>
      <c r="T14" s="202"/>
      <c r="U14" s="202"/>
    </row>
    <row r="15" spans="2:21" x14ac:dyDescent="0.25">
      <c r="B15" s="196" t="s">
        <v>45</v>
      </c>
      <c r="C15" s="198" t="s">
        <v>37</v>
      </c>
      <c r="D15" s="197">
        <f>'Emission Factors'!F53*'Emission Factors'!C67*'Avg Wt Percent SDS'!E21</f>
        <v>1.6678593566104354E-5</v>
      </c>
      <c r="E15" s="198" t="s">
        <v>37</v>
      </c>
      <c r="F15" s="198" t="s">
        <v>37</v>
      </c>
      <c r="G15" s="198" t="s">
        <v>37</v>
      </c>
      <c r="H15" s="510">
        <f>$F$53*$C$67*'Avg Wt Percent SDS'!I21</f>
        <v>2.0054999999999999E-3</v>
      </c>
      <c r="I15" s="510">
        <f>H15*0.55</f>
        <v>1.1030250000000001E-3</v>
      </c>
      <c r="J15" s="510" t="s">
        <v>37</v>
      </c>
      <c r="K15" s="510">
        <f>$F$53*$C$67*'Avg Wt Percent SDS'!L21</f>
        <v>1.719E-4</v>
      </c>
      <c r="L15" s="510">
        <f>$F$53*$C$67*'Avg Wt Percent SDS'!M21</f>
        <v>3.1514999999999999E-5</v>
      </c>
      <c r="M15" s="510" t="s">
        <v>37</v>
      </c>
      <c r="N15" s="198" t="s">
        <v>37</v>
      </c>
      <c r="O15" s="197">
        <f>'Emission Factors'!F53*'Emission Factors'!C67*'Avg Wt Percent SDS'!P21</f>
        <v>6.7405525097899592E-5</v>
      </c>
      <c r="P15" s="197">
        <f>'Emission Factors'!F53*'Emission Factors'!C67*'Avg Wt Percent SDS'!Q21</f>
        <v>3.1514999999999999E-5</v>
      </c>
      <c r="Q15" s="200" t="s">
        <v>37</v>
      </c>
      <c r="R15" s="214"/>
      <c r="S15" s="501">
        <f>F53*$C$67*'Avg Wt Percent SDS'!T21*(143.94/95.95)</f>
        <v>2.5787687337154765E-4</v>
      </c>
      <c r="T15" s="609" t="s">
        <v>869</v>
      </c>
      <c r="U15" s="202"/>
    </row>
    <row r="16" spans="2:21" x14ac:dyDescent="0.25">
      <c r="B16" s="215" t="s">
        <v>46</v>
      </c>
      <c r="C16" s="423">
        <f>IF('Avg Wt Percent SDS'!D32&gt;0,$F$63*$C$67*'Avg Wt Percent SDS'!D32,"--")</f>
        <v>3.1514999999999999E-5</v>
      </c>
      <c r="D16" s="423" t="str">
        <f>IF('Avg Wt Percent SDS'!E32&gt;0,$F$63*$C$67*'Avg Wt Percent SDS'!E32,"--")</f>
        <v>--</v>
      </c>
      <c r="E16" s="423" t="str">
        <f>IF('Avg Wt Percent SDS'!F32&gt;0,$F$63*$C$67*'Avg Wt Percent SDS'!F32,"--")</f>
        <v>--</v>
      </c>
      <c r="F16" s="423" t="str">
        <f>IF('Avg Wt Percent SDS'!G32&gt;0,$F$63*$C$67*'Avg Wt Percent SDS'!G32,"--")</f>
        <v>--</v>
      </c>
      <c r="G16" s="423">
        <f>IF('Avg Wt Percent SDS'!H32&gt;0,$F$63*$C$67*'Avg Wt Percent SDS'!H32,"--")</f>
        <v>3.1514999999999999E-5</v>
      </c>
      <c r="H16" s="423">
        <f>IF('Avg Wt Percent SDS'!I32&gt;0,$F$63*$C$67*'Avg Wt Percent SDS'!I32,"--")</f>
        <v>8.5950000000000013E-4</v>
      </c>
      <c r="I16" s="510">
        <f>H16*0.55</f>
        <v>4.7272500000000012E-4</v>
      </c>
      <c r="J16" s="423">
        <f>IF('Avg Wt Percent SDS'!K32&gt;0,$F$63*$C$67*'Avg Wt Percent SDS'!K32,"--")</f>
        <v>3.1514999999999999E-5</v>
      </c>
      <c r="K16" s="423">
        <f>IF('Avg Wt Percent SDS'!L32&gt;0,$F$63*$C$67*'Avg Wt Percent SDS'!L32,"--")</f>
        <v>3.1514999999999999E-5</v>
      </c>
      <c r="L16" s="423">
        <f>IF('Avg Wt Percent SDS'!M32&gt;0,$F$63*$C$67*'Avg Wt Percent SDS'!M32,"--")</f>
        <v>2.0054999999999999E-3</v>
      </c>
      <c r="M16" s="423" t="str">
        <f>IF('Avg Wt Percent SDS'!N32&gt;0,$F$63*$C$67*'Avg Wt Percent SDS'!N32,"--")</f>
        <v>--</v>
      </c>
      <c r="N16" s="423" t="str">
        <f>IF('Avg Wt Percent SDS'!O32&gt;0,$F$63*$C$67*'Avg Wt Percent SDS'!O32,"--")</f>
        <v>--</v>
      </c>
      <c r="O16" s="423">
        <f>IF('Avg Wt Percent SDS'!P32&gt;0,$F$63*$C$67*'Avg Wt Percent SDS'!P32,"--")</f>
        <v>3.1514999999999999E-5</v>
      </c>
      <c r="P16" s="423">
        <f>IF('Avg Wt Percent SDS'!Q32&gt;0,$F$63*$C$67*'Avg Wt Percent SDS'!Q32,"--")</f>
        <v>3.1514999999999999E-5</v>
      </c>
      <c r="Q16" s="494">
        <f>IF('Avg Wt Percent SDS'!R32&gt;0,$F$63*$C$67*'Avg Wt Percent SDS'!R32,"--")</f>
        <v>3.1514999999999999E-5</v>
      </c>
      <c r="R16" s="575">
        <f>$F$63*C67*'Avg Wt Percent SDS'!S32</f>
        <v>1.7700052521809362E-4</v>
      </c>
      <c r="S16" s="501">
        <f>F63*$C$67*'Avg Wt Percent SDS'!T32*(143.94/95.95)</f>
        <v>6.446921834288693E-4</v>
      </c>
      <c r="T16" s="609" t="s">
        <v>875</v>
      </c>
      <c r="U16" s="202"/>
    </row>
    <row r="17" spans="1:21" x14ac:dyDescent="0.25">
      <c r="B17" s="203" t="s">
        <v>47</v>
      </c>
      <c r="C17" s="204" t="s">
        <v>37</v>
      </c>
      <c r="D17" s="205">
        <f>$F$61*$C$67*'Avg Wt Percent SDS'!E29</f>
        <v>1.6678593566104354E-5</v>
      </c>
      <c r="E17" s="204" t="s">
        <v>37</v>
      </c>
      <c r="F17" s="204" t="s">
        <v>37</v>
      </c>
      <c r="G17" s="204" t="s">
        <v>37</v>
      </c>
      <c r="H17" s="97">
        <v>8.03E-4</v>
      </c>
      <c r="I17" s="97">
        <v>1.4100000000000001E-4</v>
      </c>
      <c r="J17" s="205">
        <f>$F$61*$C$67*'Avg Wt Percent SDS'!K29</f>
        <v>3.1514999999999999E-5</v>
      </c>
      <c r="K17" s="205">
        <f>$F$61*$C$67*'Avg Wt Percent SDS'!L29</f>
        <v>1.719E-4</v>
      </c>
      <c r="L17" s="205">
        <f>$F$61*$C$67*'Avg Wt Percent SDS'!M29</f>
        <v>4.2975000000000006E-4</v>
      </c>
      <c r="M17" s="511"/>
      <c r="N17" s="204" t="s">
        <v>37</v>
      </c>
      <c r="O17" s="205">
        <f>F61*C67*'Avg Wt Percent SDS'!P29</f>
        <v>1.719E-4</v>
      </c>
      <c r="P17" s="204" t="s">
        <v>37</v>
      </c>
      <c r="Q17" s="206" t="s">
        <v>37</v>
      </c>
      <c r="R17" s="514">
        <f>F61*C67*'Avg Wt Percent SDS'!S29</f>
        <v>3.1514999999999999E-5</v>
      </c>
      <c r="S17" s="501">
        <f>F61*$C$67*'Avg Wt Percent SDS'!T29*(143.94/95.95)</f>
        <v>4.7277426784783737E-5</v>
      </c>
      <c r="T17" s="609" t="s">
        <v>862</v>
      </c>
      <c r="U17" s="202"/>
    </row>
    <row r="18" spans="1:21" x14ac:dyDescent="0.25">
      <c r="B18" s="203" t="s">
        <v>48</v>
      </c>
      <c r="C18" s="204" t="s">
        <v>37</v>
      </c>
      <c r="D18" s="499">
        <f>$E$60/1000*$C$67*'Avg Wt Percent SDS'!E28</f>
        <v>3.7905894468418994E-5</v>
      </c>
      <c r="E18" s="204" t="s">
        <v>37</v>
      </c>
      <c r="F18" s="204" t="s">
        <v>37</v>
      </c>
      <c r="G18" s="204" t="s">
        <v>37</v>
      </c>
      <c r="H18" s="97">
        <v>8.83E-4</v>
      </c>
      <c r="I18" s="97">
        <v>2.0000000000000001E-4</v>
      </c>
      <c r="J18" s="204" t="s">
        <v>37</v>
      </c>
      <c r="K18" s="97">
        <v>5.44E-4</v>
      </c>
      <c r="L18" s="97">
        <v>5.5000000000000002E-5</v>
      </c>
      <c r="M18" s="204" t="s">
        <v>37</v>
      </c>
      <c r="N18" s="204" t="s">
        <v>37</v>
      </c>
      <c r="O18" s="205">
        <f>E60/1000*C67*'Avg Wt Percent SDS'!P28</f>
        <v>3.0638875044499818E-5</v>
      </c>
      <c r="P18" s="204" t="s">
        <v>37</v>
      </c>
      <c r="Q18" s="206" t="s">
        <v>37</v>
      </c>
      <c r="R18" s="499">
        <f>$E$60/1000*C67*'Avg Wt Percent SDS'!S28</f>
        <v>1.4325000000000001E-4</v>
      </c>
      <c r="S18" s="501">
        <f>E60/1000*$C$67*'Avg Wt Percent SDS'!T28*(143.94/95.95)</f>
        <v>2.1489739447628974E-4</v>
      </c>
      <c r="T18" s="609" t="s">
        <v>859</v>
      </c>
      <c r="U18" s="202"/>
    </row>
    <row r="19" spans="1:21" x14ac:dyDescent="0.25">
      <c r="B19" s="203">
        <v>6010</v>
      </c>
      <c r="C19" s="204" t="s">
        <v>37</v>
      </c>
      <c r="D19" s="204" t="s">
        <v>37</v>
      </c>
      <c r="E19" s="204" t="s">
        <v>37</v>
      </c>
      <c r="F19" s="204" t="s">
        <v>37</v>
      </c>
      <c r="G19" s="204" t="s">
        <v>37</v>
      </c>
      <c r="H19" s="97">
        <v>3.0000000000000001E-6</v>
      </c>
      <c r="I19" s="97">
        <v>9.9999999999999995E-7</v>
      </c>
      <c r="J19" s="204" t="s">
        <v>37</v>
      </c>
      <c r="K19" s="97">
        <v>9.9099999999999991E-4</v>
      </c>
      <c r="L19" s="97">
        <v>3.9999999999999998E-6</v>
      </c>
      <c r="M19" s="204" t="s">
        <v>37</v>
      </c>
      <c r="N19" s="204" t="s">
        <v>37</v>
      </c>
      <c r="O19" s="205">
        <f>E49/1000*C67*'Avg Wt Percent SDS'!P13</f>
        <v>1.0830347828936589E-4</v>
      </c>
      <c r="P19" s="204" t="s">
        <v>37</v>
      </c>
      <c r="Q19" s="206" t="s">
        <v>37</v>
      </c>
      <c r="R19" s="201" t="s">
        <v>37</v>
      </c>
      <c r="S19" s="501" t="s">
        <v>37</v>
      </c>
      <c r="T19" s="609" t="s">
        <v>864</v>
      </c>
      <c r="U19" s="202"/>
    </row>
    <row r="20" spans="1:21" x14ac:dyDescent="0.25">
      <c r="B20" s="203">
        <v>6011</v>
      </c>
      <c r="C20" s="204" t="s">
        <v>37</v>
      </c>
      <c r="D20" s="204" t="s">
        <v>37</v>
      </c>
      <c r="E20" s="204" t="s">
        <v>37</v>
      </c>
      <c r="F20" s="204" t="s">
        <v>37</v>
      </c>
      <c r="G20" s="97">
        <v>9.9999999999999995E-7</v>
      </c>
      <c r="H20" s="97">
        <v>5.0000000000000004E-6</v>
      </c>
      <c r="I20" s="97">
        <v>2.7499999999999999E-6</v>
      </c>
      <c r="J20" s="204" t="s">
        <v>37</v>
      </c>
      <c r="K20" s="97">
        <v>9.9799999999999997E-4</v>
      </c>
      <c r="L20" s="97">
        <v>5.0000000000000004E-6</v>
      </c>
      <c r="M20" s="204" t="s">
        <v>37</v>
      </c>
      <c r="N20" s="204" t="s">
        <v>37</v>
      </c>
      <c r="O20" s="205">
        <f>E52/1000*C67*'Avg Wt Percent SDS'!P20</f>
        <v>6.0508799999999986E-5</v>
      </c>
      <c r="P20" s="204" t="s">
        <v>37</v>
      </c>
      <c r="Q20" s="206" t="s">
        <v>37</v>
      </c>
      <c r="R20" s="201" t="s">
        <v>37</v>
      </c>
      <c r="S20" s="501" t="s">
        <v>37</v>
      </c>
      <c r="T20" s="609" t="s">
        <v>868</v>
      </c>
      <c r="U20" s="202"/>
    </row>
    <row r="21" spans="1:21" x14ac:dyDescent="0.25">
      <c r="B21" s="209" t="s">
        <v>49</v>
      </c>
      <c r="C21" s="499">
        <f>$F$54*$C$67*'Avg Wt Percent SDS'!D22</f>
        <v>1.5143544700581207E-5</v>
      </c>
      <c r="D21" s="204" t="s">
        <v>37</v>
      </c>
      <c r="E21" s="204" t="s">
        <v>37</v>
      </c>
      <c r="F21" s="204" t="s">
        <v>37</v>
      </c>
      <c r="G21" s="204" t="s">
        <v>37</v>
      </c>
      <c r="H21" s="510">
        <f>$F$54*$C$67*'Avg Wt Percent SDS'!I22</f>
        <v>1.5757500000000001E-3</v>
      </c>
      <c r="I21" s="510">
        <f>H21*0.55</f>
        <v>8.6666250000000009E-4</v>
      </c>
      <c r="J21" s="204" t="s">
        <v>37</v>
      </c>
      <c r="K21" s="510">
        <f>$F$54*$C$67*'Avg Wt Percent SDS'!L22</f>
        <v>3.1514999999999999E-5</v>
      </c>
      <c r="L21" s="510">
        <f>$F$54*$C$67*'Avg Wt Percent SDS'!M22</f>
        <v>5.7300000000000005E-4</v>
      </c>
      <c r="M21" s="204" t="s">
        <v>37</v>
      </c>
      <c r="N21" s="204" t="s">
        <v>37</v>
      </c>
      <c r="O21" s="205">
        <f>'Emission Factors'!F54*'Emission Factors'!C67*'Avg Wt Percent SDS'!P22</f>
        <v>5.7299999999999997E-5</v>
      </c>
      <c r="P21" s="204" t="s">
        <v>37</v>
      </c>
      <c r="Q21" s="206" t="s">
        <v>37</v>
      </c>
      <c r="R21" s="510">
        <f>'Emission Factors'!F54*'Emission Factors'!C67*'Avg Wt Percent SDS'!S22</f>
        <v>8.363892445582587E-5</v>
      </c>
      <c r="S21" s="501">
        <f>F54*$C$67*'Avg Wt Percent SDS'!T22*(143.94/95.95)</f>
        <v>4.7277426784783737E-5</v>
      </c>
      <c r="T21" s="609" t="s">
        <v>870</v>
      </c>
      <c r="U21" s="202"/>
    </row>
    <row r="22" spans="1:21" ht="13" thickBot="1" x14ac:dyDescent="0.3">
      <c r="B22" s="209">
        <v>7018</v>
      </c>
      <c r="C22" s="207" t="s">
        <v>37</v>
      </c>
      <c r="D22" s="207" t="s">
        <v>37</v>
      </c>
      <c r="E22" s="207" t="s">
        <v>37</v>
      </c>
      <c r="F22" s="207" t="s">
        <v>37</v>
      </c>
      <c r="G22" s="211">
        <v>9.9999999999999995E-7</v>
      </c>
      <c r="H22" s="211">
        <v>1.17E-5</v>
      </c>
      <c r="I22" s="211">
        <v>6.4300000000000003E-6</v>
      </c>
      <c r="J22" s="207" t="s">
        <v>37</v>
      </c>
      <c r="K22" s="211">
        <v>1.0300000000000001E-3</v>
      </c>
      <c r="L22" s="211">
        <v>1.9999999999999999E-6</v>
      </c>
      <c r="M22" s="207" t="s">
        <v>37</v>
      </c>
      <c r="N22" s="207" t="s">
        <v>37</v>
      </c>
      <c r="O22" s="210">
        <f>E57/1000*C67*'Avg Wt Percent SDS'!P25</f>
        <v>2.8993799999999997E-5</v>
      </c>
      <c r="P22" s="207" t="s">
        <v>37</v>
      </c>
      <c r="Q22" s="213" t="s">
        <v>37</v>
      </c>
      <c r="R22" s="574">
        <f>E57/1000*C67*'Avg Wt Percent SDS'!S25</f>
        <v>1.5814799999999999E-4</v>
      </c>
      <c r="S22" s="501">
        <f>E57/1000*$C$67*'Avg Wt Percent SDS'!T25*(143.94/95.95)</f>
        <v>4.3495232642001037E-5</v>
      </c>
      <c r="T22" s="609" t="s">
        <v>872</v>
      </c>
      <c r="U22" s="202"/>
    </row>
    <row r="23" spans="1:21" ht="13" thickBot="1" x14ac:dyDescent="0.3">
      <c r="B23" s="630" t="s">
        <v>50</v>
      </c>
      <c r="C23" s="631"/>
      <c r="D23" s="631"/>
      <c r="E23" s="631"/>
      <c r="F23" s="631"/>
      <c r="G23" s="631"/>
      <c r="H23" s="631"/>
      <c r="I23" s="631"/>
      <c r="J23" s="631"/>
      <c r="K23" s="631"/>
      <c r="L23" s="631"/>
      <c r="M23" s="631"/>
      <c r="N23" s="631"/>
      <c r="O23" s="631"/>
      <c r="P23" s="631"/>
      <c r="Q23" s="631"/>
      <c r="R23" s="632"/>
      <c r="T23" s="202"/>
      <c r="U23" s="202"/>
    </row>
    <row r="24" spans="1:21" ht="13" thickBot="1" x14ac:dyDescent="0.3">
      <c r="B24" s="366" t="s">
        <v>51</v>
      </c>
      <c r="C24" s="239" t="str">
        <f>IF('Avg Wt Percent SDS'!D33&gt;0,$F$64*$C$68*'Avg Wt Percent SDS'!D33,"--")</f>
        <v>--</v>
      </c>
      <c r="D24" s="239" t="str">
        <f>IF('Avg Wt Percent SDS'!E33&gt;0,$F$64*$C$68*'Avg Wt Percent SDS'!E33,"--")</f>
        <v>--</v>
      </c>
      <c r="E24" s="239" t="str">
        <f>IF('Avg Wt Percent SDS'!F33&gt;0,$F$64*$C$68*'Avg Wt Percent SDS'!F33,"--")</f>
        <v>--</v>
      </c>
      <c r="F24" s="239" t="str">
        <f>IF('Avg Wt Percent SDS'!G33&gt;0,$F$64*$C$68*'Avg Wt Percent SDS'!G33,"--")</f>
        <v>--</v>
      </c>
      <c r="G24" s="239" t="str">
        <f>IF('Avg Wt Percent SDS'!H33&gt;0,$F$64*$C$68*'Avg Wt Percent SDS'!H33,"--")</f>
        <v>--</v>
      </c>
      <c r="H24" s="239" t="str">
        <f>IF('Avg Wt Percent SDS'!I33&gt;0,$F$64*$C$68*'Avg Wt Percent SDS'!I33,"--")</f>
        <v>--</v>
      </c>
      <c r="I24" s="239" t="str">
        <f>IF('Avg Wt Percent SDS'!J33&gt;0,$F$64*$C$68*'Avg Wt Percent SDS'!J33,"--")</f>
        <v>--</v>
      </c>
      <c r="J24" s="239">
        <f>IF('Avg Wt Percent SDS'!K33&gt;0,$F$64*$C$68*'Avg Wt Percent SDS'!K33,"--")</f>
        <v>1.0000000000000002E-2</v>
      </c>
      <c r="K24" s="239" t="str">
        <f>IF('Avg Wt Percent SDS'!L33&gt;0,$F$64*$C$68*'Avg Wt Percent SDS'!L33,"--")</f>
        <v>--</v>
      </c>
      <c r="L24" s="239" t="str">
        <f>IF('Avg Wt Percent SDS'!M33&gt;0,$F$64*$C$68*'Avg Wt Percent SDS'!M33,"--")</f>
        <v>--</v>
      </c>
      <c r="M24" s="239" t="str">
        <f>IF('Avg Wt Percent SDS'!N33&gt;0,$F$64*$C$68*'Avg Wt Percent SDS'!N33,"--")</f>
        <v>--</v>
      </c>
      <c r="N24" s="239" t="str">
        <f>IF('Avg Wt Percent SDS'!O33&gt;0,$F$64*$C$68*'Avg Wt Percent SDS'!O33,"--")</f>
        <v>--</v>
      </c>
      <c r="O24" s="239">
        <f>IF('Avg Wt Percent SDS'!P33&gt;0,$F$64*$C$68*'Avg Wt Percent SDS'!P33,"--")</f>
        <v>2.7500000000000002E-4</v>
      </c>
      <c r="P24" s="239" t="str">
        <f>IF('Avg Wt Percent SDS'!Q33&gt;0,$F$64*$C$68*'Avg Wt Percent SDS'!Q33,"--")</f>
        <v>--</v>
      </c>
      <c r="Q24" s="240" t="str">
        <f>IF('Avg Wt Percent SDS'!R33&gt;0,$F$64*$C$68*'Avg Wt Percent SDS'!R33,"--")</f>
        <v>--</v>
      </c>
      <c r="R24" s="498" t="s">
        <v>37</v>
      </c>
      <c r="S24" s="502" t="s">
        <v>37</v>
      </c>
      <c r="T24" s="609" t="s">
        <v>876</v>
      </c>
      <c r="U24" s="202"/>
    </row>
    <row r="25" spans="1:21" ht="13" thickBot="1" x14ac:dyDescent="0.3">
      <c r="B25" s="100"/>
      <c r="C25" s="495"/>
      <c r="D25" s="495"/>
      <c r="E25" s="495"/>
      <c r="F25" s="495"/>
      <c r="G25" s="495"/>
      <c r="H25" s="495"/>
      <c r="I25" s="495"/>
      <c r="J25" s="495"/>
      <c r="K25" s="495"/>
      <c r="L25" s="495"/>
      <c r="M25" s="495"/>
      <c r="N25" s="495"/>
      <c r="O25" s="495"/>
      <c r="P25" s="495"/>
      <c r="Q25" s="495"/>
      <c r="R25" s="496"/>
    </row>
    <row r="26" spans="1:21" ht="13" thickBot="1" x14ac:dyDescent="0.3">
      <c r="B26" s="195" t="s">
        <v>55</v>
      </c>
      <c r="C26" s="218"/>
      <c r="D26" s="219"/>
      <c r="E26" s="220">
        <v>0.99</v>
      </c>
      <c r="F26" s="495"/>
      <c r="G26" s="495"/>
      <c r="H26" s="495"/>
      <c r="I26" s="495"/>
      <c r="J26" s="495"/>
      <c r="K26" s="495"/>
      <c r="L26" s="495"/>
      <c r="M26" s="495"/>
      <c r="N26" s="495"/>
      <c r="O26" s="495"/>
      <c r="P26" s="495"/>
      <c r="Q26" s="495"/>
      <c r="R26" s="496"/>
    </row>
    <row r="27" spans="1:21" ht="13" thickBot="1" x14ac:dyDescent="0.3">
      <c r="B27" s="195" t="s">
        <v>56</v>
      </c>
      <c r="C27" s="218"/>
      <c r="D27" s="219"/>
      <c r="E27" s="220">
        <v>0</v>
      </c>
      <c r="F27" s="495"/>
      <c r="G27" s="495"/>
      <c r="H27" s="495"/>
      <c r="I27" s="495"/>
      <c r="J27" s="495"/>
      <c r="K27" s="495"/>
      <c r="L27" s="495"/>
      <c r="M27" s="495"/>
      <c r="N27" s="495"/>
      <c r="O27" s="495"/>
      <c r="P27" s="495"/>
      <c r="Q27" s="495"/>
      <c r="R27" s="496"/>
    </row>
    <row r="28" spans="1:21" ht="13" thickBot="1" x14ac:dyDescent="0.3">
      <c r="B28" s="195" t="s">
        <v>845</v>
      </c>
      <c r="C28" s="218"/>
      <c r="D28" s="219"/>
      <c r="E28" s="603">
        <v>0.99</v>
      </c>
      <c r="F28" s="495"/>
      <c r="G28" s="495"/>
      <c r="H28" s="495"/>
      <c r="I28" s="495"/>
      <c r="J28" s="495"/>
      <c r="K28" s="495"/>
      <c r="L28" s="495"/>
      <c r="M28" s="495"/>
      <c r="N28" s="495"/>
      <c r="O28" s="495"/>
      <c r="P28" s="495"/>
      <c r="Q28" s="495"/>
      <c r="R28" s="496"/>
    </row>
    <row r="29" spans="1:21" x14ac:dyDescent="0.25">
      <c r="A29" s="497" t="s">
        <v>844</v>
      </c>
      <c r="B29" s="102" t="s">
        <v>846</v>
      </c>
      <c r="C29" s="495"/>
      <c r="D29" s="495"/>
      <c r="E29" s="495"/>
      <c r="F29" s="495"/>
      <c r="G29" s="495"/>
      <c r="H29" s="495"/>
      <c r="I29" s="495"/>
      <c r="J29" s="495"/>
      <c r="K29" s="495"/>
      <c r="L29" s="495"/>
      <c r="M29" s="495"/>
      <c r="N29" s="495"/>
      <c r="O29" s="495"/>
      <c r="P29" s="495"/>
      <c r="Q29" s="495"/>
      <c r="R29" s="496"/>
    </row>
    <row r="30" spans="1:21" x14ac:dyDescent="0.25">
      <c r="B30" s="100"/>
      <c r="C30" s="495"/>
      <c r="D30" s="495"/>
      <c r="E30" s="495"/>
      <c r="F30" s="495"/>
      <c r="G30" s="495"/>
      <c r="H30" s="495"/>
      <c r="I30" s="495"/>
      <c r="J30" s="495"/>
      <c r="K30" s="495"/>
      <c r="L30" s="495"/>
      <c r="M30" s="495"/>
      <c r="N30" s="495"/>
      <c r="O30" s="495"/>
      <c r="P30" s="495"/>
      <c r="Q30" s="495"/>
      <c r="R30" s="496"/>
    </row>
    <row r="31" spans="1:21" s="102" customFormat="1" ht="10" x14ac:dyDescent="0.2">
      <c r="A31" s="102">
        <v>1</v>
      </c>
      <c r="B31" s="102" t="s">
        <v>52</v>
      </c>
      <c r="R31" s="230"/>
    </row>
    <row r="32" spans="1:21" s="102" customFormat="1" ht="10" x14ac:dyDescent="0.2">
      <c r="A32" s="231">
        <v>2</v>
      </c>
      <c r="B32" s="623" t="s">
        <v>53</v>
      </c>
      <c r="C32" s="623"/>
      <c r="D32" s="623"/>
      <c r="E32" s="623"/>
      <c r="F32" s="623"/>
      <c r="G32" s="623"/>
      <c r="H32" s="623"/>
      <c r="I32" s="623"/>
      <c r="J32" s="623"/>
      <c r="K32" s="623"/>
      <c r="L32" s="623"/>
      <c r="M32" s="623"/>
      <c r="N32" s="623"/>
      <c r="O32" s="623"/>
      <c r="P32" s="623"/>
      <c r="Q32" s="623"/>
      <c r="R32" s="230"/>
    </row>
    <row r="33" spans="1:18" s="102" customFormat="1" ht="10" x14ac:dyDescent="0.2">
      <c r="A33" s="102">
        <v>3</v>
      </c>
      <c r="B33" s="232" t="s">
        <v>54</v>
      </c>
      <c r="R33" s="230"/>
    </row>
    <row r="34" spans="1:18" s="102" customFormat="1" ht="10" x14ac:dyDescent="0.2">
      <c r="A34" s="102">
        <v>4</v>
      </c>
      <c r="B34" s="102" t="s">
        <v>58</v>
      </c>
      <c r="R34" s="230"/>
    </row>
    <row r="35" spans="1:18" s="102" customFormat="1" ht="23.25" customHeight="1" thickBot="1" x14ac:dyDescent="0.25">
      <c r="A35" s="231">
        <v>5</v>
      </c>
      <c r="B35" s="623" t="s">
        <v>59</v>
      </c>
      <c r="C35" s="623"/>
      <c r="D35" s="623"/>
      <c r="E35" s="623"/>
      <c r="F35" s="623"/>
      <c r="G35" s="623"/>
      <c r="H35" s="623"/>
      <c r="I35" s="623"/>
      <c r="J35" s="623"/>
      <c r="K35" s="623"/>
      <c r="L35" s="623"/>
      <c r="M35" s="623"/>
      <c r="N35" s="623"/>
      <c r="O35" s="623"/>
      <c r="P35" s="623"/>
      <c r="Q35" s="623"/>
      <c r="R35" s="623"/>
    </row>
    <row r="36" spans="1:18" ht="13" thickBot="1" x14ac:dyDescent="0.3">
      <c r="C36" s="624"/>
      <c r="D36" s="626" t="s">
        <v>60</v>
      </c>
      <c r="E36" s="628" t="s">
        <v>61</v>
      </c>
      <c r="F36" s="629"/>
    </row>
    <row r="37" spans="1:18" ht="69.75" customHeight="1" x14ac:dyDescent="0.25">
      <c r="C37" s="625"/>
      <c r="D37" s="627"/>
      <c r="E37" s="222" t="s">
        <v>62</v>
      </c>
      <c r="F37" s="223" t="s">
        <v>63</v>
      </c>
    </row>
    <row r="38" spans="1:18" x14ac:dyDescent="0.25">
      <c r="B38" s="224" t="s">
        <v>36</v>
      </c>
      <c r="C38" s="225" t="s">
        <v>64</v>
      </c>
      <c r="D38" s="478" t="s">
        <v>65</v>
      </c>
      <c r="E38" s="479">
        <v>5.2</v>
      </c>
      <c r="F38" s="208">
        <v>0.01</v>
      </c>
    </row>
    <row r="39" spans="1:18" x14ac:dyDescent="0.25">
      <c r="B39" s="190" t="s">
        <v>66</v>
      </c>
      <c r="C39" s="226" t="s">
        <v>67</v>
      </c>
      <c r="D39" s="478" t="s">
        <v>65</v>
      </c>
      <c r="E39" s="480" t="s">
        <v>37</v>
      </c>
      <c r="F39" s="208">
        <v>0.01</v>
      </c>
    </row>
    <row r="40" spans="1:18" x14ac:dyDescent="0.25">
      <c r="B40" s="190" t="s">
        <v>36</v>
      </c>
      <c r="C40" s="226" t="s">
        <v>68</v>
      </c>
      <c r="D40" s="478" t="s">
        <v>65</v>
      </c>
      <c r="E40" s="479">
        <v>5.2</v>
      </c>
      <c r="F40" s="208">
        <v>0.01</v>
      </c>
    </row>
    <row r="41" spans="1:18" x14ac:dyDescent="0.25">
      <c r="B41" s="190" t="s">
        <v>41</v>
      </c>
      <c r="C41" s="226" t="s">
        <v>69</v>
      </c>
      <c r="D41" s="478" t="s">
        <v>65</v>
      </c>
      <c r="E41" s="479">
        <v>3.2</v>
      </c>
      <c r="F41" s="208">
        <v>0.01</v>
      </c>
    </row>
    <row r="42" spans="1:18" x14ac:dyDescent="0.25">
      <c r="B42" s="190" t="s">
        <v>41</v>
      </c>
      <c r="C42" s="226" t="s">
        <v>70</v>
      </c>
      <c r="D42" s="478" t="s">
        <v>65</v>
      </c>
      <c r="E42" s="479">
        <v>3.2</v>
      </c>
      <c r="F42" s="208">
        <v>0.01</v>
      </c>
    </row>
    <row r="43" spans="1:18" x14ac:dyDescent="0.25">
      <c r="B43" s="190" t="s">
        <v>40</v>
      </c>
      <c r="C43" s="226" t="s">
        <v>71</v>
      </c>
      <c r="D43" s="478" t="s">
        <v>65</v>
      </c>
      <c r="E43" s="480" t="s">
        <v>37</v>
      </c>
      <c r="F43" s="208">
        <v>0.01</v>
      </c>
    </row>
    <row r="44" spans="1:18" x14ac:dyDescent="0.25">
      <c r="B44" s="190" t="s">
        <v>40</v>
      </c>
      <c r="C44" s="226" t="s">
        <v>72</v>
      </c>
      <c r="D44" s="478" t="s">
        <v>65</v>
      </c>
      <c r="E44" s="480" t="s">
        <v>37</v>
      </c>
      <c r="F44" s="208">
        <v>0.01</v>
      </c>
    </row>
    <row r="45" spans="1:18" x14ac:dyDescent="0.25">
      <c r="B45" s="190">
        <v>6010</v>
      </c>
      <c r="C45" s="226" t="s">
        <v>73</v>
      </c>
      <c r="D45" s="478" t="s">
        <v>74</v>
      </c>
      <c r="E45" s="479">
        <v>25.6</v>
      </c>
      <c r="F45" s="208">
        <v>0.02</v>
      </c>
    </row>
    <row r="46" spans="1:18" x14ac:dyDescent="0.25">
      <c r="B46" s="190" t="s">
        <v>38</v>
      </c>
      <c r="C46" s="226" t="s">
        <v>75</v>
      </c>
      <c r="D46" s="478" t="s">
        <v>65</v>
      </c>
      <c r="E46" s="480" t="s">
        <v>37</v>
      </c>
      <c r="F46" s="208">
        <v>0.01</v>
      </c>
    </row>
    <row r="47" spans="1:18" x14ac:dyDescent="0.25">
      <c r="B47" s="190" t="s">
        <v>36</v>
      </c>
      <c r="C47" s="226" t="s">
        <v>76</v>
      </c>
      <c r="D47" s="478" t="s">
        <v>65</v>
      </c>
      <c r="E47" s="479">
        <v>5.2</v>
      </c>
      <c r="F47" s="208">
        <v>0.01</v>
      </c>
    </row>
    <row r="48" spans="1:18" x14ac:dyDescent="0.25">
      <c r="B48" s="190" t="s">
        <v>39</v>
      </c>
      <c r="C48" s="226" t="s">
        <v>77</v>
      </c>
      <c r="D48" s="478" t="s">
        <v>65</v>
      </c>
      <c r="E48" s="480" t="s">
        <v>37</v>
      </c>
      <c r="F48" s="208">
        <v>0.01</v>
      </c>
    </row>
    <row r="49" spans="2:6" x14ac:dyDescent="0.25">
      <c r="B49" s="190">
        <v>6010</v>
      </c>
      <c r="C49" s="226" t="s">
        <v>78</v>
      </c>
      <c r="D49" s="478" t="s">
        <v>74</v>
      </c>
      <c r="E49" s="479">
        <v>25.6</v>
      </c>
      <c r="F49" s="208">
        <v>0.02</v>
      </c>
    </row>
    <row r="50" spans="2:6" x14ac:dyDescent="0.25">
      <c r="B50" s="190">
        <v>6010</v>
      </c>
      <c r="C50" s="226" t="s">
        <v>79</v>
      </c>
      <c r="D50" s="478" t="s">
        <v>74</v>
      </c>
      <c r="E50" s="479">
        <v>25.6</v>
      </c>
      <c r="F50" s="208">
        <v>0.02</v>
      </c>
    </row>
    <row r="51" spans="2:6" x14ac:dyDescent="0.25">
      <c r="B51" s="190">
        <v>6010</v>
      </c>
      <c r="C51" s="226" t="s">
        <v>80</v>
      </c>
      <c r="D51" s="478" t="s">
        <v>74</v>
      </c>
      <c r="E51" s="479">
        <v>25.6</v>
      </c>
      <c r="F51" s="208">
        <v>0.02</v>
      </c>
    </row>
    <row r="52" spans="2:6" x14ac:dyDescent="0.25">
      <c r="B52" s="190">
        <v>6011</v>
      </c>
      <c r="C52" s="226" t="s">
        <v>81</v>
      </c>
      <c r="D52" s="478" t="s">
        <v>74</v>
      </c>
      <c r="E52" s="479">
        <v>38.4</v>
      </c>
      <c r="F52" s="208">
        <v>0.02</v>
      </c>
    </row>
    <row r="53" spans="2:6" x14ac:dyDescent="0.25">
      <c r="B53" s="190" t="s">
        <v>45</v>
      </c>
      <c r="C53" s="226" t="s">
        <v>82</v>
      </c>
      <c r="D53" s="478" t="s">
        <v>74</v>
      </c>
      <c r="E53" s="480" t="s">
        <v>37</v>
      </c>
      <c r="F53" s="208">
        <v>0.02</v>
      </c>
    </row>
    <row r="54" spans="2:6" x14ac:dyDescent="0.25">
      <c r="B54" s="190" t="s">
        <v>49</v>
      </c>
      <c r="C54" s="226" t="s">
        <v>83</v>
      </c>
      <c r="D54" s="478" t="s">
        <v>74</v>
      </c>
      <c r="E54" s="480" t="s">
        <v>37</v>
      </c>
      <c r="F54" s="208">
        <v>0.02</v>
      </c>
    </row>
    <row r="55" spans="2:6" x14ac:dyDescent="0.25">
      <c r="B55" s="190" t="s">
        <v>66</v>
      </c>
      <c r="C55" s="226" t="s">
        <v>84</v>
      </c>
      <c r="D55" s="478" t="s">
        <v>65</v>
      </c>
      <c r="E55" s="480" t="s">
        <v>37</v>
      </c>
      <c r="F55" s="208">
        <v>0.01</v>
      </c>
    </row>
    <row r="56" spans="2:6" x14ac:dyDescent="0.25">
      <c r="B56" s="190" t="s">
        <v>43</v>
      </c>
      <c r="C56" s="226" t="s">
        <v>85</v>
      </c>
      <c r="D56" s="513" t="s">
        <v>74</v>
      </c>
      <c r="E56" s="480" t="s">
        <v>37</v>
      </c>
      <c r="F56" s="514">
        <v>0.02</v>
      </c>
    </row>
    <row r="57" spans="2:6" x14ac:dyDescent="0.25">
      <c r="B57" s="190">
        <v>7018</v>
      </c>
      <c r="C57" s="226" t="s">
        <v>86</v>
      </c>
      <c r="D57" s="478" t="s">
        <v>74</v>
      </c>
      <c r="E57" s="479">
        <v>18.399999999999999</v>
      </c>
      <c r="F57" s="208">
        <v>0.02</v>
      </c>
    </row>
    <row r="58" spans="2:6" x14ac:dyDescent="0.25">
      <c r="B58" s="190">
        <v>7018</v>
      </c>
      <c r="C58" s="226" t="s">
        <v>87</v>
      </c>
      <c r="D58" s="478" t="s">
        <v>74</v>
      </c>
      <c r="E58" s="479">
        <v>18.399999999999999</v>
      </c>
      <c r="F58" s="208">
        <v>0.02</v>
      </c>
    </row>
    <row r="59" spans="2:6" x14ac:dyDescent="0.25">
      <c r="B59" s="190">
        <v>7018</v>
      </c>
      <c r="C59" s="226" t="s">
        <v>88</v>
      </c>
      <c r="D59" s="478" t="s">
        <v>74</v>
      </c>
      <c r="E59" s="479">
        <v>18.399999999999999</v>
      </c>
      <c r="F59" s="208">
        <v>0.02</v>
      </c>
    </row>
    <row r="60" spans="2:6" x14ac:dyDescent="0.25">
      <c r="B60" s="190" t="s">
        <v>48</v>
      </c>
      <c r="C60" s="226" t="s">
        <v>89</v>
      </c>
      <c r="D60" s="478" t="s">
        <v>74</v>
      </c>
      <c r="E60" s="479">
        <v>10</v>
      </c>
      <c r="F60" s="208">
        <v>0.02</v>
      </c>
    </row>
    <row r="61" spans="2:6" x14ac:dyDescent="0.25">
      <c r="B61" s="190" t="s">
        <v>47</v>
      </c>
      <c r="C61" s="226" t="s">
        <v>90</v>
      </c>
      <c r="D61" s="478" t="s">
        <v>74</v>
      </c>
      <c r="E61" s="480" t="s">
        <v>37</v>
      </c>
      <c r="F61" s="208">
        <v>0.02</v>
      </c>
    </row>
    <row r="62" spans="2:6" x14ac:dyDescent="0.25">
      <c r="B62" s="190" t="s">
        <v>66</v>
      </c>
      <c r="C62" s="226" t="s">
        <v>91</v>
      </c>
      <c r="D62" s="478" t="s">
        <v>65</v>
      </c>
      <c r="E62" s="480" t="s">
        <v>37</v>
      </c>
      <c r="F62" s="208">
        <v>0.01</v>
      </c>
    </row>
    <row r="63" spans="2:6" x14ac:dyDescent="0.25">
      <c r="B63" s="190" t="s">
        <v>92</v>
      </c>
      <c r="C63" s="226" t="s">
        <v>92</v>
      </c>
      <c r="D63" s="478" t="s">
        <v>74</v>
      </c>
      <c r="E63" s="480" t="s">
        <v>37</v>
      </c>
      <c r="F63" s="208">
        <v>0.02</v>
      </c>
    </row>
    <row r="64" spans="2:6" ht="13" thickBot="1" x14ac:dyDescent="0.3">
      <c r="B64" s="190"/>
      <c r="C64" s="227" t="s">
        <v>51</v>
      </c>
      <c r="D64" s="383" t="s">
        <v>50</v>
      </c>
      <c r="E64" s="481" t="s">
        <v>37</v>
      </c>
      <c r="F64" s="229">
        <v>0.05</v>
      </c>
    </row>
    <row r="65" spans="1:18" s="102" customFormat="1" ht="10" x14ac:dyDescent="0.2">
      <c r="A65" s="102">
        <v>6</v>
      </c>
      <c r="B65" s="102" t="s">
        <v>93</v>
      </c>
      <c r="R65" s="230"/>
    </row>
    <row r="66" spans="1:18" s="102" customFormat="1" ht="10" x14ac:dyDescent="0.2">
      <c r="B66" s="230" t="s">
        <v>65</v>
      </c>
      <c r="C66" s="230">
        <v>0.5464</v>
      </c>
      <c r="R66" s="230"/>
    </row>
    <row r="67" spans="1:18" s="102" customFormat="1" ht="10" x14ac:dyDescent="0.2">
      <c r="B67" s="230" t="s">
        <v>74</v>
      </c>
      <c r="C67" s="230">
        <v>0.28649999999999998</v>
      </c>
      <c r="R67" s="230"/>
    </row>
    <row r="68" spans="1:18" s="102" customFormat="1" ht="10" x14ac:dyDescent="0.2">
      <c r="B68" s="230" t="s">
        <v>50</v>
      </c>
      <c r="C68" s="230">
        <v>1</v>
      </c>
      <c r="R68" s="230"/>
    </row>
  </sheetData>
  <mergeCells count="9">
    <mergeCell ref="B32:Q32"/>
    <mergeCell ref="C36:C37"/>
    <mergeCell ref="D36:D37"/>
    <mergeCell ref="E36:F36"/>
    <mergeCell ref="C4:R4"/>
    <mergeCell ref="B23:R23"/>
    <mergeCell ref="B6:R6"/>
    <mergeCell ref="B14:R14"/>
    <mergeCell ref="B35:R35"/>
  </mergeCells>
  <pageMargins left="0.7" right="0.7" top="0.75" bottom="0.75" header="0.3" footer="0.3"/>
  <pageSetup orientation="portrait" horizontalDpi="1200" verticalDpi="1200"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53730-62A8-4BA1-AA5D-5218FB2556A5}">
  <sheetPr>
    <tabColor rgb="FFFFFF00"/>
  </sheetPr>
  <dimension ref="A2:V37"/>
  <sheetViews>
    <sheetView topLeftCell="C1" zoomScale="60" zoomScaleNormal="60" workbookViewId="0">
      <selection activeCell="D32" sqref="D32"/>
    </sheetView>
  </sheetViews>
  <sheetFormatPr defaultColWidth="9.1796875" defaultRowHeight="14" x14ac:dyDescent="0.25"/>
  <cols>
    <col min="1" max="1" width="7" style="482" customWidth="1"/>
    <col min="2" max="2" width="18.54296875" style="101" hidden="1" customWidth="1"/>
    <col min="3" max="3" width="23.81640625" style="101" customWidth="1"/>
    <col min="4" max="19" width="10.6328125" style="190" customWidth="1"/>
    <col min="20" max="20" width="10.6328125" style="101" customWidth="1"/>
    <col min="21" max="21" width="2.1796875" style="101" customWidth="1"/>
    <col min="22" max="22" width="64.54296875" style="101" customWidth="1"/>
    <col min="23" max="16384" width="9.1796875" style="101"/>
  </cols>
  <sheetData>
    <row r="2" spans="1:22" x14ac:dyDescent="0.25">
      <c r="C2" s="559" t="s">
        <v>855</v>
      </c>
    </row>
    <row r="3" spans="1:22" ht="7" customHeight="1" x14ac:dyDescent="0.25"/>
    <row r="4" spans="1:22" ht="7" customHeight="1" thickBot="1" x14ac:dyDescent="0.3"/>
    <row r="5" spans="1:22" ht="29.5" customHeight="1" thickBot="1" x14ac:dyDescent="0.3">
      <c r="D5" s="242" t="s">
        <v>2</v>
      </c>
      <c r="E5" s="516" t="s">
        <v>3</v>
      </c>
      <c r="F5" s="243" t="s">
        <v>4</v>
      </c>
      <c r="G5" s="243" t="s">
        <v>5</v>
      </c>
      <c r="H5" s="243" t="s">
        <v>6</v>
      </c>
      <c r="I5" s="243" t="s">
        <v>7</v>
      </c>
      <c r="J5" s="243" t="s">
        <v>8</v>
      </c>
      <c r="K5" s="243" t="s">
        <v>9</v>
      </c>
      <c r="L5" s="243" t="s">
        <v>10</v>
      </c>
      <c r="M5" s="243" t="s">
        <v>11</v>
      </c>
      <c r="N5" s="243" t="s">
        <v>12</v>
      </c>
      <c r="O5" s="243" t="s">
        <v>13</v>
      </c>
      <c r="P5" s="568" t="s">
        <v>163</v>
      </c>
      <c r="Q5" s="243" t="s">
        <v>15</v>
      </c>
      <c r="R5" s="243" t="s">
        <v>16</v>
      </c>
      <c r="S5" s="194" t="s">
        <v>17</v>
      </c>
      <c r="T5" s="500" t="s">
        <v>848</v>
      </c>
      <c r="V5" s="557" t="s">
        <v>890</v>
      </c>
    </row>
    <row r="6" spans="1:22" s="252" customFormat="1" x14ac:dyDescent="0.25">
      <c r="A6" s="483"/>
      <c r="B6" s="224" t="s">
        <v>36</v>
      </c>
      <c r="C6" s="245" t="s">
        <v>64</v>
      </c>
      <c r="D6" s="246"/>
      <c r="E6" s="247"/>
      <c r="F6" s="247"/>
      <c r="G6" s="247"/>
      <c r="H6" s="247"/>
      <c r="I6" s="562">
        <f>AVERAGE(0,0.15)/100</f>
        <v>7.5000000000000002E-4</v>
      </c>
      <c r="J6" s="247"/>
      <c r="K6" s="560">
        <f>AVERAGE(0,0.5%)</f>
        <v>2.5000000000000001E-3</v>
      </c>
      <c r="L6" s="561">
        <f>AVERAGE(1%,2%)</f>
        <v>1.4999999999999999E-2</v>
      </c>
      <c r="M6" s="562">
        <f>AVERAGE(0,0.15%)</f>
        <v>7.5000000000000002E-4</v>
      </c>
      <c r="N6" s="563">
        <f>AVERAGE(0,0.025%)</f>
        <v>1.25E-4</v>
      </c>
      <c r="O6" s="247"/>
      <c r="P6" s="569">
        <f>AVERAGE(0.5%,1.2%)*60.08/28.09</f>
        <v>1.8180135279458883E-2</v>
      </c>
      <c r="Q6" s="562">
        <f>AVERAGE(0,0.03%)</f>
        <v>1.4999999999999999E-4</v>
      </c>
      <c r="R6" s="247"/>
      <c r="S6" s="251"/>
      <c r="T6" s="503">
        <f>AVERAGE(0,0.15%)</f>
        <v>7.5000000000000002E-4</v>
      </c>
      <c r="V6" s="608" t="s">
        <v>857</v>
      </c>
    </row>
    <row r="7" spans="1:22" x14ac:dyDescent="0.25">
      <c r="B7" s="190" t="s">
        <v>66</v>
      </c>
      <c r="C7" s="564" t="s">
        <v>67</v>
      </c>
      <c r="D7" s="254">
        <v>0.06</v>
      </c>
      <c r="E7" s="255"/>
      <c r="F7" s="255"/>
      <c r="G7" s="255"/>
      <c r="H7" s="255">
        <v>0.66</v>
      </c>
      <c r="I7" s="255">
        <v>0.33</v>
      </c>
      <c r="J7" s="255"/>
      <c r="K7" s="255">
        <v>0.34</v>
      </c>
      <c r="L7" s="255">
        <v>0.16</v>
      </c>
      <c r="M7" s="255">
        <v>0.99</v>
      </c>
      <c r="N7" s="255"/>
      <c r="O7" s="255"/>
      <c r="P7" s="255">
        <v>0.04</v>
      </c>
      <c r="Q7" s="255">
        <v>0.04</v>
      </c>
      <c r="R7" s="255"/>
      <c r="S7" s="256"/>
      <c r="T7" s="504">
        <v>0.3</v>
      </c>
      <c r="V7" s="609" t="s">
        <v>858</v>
      </c>
    </row>
    <row r="8" spans="1:22" x14ac:dyDescent="0.25">
      <c r="B8" s="190" t="s">
        <v>36</v>
      </c>
      <c r="C8" s="253" t="s">
        <v>68</v>
      </c>
      <c r="D8" s="254"/>
      <c r="E8" s="255"/>
      <c r="F8" s="255"/>
      <c r="G8" s="255"/>
      <c r="H8" s="255"/>
      <c r="I8" s="255"/>
      <c r="J8" s="255"/>
      <c r="K8" s="255"/>
      <c r="L8" s="565">
        <f>AVERAGE(1,5)/100</f>
        <v>0.03</v>
      </c>
      <c r="M8" s="255"/>
      <c r="N8" s="255"/>
      <c r="O8" s="255"/>
      <c r="P8" s="570">
        <f>AVERAGE(0.1%,1%)*60.08/28.09</f>
        <v>1.1763616945532216E-2</v>
      </c>
      <c r="Q8" s="255"/>
      <c r="R8" s="255"/>
      <c r="S8" s="256"/>
      <c r="T8" s="504"/>
      <c r="V8" s="609" t="s">
        <v>856</v>
      </c>
    </row>
    <row r="9" spans="1:22" x14ac:dyDescent="0.25">
      <c r="B9" s="190" t="s">
        <v>41</v>
      </c>
      <c r="C9" s="571" t="s">
        <v>69</v>
      </c>
      <c r="D9" s="254"/>
      <c r="E9" s="570"/>
      <c r="F9" s="255"/>
      <c r="G9" s="255"/>
      <c r="H9" s="255"/>
      <c r="I9" s="565">
        <f>AVERAGE(18%,20%)</f>
        <v>0.19</v>
      </c>
      <c r="J9" s="255"/>
      <c r="K9" s="258">
        <v>7.4999999999999997E-3</v>
      </c>
      <c r="L9" s="567">
        <f>AVERAGE(1%,2.5%)</f>
        <v>1.7500000000000002E-2</v>
      </c>
      <c r="M9" s="565">
        <f>AVERAGE(11%,14%)</f>
        <v>0.125</v>
      </c>
      <c r="N9" s="258">
        <v>2.9999999999999997E-4</v>
      </c>
      <c r="O9" s="255"/>
      <c r="P9" s="570">
        <f>AVERAGE(0.3%,0.65%)*60.08/28.09</f>
        <v>1.0159487362050553E-2</v>
      </c>
      <c r="Q9" s="255"/>
      <c r="R9" s="255"/>
      <c r="S9" s="256"/>
      <c r="T9" s="506">
        <f>AVERAGE(2,3)/100</f>
        <v>2.5000000000000001E-2</v>
      </c>
      <c r="V9" s="609" t="s">
        <v>860</v>
      </c>
    </row>
    <row r="10" spans="1:22" x14ac:dyDescent="0.25">
      <c r="B10" s="190" t="s">
        <v>41</v>
      </c>
      <c r="C10" s="571" t="s">
        <v>70</v>
      </c>
      <c r="D10" s="254"/>
      <c r="E10" s="255">
        <v>0.01</v>
      </c>
      <c r="F10" s="255"/>
      <c r="G10" s="255"/>
      <c r="H10" s="255"/>
      <c r="I10" s="255">
        <v>0.5</v>
      </c>
      <c r="J10" s="255"/>
      <c r="K10" s="255">
        <v>0.01</v>
      </c>
      <c r="L10" s="255">
        <v>0.05</v>
      </c>
      <c r="M10" s="255">
        <v>0.14000000000000001</v>
      </c>
      <c r="N10" s="258">
        <v>2.9999999999999997E-4</v>
      </c>
      <c r="O10" s="255"/>
      <c r="P10" s="258">
        <v>6.4999999999999997E-3</v>
      </c>
      <c r="Q10" s="255"/>
      <c r="R10" s="255"/>
      <c r="S10" s="256">
        <v>0.01</v>
      </c>
      <c r="T10" s="504"/>
      <c r="V10" s="609" t="s">
        <v>861</v>
      </c>
    </row>
    <row r="11" spans="1:22" x14ac:dyDescent="0.25">
      <c r="B11" s="190" t="s">
        <v>40</v>
      </c>
      <c r="C11" s="571" t="s">
        <v>71</v>
      </c>
      <c r="D11" s="254"/>
      <c r="E11" s="255"/>
      <c r="F11" s="255"/>
      <c r="G11" s="255"/>
      <c r="H11" s="255"/>
      <c r="I11" s="255"/>
      <c r="J11" s="255"/>
      <c r="K11" s="255"/>
      <c r="L11" s="255">
        <v>0.01</v>
      </c>
      <c r="M11" s="255"/>
      <c r="N11" s="255"/>
      <c r="O11" s="255"/>
      <c r="P11" s="258">
        <v>6.4999999999999997E-3</v>
      </c>
      <c r="Q11" s="255"/>
      <c r="R11" s="255"/>
      <c r="S11" s="256"/>
      <c r="T11" s="504"/>
      <c r="V11" s="609" t="s">
        <v>861</v>
      </c>
    </row>
    <row r="12" spans="1:22" x14ac:dyDescent="0.25">
      <c r="B12" s="190" t="s">
        <v>40</v>
      </c>
      <c r="C12" s="253" t="s">
        <v>72</v>
      </c>
      <c r="D12" s="254"/>
      <c r="E12" s="547"/>
      <c r="F12" s="255"/>
      <c r="G12" s="255"/>
      <c r="H12" s="255"/>
      <c r="I12" s="565">
        <f>AVERAGE(23%,25%)</f>
        <v>0.24</v>
      </c>
      <c r="J12" s="255"/>
      <c r="K12" s="258">
        <v>7.4999999999999997E-3</v>
      </c>
      <c r="L12" s="567">
        <f>AVERAGE(1%,2.5%)</f>
        <v>1.7500000000000002E-2</v>
      </c>
      <c r="M12" s="565">
        <f>AVERAGE(12%,14%)</f>
        <v>0.13</v>
      </c>
      <c r="N12" s="258">
        <v>2.9999999999999997E-4</v>
      </c>
      <c r="O12" s="255"/>
      <c r="P12" s="570">
        <f>AVERAGE(0.3%,0.65%)*60.08/28.09</f>
        <v>1.0159487362050553E-2</v>
      </c>
      <c r="Q12" s="255"/>
      <c r="R12" s="255"/>
      <c r="S12" s="256"/>
      <c r="T12" s="505">
        <v>7.4999999999999997E-3</v>
      </c>
      <c r="V12" s="609" t="s">
        <v>863</v>
      </c>
    </row>
    <row r="13" spans="1:22" x14ac:dyDescent="0.25">
      <c r="B13" s="190">
        <v>6010</v>
      </c>
      <c r="C13" s="253" t="s">
        <v>73</v>
      </c>
      <c r="D13" s="254"/>
      <c r="E13" s="255"/>
      <c r="F13" s="255"/>
      <c r="G13" s="255"/>
      <c r="H13" s="255"/>
      <c r="I13" s="255"/>
      <c r="J13" s="255"/>
      <c r="K13" s="255"/>
      <c r="L13" s="566">
        <f>AVERAGE(1%,5%)</f>
        <v>3.0000000000000002E-2</v>
      </c>
      <c r="M13" s="255"/>
      <c r="N13" s="255"/>
      <c r="O13" s="255"/>
      <c r="P13" s="570">
        <f>AVERAGE(1%,5%)*60.08/122.06</f>
        <v>1.476650827461904E-2</v>
      </c>
      <c r="Q13" s="255"/>
      <c r="R13" s="255"/>
      <c r="S13" s="256"/>
      <c r="T13" s="506"/>
      <c r="V13" s="609" t="s">
        <v>864</v>
      </c>
    </row>
    <row r="14" spans="1:22" x14ac:dyDescent="0.25">
      <c r="B14" s="190" t="s">
        <v>38</v>
      </c>
      <c r="C14" s="253" t="s">
        <v>75</v>
      </c>
      <c r="D14" s="254"/>
      <c r="E14" s="255"/>
      <c r="F14" s="255"/>
      <c r="G14" s="255"/>
      <c r="H14" s="255"/>
      <c r="I14" s="567">
        <f>AVERAGE(1.2%,1.5%)</f>
        <v>1.35E-2</v>
      </c>
      <c r="J14" s="255"/>
      <c r="K14" s="512">
        <v>5.0000000000000001E-3</v>
      </c>
      <c r="L14" s="567">
        <f>AVERAGE(0.4%,0.7%)</f>
        <v>5.4999999999999997E-3</v>
      </c>
      <c r="M14" s="512">
        <v>6.0000000000000001E-3</v>
      </c>
      <c r="N14" s="512">
        <v>4.0000000000000001E-3</v>
      </c>
      <c r="O14" s="255"/>
      <c r="P14" s="570">
        <f>AVERAGE(0.4%,0.7%)*60.08/28.09</f>
        <v>1.1763616945532216E-2</v>
      </c>
      <c r="Q14" s="512"/>
      <c r="R14" s="255"/>
      <c r="S14" s="256"/>
      <c r="T14" s="505">
        <f>AVERAGE(0.4%,0.65%)</f>
        <v>5.2500000000000003E-3</v>
      </c>
      <c r="V14" s="609" t="s">
        <v>867</v>
      </c>
    </row>
    <row r="15" spans="1:22" x14ac:dyDescent="0.25">
      <c r="B15" s="190" t="s">
        <v>36</v>
      </c>
      <c r="C15" s="571" t="s">
        <v>76</v>
      </c>
      <c r="D15" s="254"/>
      <c r="E15" s="255"/>
      <c r="F15" s="255"/>
      <c r="G15" s="255"/>
      <c r="H15" s="255"/>
      <c r="I15" s="562">
        <f>AVERAGE(0,0.15)/100</f>
        <v>7.5000000000000002E-4</v>
      </c>
      <c r="J15" s="247"/>
      <c r="K15" s="560">
        <f>AVERAGE(0,0.5%)</f>
        <v>2.5000000000000001E-3</v>
      </c>
      <c r="L15" s="561">
        <f>AVERAGE(1%,2%)</f>
        <v>1.4999999999999999E-2</v>
      </c>
      <c r="M15" s="562">
        <f>AVERAGE(0,0.15%)</f>
        <v>7.5000000000000002E-4</v>
      </c>
      <c r="N15" s="563">
        <f>AVERAGE(0,0.025%)</f>
        <v>1.25E-4</v>
      </c>
      <c r="O15" s="247"/>
      <c r="P15" s="569">
        <f>AVERAGE(0.5%,1.2%)*60.08/28.09</f>
        <v>1.8180135279458883E-2</v>
      </c>
      <c r="Q15" s="562">
        <f>AVERAGE(0,0.03%)</f>
        <v>1.4999999999999999E-4</v>
      </c>
      <c r="R15" s="247"/>
      <c r="S15" s="251"/>
      <c r="T15" s="503">
        <f>AVERAGE(0,0.15%)</f>
        <v>7.5000000000000002E-4</v>
      </c>
      <c r="V15" s="608" t="s">
        <v>857</v>
      </c>
    </row>
    <row r="16" spans="1:22" x14ac:dyDescent="0.25">
      <c r="B16" s="190" t="s">
        <v>39</v>
      </c>
      <c r="C16" s="253" t="s">
        <v>77</v>
      </c>
      <c r="D16" s="254"/>
      <c r="E16" s="255"/>
      <c r="F16" s="255"/>
      <c r="G16" s="255"/>
      <c r="H16" s="255"/>
      <c r="I16" s="567">
        <f>AVERAGE(2.3%,2.7%)</f>
        <v>2.5000000000000001E-2</v>
      </c>
      <c r="J16" s="255"/>
      <c r="K16" s="512">
        <v>5.0000000000000001E-3</v>
      </c>
      <c r="L16" s="567">
        <f>AVERAGE(0.4%,0.7%)</f>
        <v>5.4999999999999997E-3</v>
      </c>
      <c r="M16" s="512">
        <v>6.0000000000000001E-3</v>
      </c>
      <c r="N16" s="512">
        <v>4.0000000000000001E-3</v>
      </c>
      <c r="O16" s="255"/>
      <c r="P16" s="570">
        <f>AVERAGE(0.4%,0.7%)*60.08/28.09</f>
        <v>1.1763616945532216E-2</v>
      </c>
      <c r="Q16" s="255"/>
      <c r="R16" s="255"/>
      <c r="S16" s="256"/>
      <c r="T16" s="505">
        <f>AVERAGE(0.9%,1.2%)</f>
        <v>1.0500000000000001E-2</v>
      </c>
      <c r="V16" s="609" t="s">
        <v>867</v>
      </c>
    </row>
    <row r="17" spans="2:22" x14ac:dyDescent="0.25">
      <c r="B17" s="190">
        <v>6010</v>
      </c>
      <c r="C17" s="253" t="s">
        <v>78</v>
      </c>
      <c r="D17" s="254"/>
      <c r="E17" s="255"/>
      <c r="F17" s="255"/>
      <c r="G17" s="255"/>
      <c r="H17" s="255"/>
      <c r="I17" s="255"/>
      <c r="J17" s="255"/>
      <c r="K17" s="255"/>
      <c r="L17" s="566">
        <f>AVERAGE(1%,5%)</f>
        <v>3.0000000000000002E-2</v>
      </c>
      <c r="M17" s="255"/>
      <c r="N17" s="255"/>
      <c r="O17" s="255"/>
      <c r="P17" s="570">
        <f>AVERAGE(1%,5%)*60.08/122.06</f>
        <v>1.476650827461904E-2</v>
      </c>
      <c r="Q17" s="255"/>
      <c r="R17" s="255"/>
      <c r="S17" s="256"/>
      <c r="T17" s="504"/>
      <c r="V17" s="609" t="s">
        <v>865</v>
      </c>
    </row>
    <row r="18" spans="2:22" x14ac:dyDescent="0.25">
      <c r="B18" s="190">
        <v>6010</v>
      </c>
      <c r="C18" s="253" t="s">
        <v>79</v>
      </c>
      <c r="D18" s="254"/>
      <c r="E18" s="255"/>
      <c r="F18" s="255"/>
      <c r="G18" s="255"/>
      <c r="H18" s="255"/>
      <c r="I18" s="255"/>
      <c r="J18" s="255"/>
      <c r="K18" s="255"/>
      <c r="L18" s="567">
        <f>AVERAGE(0.1%,1%)</f>
        <v>5.4999999999999997E-3</v>
      </c>
      <c r="M18" s="255"/>
      <c r="N18" s="255"/>
      <c r="O18" s="255"/>
      <c r="P18" s="570">
        <f>AVERAGE(1%,5%)*60.08/122.06</f>
        <v>1.476650827461904E-2</v>
      </c>
      <c r="Q18" s="255"/>
      <c r="R18" s="255"/>
      <c r="S18" s="256"/>
      <c r="T18" s="504"/>
      <c r="V18" s="609" t="s">
        <v>866</v>
      </c>
    </row>
    <row r="19" spans="2:22" x14ac:dyDescent="0.25">
      <c r="B19" s="190">
        <v>6010</v>
      </c>
      <c r="C19" s="253" t="s">
        <v>80</v>
      </c>
      <c r="D19" s="254"/>
      <c r="E19" s="255"/>
      <c r="F19" s="255"/>
      <c r="G19" s="255"/>
      <c r="H19" s="255"/>
      <c r="I19" s="255"/>
      <c r="J19" s="255"/>
      <c r="K19" s="255"/>
      <c r="L19" s="566">
        <f>AVERAGE(1%,5%)</f>
        <v>3.0000000000000002E-2</v>
      </c>
      <c r="M19" s="255"/>
      <c r="N19" s="255"/>
      <c r="O19" s="255"/>
      <c r="P19" s="570">
        <f>AVERAGE(1%,5%)*60.08/122.06</f>
        <v>1.476650827461904E-2</v>
      </c>
      <c r="Q19" s="255"/>
      <c r="R19" s="255"/>
      <c r="S19" s="256"/>
      <c r="T19" s="504"/>
      <c r="V19" s="609" t="s">
        <v>864</v>
      </c>
    </row>
    <row r="20" spans="2:22" x14ac:dyDescent="0.25">
      <c r="B20" s="190">
        <v>6011</v>
      </c>
      <c r="C20" s="253" t="s">
        <v>81</v>
      </c>
      <c r="D20" s="254"/>
      <c r="E20" s="255"/>
      <c r="F20" s="255"/>
      <c r="G20" s="255"/>
      <c r="H20" s="255"/>
      <c r="I20" s="255"/>
      <c r="J20" s="255"/>
      <c r="K20" s="255"/>
      <c r="L20" s="565">
        <f>AVERAGE(1%,5%)</f>
        <v>3.0000000000000002E-2</v>
      </c>
      <c r="M20" s="255"/>
      <c r="N20" s="255"/>
      <c r="O20" s="255"/>
      <c r="P20" s="567">
        <f>AVERAGE(0.1%,1%)</f>
        <v>5.4999999999999997E-3</v>
      </c>
      <c r="Q20" s="255"/>
      <c r="R20" s="255"/>
      <c r="S20" s="256"/>
      <c r="T20" s="504"/>
      <c r="V20" s="609" t="s">
        <v>868</v>
      </c>
    </row>
    <row r="21" spans="2:22" x14ac:dyDescent="0.25">
      <c r="B21" s="190" t="s">
        <v>45</v>
      </c>
      <c r="C21" s="253" t="s">
        <v>82</v>
      </c>
      <c r="D21" s="254"/>
      <c r="E21" s="570">
        <f>AVERAGE(0.1%,1%)*26.98*2/101.96</f>
        <v>2.9107493134562573E-3</v>
      </c>
      <c r="F21" s="255"/>
      <c r="G21" s="255"/>
      <c r="H21" s="255"/>
      <c r="I21" s="565">
        <f>AVERAGE(20,50)/100</f>
        <v>0.35</v>
      </c>
      <c r="J21" s="255"/>
      <c r="K21" s="255"/>
      <c r="L21" s="565">
        <f>AVERAGE(1%,5%)</f>
        <v>3.0000000000000002E-2</v>
      </c>
      <c r="M21" s="567">
        <f>AVERAGE(0.1%,1%)</f>
        <v>5.4999999999999997E-3</v>
      </c>
      <c r="N21" s="255"/>
      <c r="O21" s="255"/>
      <c r="P21" s="570">
        <f>AVERAGE(0.1%,1%)*60.08/28.09</f>
        <v>1.1763616945532216E-2</v>
      </c>
      <c r="Q21" s="567">
        <f>AVERAGE(0.1%,1%)</f>
        <v>5.4999999999999997E-3</v>
      </c>
      <c r="R21" s="255"/>
      <c r="S21" s="256"/>
      <c r="T21" s="504">
        <f>AVERAGE(1%,5%)</f>
        <v>3.0000000000000002E-2</v>
      </c>
      <c r="V21" s="609" t="s">
        <v>869</v>
      </c>
    </row>
    <row r="22" spans="2:22" x14ac:dyDescent="0.25">
      <c r="B22" s="190" t="s">
        <v>49</v>
      </c>
      <c r="C22" s="253" t="s">
        <v>83</v>
      </c>
      <c r="D22" s="572">
        <f>AVERAGE(1%,5%)*26.98/306.26</f>
        <v>2.6428524782864237E-3</v>
      </c>
      <c r="E22" s="255"/>
      <c r="F22" s="255"/>
      <c r="G22" s="255"/>
      <c r="H22" s="255"/>
      <c r="I22" s="565">
        <f>AVERAGE(15%,40%)</f>
        <v>0.27500000000000002</v>
      </c>
      <c r="J22" s="255"/>
      <c r="K22" s="255"/>
      <c r="L22" s="567">
        <f>AVERAGE(0.1%,1%)</f>
        <v>5.4999999999999997E-3</v>
      </c>
      <c r="M22" s="565">
        <f>AVERAGE(7%,13%)</f>
        <v>0.1</v>
      </c>
      <c r="N22" s="255"/>
      <c r="O22" s="255"/>
      <c r="P22" s="255">
        <v>0.01</v>
      </c>
      <c r="Q22" s="255"/>
      <c r="R22" s="255"/>
      <c r="S22" s="506">
        <f>AVERAGE(1%,5%)*(2*19/78.1)</f>
        <v>1.4596670934699105E-2</v>
      </c>
      <c r="T22" s="570">
        <f>AVERAGE(0.1%,1%)</f>
        <v>5.4999999999999997E-3</v>
      </c>
      <c r="V22" s="609" t="s">
        <v>870</v>
      </c>
    </row>
    <row r="23" spans="2:22" x14ac:dyDescent="0.25">
      <c r="B23" s="190" t="s">
        <v>66</v>
      </c>
      <c r="C23" s="253" t="s">
        <v>84</v>
      </c>
      <c r="D23" s="254">
        <v>0.06</v>
      </c>
      <c r="E23" s="255"/>
      <c r="F23" s="255"/>
      <c r="G23" s="255"/>
      <c r="H23" s="255">
        <v>0.66</v>
      </c>
      <c r="I23" s="255">
        <v>0.33</v>
      </c>
      <c r="J23" s="255"/>
      <c r="K23" s="255">
        <v>0.34</v>
      </c>
      <c r="L23" s="255">
        <v>0.16</v>
      </c>
      <c r="M23" s="255">
        <v>0.99</v>
      </c>
      <c r="N23" s="255"/>
      <c r="O23" s="255"/>
      <c r="P23" s="255">
        <v>0.04</v>
      </c>
      <c r="Q23" s="255">
        <v>0.04</v>
      </c>
      <c r="R23" s="255"/>
      <c r="S23" s="256"/>
      <c r="T23" s="504"/>
      <c r="V23" s="609" t="s">
        <v>858</v>
      </c>
    </row>
    <row r="24" spans="2:22" x14ac:dyDescent="0.25">
      <c r="B24" s="190" t="s">
        <v>43</v>
      </c>
      <c r="C24" s="253" t="s">
        <v>85</v>
      </c>
      <c r="D24" s="591">
        <f>AVERAGE(1%,5%)</f>
        <v>3.0000000000000002E-2</v>
      </c>
      <c r="E24" s="255"/>
      <c r="F24" s="255"/>
      <c r="G24" s="255"/>
      <c r="H24" s="255"/>
      <c r="I24" s="255"/>
      <c r="J24" s="255"/>
      <c r="K24" s="255"/>
      <c r="L24" s="255"/>
      <c r="M24" s="565">
        <f>AVERAGE(15%,40%)</f>
        <v>0.27500000000000002</v>
      </c>
      <c r="N24" s="255"/>
      <c r="O24" s="255"/>
      <c r="P24" s="255"/>
      <c r="Q24" s="255"/>
      <c r="R24" s="257"/>
      <c r="S24" s="506">
        <f>AVERAGE(1%,5%)*(2*19/78.1)</f>
        <v>1.4596670934699105E-2</v>
      </c>
      <c r="T24" s="504"/>
      <c r="V24" s="609" t="s">
        <v>871</v>
      </c>
    </row>
    <row r="25" spans="2:22" x14ac:dyDescent="0.25">
      <c r="B25" s="190">
        <v>7018</v>
      </c>
      <c r="C25" s="253" t="s">
        <v>86</v>
      </c>
      <c r="D25" s="254"/>
      <c r="E25" s="255"/>
      <c r="F25" s="255"/>
      <c r="G25" s="255"/>
      <c r="H25" s="255"/>
      <c r="I25" s="255"/>
      <c r="J25" s="255"/>
      <c r="K25" s="255"/>
      <c r="L25" s="567">
        <f>AVERAGE(0.1%,1%)</f>
        <v>5.4999999999999997E-3</v>
      </c>
      <c r="M25" s="255"/>
      <c r="N25" s="255"/>
      <c r="O25" s="255"/>
      <c r="P25" s="567">
        <f>AVERAGE(0.1%,1%)</f>
        <v>5.4999999999999997E-3</v>
      </c>
      <c r="Q25" s="255"/>
      <c r="R25" s="255"/>
      <c r="S25" s="592">
        <f>AVERAGE(1%,5%)</f>
        <v>3.0000000000000002E-2</v>
      </c>
      <c r="T25" s="505">
        <f>AVERAGE(0.1%,1%)</f>
        <v>5.4999999999999997E-3</v>
      </c>
      <c r="V25" s="609" t="s">
        <v>872</v>
      </c>
    </row>
    <row r="26" spans="2:22" x14ac:dyDescent="0.25">
      <c r="B26" s="190">
        <v>7018</v>
      </c>
      <c r="C26" s="253" t="s">
        <v>87</v>
      </c>
      <c r="D26" s="254"/>
      <c r="E26" s="255"/>
      <c r="F26" s="255"/>
      <c r="G26" s="255"/>
      <c r="H26" s="255"/>
      <c r="I26" s="255"/>
      <c r="J26" s="255"/>
      <c r="K26" s="255"/>
      <c r="L26" s="565">
        <f>AVERAGE(1%,5%)</f>
        <v>3.0000000000000002E-2</v>
      </c>
      <c r="M26" s="255"/>
      <c r="N26" s="255"/>
      <c r="O26" s="255"/>
      <c r="P26" s="567">
        <f>AVERAGE(0.1%,1%)</f>
        <v>5.4999999999999997E-3</v>
      </c>
      <c r="Q26" s="255"/>
      <c r="R26" s="255"/>
      <c r="S26" s="592">
        <f>AVERAGE(1%,5%)</f>
        <v>3.0000000000000002E-2</v>
      </c>
      <c r="T26" s="504"/>
      <c r="V26" s="609" t="s">
        <v>873</v>
      </c>
    </row>
    <row r="27" spans="2:22" x14ac:dyDescent="0.25">
      <c r="B27" s="190">
        <v>7018</v>
      </c>
      <c r="C27" s="253" t="s">
        <v>88</v>
      </c>
      <c r="D27" s="254"/>
      <c r="E27" s="255"/>
      <c r="F27" s="255"/>
      <c r="G27" s="255"/>
      <c r="H27" s="255"/>
      <c r="I27" s="255"/>
      <c r="J27" s="255"/>
      <c r="K27" s="255"/>
      <c r="L27" s="565">
        <f>AVERAGE(1%,5%)</f>
        <v>3.0000000000000002E-2</v>
      </c>
      <c r="M27" s="255"/>
      <c r="N27" s="255"/>
      <c r="O27" s="255"/>
      <c r="P27" s="567">
        <f>AVERAGE(0.1%,1%)</f>
        <v>5.4999999999999997E-3</v>
      </c>
      <c r="Q27" s="255"/>
      <c r="R27" s="255"/>
      <c r="S27" s="506">
        <f>AVERAGE(1%,5%)</f>
        <v>3.0000000000000002E-2</v>
      </c>
      <c r="T27" s="504"/>
      <c r="V27" s="609" t="s">
        <v>874</v>
      </c>
    </row>
    <row r="28" spans="2:22" x14ac:dyDescent="0.25">
      <c r="B28" s="190" t="s">
        <v>48</v>
      </c>
      <c r="C28" s="571" t="s">
        <v>89</v>
      </c>
      <c r="D28" s="254"/>
      <c r="E28" s="547">
        <f>AVERAGE(0,5%)*26.98*2/101.96</f>
        <v>1.3230678697528446E-2</v>
      </c>
      <c r="F28" s="255"/>
      <c r="G28" s="255"/>
      <c r="H28" s="255"/>
      <c r="I28" s="593">
        <f>5%+0.75*AVERAGE(20%,26%)</f>
        <v>0.22250000000000003</v>
      </c>
      <c r="J28" s="255"/>
      <c r="K28" s="258"/>
      <c r="L28" s="593">
        <f>5%+0.75*2%</f>
        <v>6.5000000000000002E-2</v>
      </c>
      <c r="M28" s="593">
        <f>1%+0.75*AVERAGE(10%, 21%)</f>
        <v>0.12625</v>
      </c>
      <c r="N28" s="255"/>
      <c r="O28" s="255"/>
      <c r="P28" s="570">
        <f>0.5%*60.08/28.09</f>
        <v>1.0694197223211107E-2</v>
      </c>
      <c r="Q28" s="255"/>
      <c r="R28" s="255"/>
      <c r="S28" s="256">
        <v>0.05</v>
      </c>
      <c r="T28" s="506">
        <f>(AVERAGE(0,5)+2.5)/100</f>
        <v>0.05</v>
      </c>
      <c r="V28" s="609" t="s">
        <v>859</v>
      </c>
    </row>
    <row r="29" spans="2:22" x14ac:dyDescent="0.25">
      <c r="B29" s="190" t="s">
        <v>47</v>
      </c>
      <c r="C29" s="253" t="s">
        <v>90</v>
      </c>
      <c r="D29" s="254"/>
      <c r="E29" s="570">
        <f>AVERAGE(0.1%,1%)*26.98*2/101.96</f>
        <v>2.9107493134562573E-3</v>
      </c>
      <c r="F29" s="255"/>
      <c r="G29" s="255"/>
      <c r="H29" s="255"/>
      <c r="I29" s="565">
        <f>AVERAGE(20%,50%)</f>
        <v>0.35</v>
      </c>
      <c r="J29" s="255"/>
      <c r="K29" s="592">
        <f>AVERAGE(0.1%,1%)</f>
        <v>5.4999999999999997E-3</v>
      </c>
      <c r="L29" s="565">
        <f>AVERAGE(1%,5%)</f>
        <v>3.0000000000000002E-2</v>
      </c>
      <c r="M29" s="566">
        <f>AVERAGE(5%,10%)</f>
        <v>7.5000000000000011E-2</v>
      </c>
      <c r="N29" s="255"/>
      <c r="O29" s="255"/>
      <c r="P29" s="512">
        <f>AVERAGE(1%,5%)</f>
        <v>3.0000000000000002E-2</v>
      </c>
      <c r="Q29" s="255"/>
      <c r="R29" s="255"/>
      <c r="S29" s="592">
        <f>AVERAGE(0.1%,1%)</f>
        <v>5.4999999999999997E-3</v>
      </c>
      <c r="T29" s="504">
        <f>AVERAGE(0.1%,1%)</f>
        <v>5.4999999999999997E-3</v>
      </c>
      <c r="V29" s="609" t="s">
        <v>862</v>
      </c>
    </row>
    <row r="30" spans="2:22" hidden="1" x14ac:dyDescent="0.25">
      <c r="B30" s="190"/>
      <c r="C30" s="259" t="s">
        <v>157</v>
      </c>
      <c r="D30" s="260"/>
      <c r="E30" s="261"/>
      <c r="F30" s="261"/>
      <c r="G30" s="261"/>
      <c r="H30" s="261">
        <v>0.01</v>
      </c>
      <c r="I30" s="261">
        <v>0.5</v>
      </c>
      <c r="J30" s="261"/>
      <c r="K30" s="261">
        <v>0.01</v>
      </c>
      <c r="L30" s="261">
        <v>0.05</v>
      </c>
      <c r="M30" s="261">
        <v>0.2</v>
      </c>
      <c r="N30" s="261"/>
      <c r="O30" s="261"/>
      <c r="P30" s="261"/>
      <c r="Q30" s="261">
        <v>0.01</v>
      </c>
      <c r="R30" s="261"/>
      <c r="S30" s="262"/>
      <c r="T30" s="507">
        <v>0.01</v>
      </c>
      <c r="V30" s="609"/>
    </row>
    <row r="31" spans="2:22" x14ac:dyDescent="0.25">
      <c r="B31" s="190" t="s">
        <v>66</v>
      </c>
      <c r="C31" s="564" t="s">
        <v>91</v>
      </c>
      <c r="D31" s="254">
        <v>0.06</v>
      </c>
      <c r="E31" s="255"/>
      <c r="F31" s="255"/>
      <c r="G31" s="255"/>
      <c r="H31" s="255">
        <v>0.66</v>
      </c>
      <c r="I31" s="255">
        <v>0.33</v>
      </c>
      <c r="J31" s="255"/>
      <c r="K31" s="255">
        <v>0.34</v>
      </c>
      <c r="L31" s="255">
        <v>0.16</v>
      </c>
      <c r="M31" s="255">
        <v>0.99</v>
      </c>
      <c r="N31" s="255"/>
      <c r="O31" s="255"/>
      <c r="P31" s="255">
        <v>0.04</v>
      </c>
      <c r="Q31" s="255">
        <v>0.04</v>
      </c>
      <c r="R31" s="255"/>
      <c r="S31" s="256"/>
      <c r="T31" s="504"/>
      <c r="V31" s="609" t="s">
        <v>858</v>
      </c>
    </row>
    <row r="32" spans="2:22" x14ac:dyDescent="0.25">
      <c r="B32" s="190" t="s">
        <v>46</v>
      </c>
      <c r="C32" s="253" t="s">
        <v>164</v>
      </c>
      <c r="D32" s="567">
        <f>AVERAGE(0.1%,1%)</f>
        <v>5.4999999999999997E-3</v>
      </c>
      <c r="E32" s="255"/>
      <c r="F32" s="255"/>
      <c r="G32" s="255"/>
      <c r="H32" s="567">
        <f>AVERAGE(0.1%,1%)</f>
        <v>5.4999999999999997E-3</v>
      </c>
      <c r="I32" s="565">
        <f>AVERAGE(10%,20%)</f>
        <v>0.15000000000000002</v>
      </c>
      <c r="J32" s="255"/>
      <c r="K32" s="567">
        <f>AVERAGE(0.1%,1%)</f>
        <v>5.4999999999999997E-3</v>
      </c>
      <c r="L32" s="567">
        <f>AVERAGE(0.1%,1%)</f>
        <v>5.4999999999999997E-3</v>
      </c>
      <c r="M32" s="565">
        <f>AVERAGE(20%,50%)</f>
        <v>0.35</v>
      </c>
      <c r="N32" s="255"/>
      <c r="O32" s="255"/>
      <c r="P32" s="567">
        <f>AVERAGE(0.1%,1%)</f>
        <v>5.4999999999999997E-3</v>
      </c>
      <c r="Q32" s="567">
        <f>AVERAGE(0.1%,1%)</f>
        <v>5.4999999999999997E-3</v>
      </c>
      <c r="R32" s="567">
        <f>AVERAGE(0.1%,1%)</f>
        <v>5.4999999999999997E-3</v>
      </c>
      <c r="S32" s="506">
        <f>AVERAGE(1%,5%)*(2*19/78.1)+AVERAGE(1%,5%)*(6*19)/209.9</f>
        <v>3.0890144017119307E-2</v>
      </c>
      <c r="T32" s="506">
        <f>AVERAGE(5%,10%)</f>
        <v>7.5000000000000011E-2</v>
      </c>
      <c r="V32" s="609" t="s">
        <v>875</v>
      </c>
    </row>
    <row r="33" spans="1:22" ht="14.5" thickBot="1" x14ac:dyDescent="0.3">
      <c r="B33" s="190" t="s">
        <v>51</v>
      </c>
      <c r="C33" s="263" t="s">
        <v>165</v>
      </c>
      <c r="D33" s="264"/>
      <c r="E33" s="265"/>
      <c r="F33" s="265"/>
      <c r="G33" s="265"/>
      <c r="H33" s="265"/>
      <c r="I33" s="265"/>
      <c r="J33" s="265"/>
      <c r="K33" s="594">
        <f>AVERAGE(10%,30%)</f>
        <v>0.2</v>
      </c>
      <c r="L33" s="265"/>
      <c r="M33" s="265"/>
      <c r="N33" s="265"/>
      <c r="O33" s="265"/>
      <c r="P33" s="594">
        <f>AVERAGE(0.1%,1%)</f>
        <v>5.4999999999999997E-3</v>
      </c>
      <c r="Q33" s="265"/>
      <c r="R33" s="265"/>
      <c r="S33" s="266"/>
      <c r="T33" s="508"/>
      <c r="V33" s="609" t="s">
        <v>876</v>
      </c>
    </row>
    <row r="34" spans="1:22" ht="14.5" thickBot="1" x14ac:dyDescent="0.3">
      <c r="C34" s="267" t="s">
        <v>158</v>
      </c>
      <c r="D34" s="268"/>
      <c r="E34" s="269"/>
      <c r="F34" s="269"/>
      <c r="G34" s="269"/>
      <c r="H34" s="269"/>
      <c r="I34" s="269"/>
      <c r="J34" s="269"/>
      <c r="K34" s="269"/>
      <c r="L34" s="269"/>
      <c r="M34" s="269"/>
      <c r="N34" s="269"/>
      <c r="O34" s="269"/>
      <c r="P34" s="269"/>
      <c r="Q34" s="269"/>
      <c r="R34" s="270"/>
      <c r="S34" s="271"/>
      <c r="T34" s="509"/>
    </row>
    <row r="35" spans="1:22" s="102" customFormat="1" ht="11.5" x14ac:dyDescent="0.2">
      <c r="A35" s="484">
        <v>1</v>
      </c>
      <c r="C35" s="102" t="s">
        <v>160</v>
      </c>
      <c r="D35" s="230"/>
      <c r="E35" s="230"/>
      <c r="F35" s="230"/>
      <c r="G35" s="230"/>
      <c r="H35" s="230"/>
      <c r="I35" s="230"/>
      <c r="J35" s="230"/>
      <c r="K35" s="230"/>
      <c r="L35" s="230"/>
      <c r="M35" s="230"/>
      <c r="N35" s="230"/>
      <c r="O35" s="230"/>
      <c r="P35" s="230"/>
      <c r="Q35" s="230"/>
      <c r="R35" s="230"/>
      <c r="S35" s="272"/>
    </row>
    <row r="36" spans="1:22" s="102" customFormat="1" ht="11.5" x14ac:dyDescent="0.2">
      <c r="A36" s="484">
        <v>2</v>
      </c>
      <c r="C36" s="102" t="s">
        <v>161</v>
      </c>
      <c r="D36" s="230"/>
      <c r="E36" s="230"/>
      <c r="F36" s="230"/>
      <c r="G36" s="230"/>
      <c r="H36" s="230"/>
      <c r="I36" s="230"/>
      <c r="J36" s="230"/>
      <c r="K36" s="230"/>
      <c r="L36" s="230"/>
      <c r="M36" s="230"/>
      <c r="N36" s="230"/>
      <c r="O36" s="230"/>
      <c r="P36" s="230"/>
      <c r="Q36" s="230"/>
      <c r="R36" s="230"/>
      <c r="S36" s="272"/>
    </row>
    <row r="37" spans="1:22" x14ac:dyDescent="0.25">
      <c r="A37" s="482">
        <v>3</v>
      </c>
      <c r="C37" s="102" t="s">
        <v>166</v>
      </c>
    </row>
  </sheetData>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AC8FA-479A-40F4-9575-FFAB629D3BCC}">
  <sheetPr>
    <tabColor rgb="FFFFFF00"/>
  </sheetPr>
  <dimension ref="A2:T38"/>
  <sheetViews>
    <sheetView workbookViewId="0"/>
  </sheetViews>
  <sheetFormatPr defaultColWidth="9.1796875" defaultRowHeight="14" x14ac:dyDescent="0.25"/>
  <cols>
    <col min="1" max="1" width="7" style="482" customWidth="1"/>
    <col min="2" max="2" width="18.54296875" style="101" hidden="1" customWidth="1"/>
    <col min="3" max="3" width="35.81640625" style="101" customWidth="1"/>
    <col min="4" max="18" width="12.1796875" style="190" customWidth="1"/>
    <col min="19" max="19" width="12.453125" style="190" customWidth="1"/>
    <col min="20" max="20" width="19.453125" style="101" customWidth="1"/>
    <col min="21" max="16384" width="9.1796875" style="101"/>
  </cols>
  <sheetData>
    <row r="2" spans="1:20" x14ac:dyDescent="0.25">
      <c r="C2" s="100" t="s">
        <v>162</v>
      </c>
    </row>
    <row r="3" spans="1:20" ht="7" customHeight="1" x14ac:dyDescent="0.25"/>
    <row r="4" spans="1:20" ht="7" customHeight="1" x14ac:dyDescent="0.25"/>
    <row r="5" spans="1:20" ht="14.5" thickBot="1" x14ac:dyDescent="0.3">
      <c r="D5" s="100"/>
      <c r="E5" s="100"/>
      <c r="F5" s="100"/>
      <c r="G5" s="100"/>
      <c r="H5" s="100"/>
      <c r="I5" s="100"/>
      <c r="J5" s="100"/>
      <c r="K5" s="100"/>
      <c r="L5" s="100"/>
      <c r="M5" s="100"/>
      <c r="N5" s="100"/>
      <c r="O5" s="100"/>
      <c r="P5" s="100"/>
      <c r="Q5" s="100"/>
      <c r="R5" s="100"/>
    </row>
    <row r="6" spans="1:20" ht="29.5" customHeight="1" thickBot="1" x14ac:dyDescent="0.3">
      <c r="D6" s="242" t="s">
        <v>2</v>
      </c>
      <c r="E6" s="516" t="s">
        <v>3</v>
      </c>
      <c r="F6" s="243" t="s">
        <v>4</v>
      </c>
      <c r="G6" s="243" t="s">
        <v>5</v>
      </c>
      <c r="H6" s="243" t="s">
        <v>6</v>
      </c>
      <c r="I6" s="243" t="s">
        <v>7</v>
      </c>
      <c r="J6" s="243" t="s">
        <v>8</v>
      </c>
      <c r="K6" s="243" t="s">
        <v>9</v>
      </c>
      <c r="L6" s="243" t="s">
        <v>10</v>
      </c>
      <c r="M6" s="243" t="s">
        <v>11</v>
      </c>
      <c r="N6" s="243" t="s">
        <v>12</v>
      </c>
      <c r="O6" s="243" t="s">
        <v>13</v>
      </c>
      <c r="P6" s="244" t="s">
        <v>163</v>
      </c>
      <c r="Q6" s="243" t="s">
        <v>15</v>
      </c>
      <c r="R6" s="243" t="s">
        <v>16</v>
      </c>
      <c r="S6" s="194" t="s">
        <v>17</v>
      </c>
      <c r="T6" s="500" t="s">
        <v>848</v>
      </c>
    </row>
    <row r="7" spans="1:20" s="252" customFormat="1" x14ac:dyDescent="0.25">
      <c r="A7" s="483"/>
      <c r="B7" s="224" t="s">
        <v>36</v>
      </c>
      <c r="C7" s="245" t="s">
        <v>64</v>
      </c>
      <c r="D7" s="246"/>
      <c r="E7" s="247"/>
      <c r="F7" s="247"/>
      <c r="G7" s="247"/>
      <c r="H7" s="247"/>
      <c r="I7" s="248">
        <v>1.5E-3</v>
      </c>
      <c r="J7" s="247"/>
      <c r="K7" s="249">
        <v>5.0000000000000001E-3</v>
      </c>
      <c r="L7" s="247">
        <v>0.02</v>
      </c>
      <c r="M7" s="248">
        <v>1.5E-3</v>
      </c>
      <c r="N7" s="250">
        <v>2.5000000000000001E-4</v>
      </c>
      <c r="O7" s="247"/>
      <c r="P7" s="249">
        <v>1.2E-2</v>
      </c>
      <c r="Q7" s="248">
        <v>2.9999999999999997E-4</v>
      </c>
      <c r="R7" s="247"/>
      <c r="S7" s="251"/>
      <c r="T7" s="503">
        <v>1.5E-3</v>
      </c>
    </row>
    <row r="8" spans="1:20" x14ac:dyDescent="0.25">
      <c r="B8" s="190" t="s">
        <v>66</v>
      </c>
      <c r="C8" s="253" t="s">
        <v>67</v>
      </c>
      <c r="D8" s="254">
        <v>0.06</v>
      </c>
      <c r="E8" s="255"/>
      <c r="F8" s="255"/>
      <c r="G8" s="255"/>
      <c r="H8" s="255">
        <v>0.66</v>
      </c>
      <c r="I8" s="255">
        <v>0.33</v>
      </c>
      <c r="J8" s="255"/>
      <c r="K8" s="255">
        <v>0.34</v>
      </c>
      <c r="L8" s="255">
        <v>0.16</v>
      </c>
      <c r="M8" s="255">
        <v>0.99</v>
      </c>
      <c r="N8" s="255"/>
      <c r="O8" s="255"/>
      <c r="P8" s="255">
        <v>0.04</v>
      </c>
      <c r="Q8" s="255">
        <v>0.04</v>
      </c>
      <c r="R8" s="255"/>
      <c r="S8" s="256"/>
      <c r="T8" s="504">
        <v>0.3</v>
      </c>
    </row>
    <row r="9" spans="1:20" x14ac:dyDescent="0.25">
      <c r="B9" s="190" t="s">
        <v>36</v>
      </c>
      <c r="C9" s="253" t="s">
        <v>68</v>
      </c>
      <c r="D9" s="254"/>
      <c r="E9" s="255"/>
      <c r="F9" s="255"/>
      <c r="G9" s="255"/>
      <c r="H9" s="255"/>
      <c r="I9" s="255"/>
      <c r="J9" s="255"/>
      <c r="K9" s="255"/>
      <c r="L9" s="255">
        <v>0.05</v>
      </c>
      <c r="M9" s="255"/>
      <c r="N9" s="255"/>
      <c r="O9" s="255"/>
      <c r="P9" s="255">
        <v>0.01</v>
      </c>
      <c r="Q9" s="255"/>
      <c r="R9" s="255"/>
      <c r="S9" s="256"/>
      <c r="T9" s="504"/>
    </row>
    <row r="10" spans="1:20" x14ac:dyDescent="0.25">
      <c r="B10" s="190" t="s">
        <v>41</v>
      </c>
      <c r="C10" s="253" t="s">
        <v>69</v>
      </c>
      <c r="D10" s="254"/>
      <c r="E10" s="547">
        <f>5%*26.98*2/101.96</f>
        <v>2.6461357395056891E-2</v>
      </c>
      <c r="F10" s="255"/>
      <c r="G10" s="255"/>
      <c r="H10" s="255"/>
      <c r="I10" s="255">
        <v>0.05</v>
      </c>
      <c r="J10" s="255"/>
      <c r="K10" s="258"/>
      <c r="L10" s="255">
        <v>0.05</v>
      </c>
      <c r="M10" s="255">
        <v>0.01</v>
      </c>
      <c r="N10" s="255"/>
      <c r="O10" s="255"/>
      <c r="P10" s="258">
        <v>6.4999999999999997E-3</v>
      </c>
      <c r="Q10" s="255"/>
      <c r="R10" s="255"/>
      <c r="S10" s="256">
        <v>0.05</v>
      </c>
      <c r="T10" s="506">
        <v>7.4999999999999997E-2</v>
      </c>
    </row>
    <row r="11" spans="1:20" x14ac:dyDescent="0.25">
      <c r="B11" s="190" t="s">
        <v>41</v>
      </c>
      <c r="C11" s="253" t="s">
        <v>70</v>
      </c>
      <c r="D11" s="254"/>
      <c r="E11" s="547">
        <f>5%*26.98*2/101.96</f>
        <v>2.6461357395056891E-2</v>
      </c>
      <c r="F11" s="255"/>
      <c r="G11" s="255"/>
      <c r="H11" s="255"/>
      <c r="I11" s="255">
        <v>0.5</v>
      </c>
      <c r="J11" s="255"/>
      <c r="K11" s="255">
        <v>0.01</v>
      </c>
      <c r="L11" s="255">
        <v>0.05</v>
      </c>
      <c r="M11" s="255">
        <v>0.14000000000000001</v>
      </c>
      <c r="N11" s="258">
        <v>2.9999999999999997E-4</v>
      </c>
      <c r="O11" s="255"/>
      <c r="P11" s="258">
        <v>6.4999999999999997E-3</v>
      </c>
      <c r="Q11" s="255"/>
      <c r="R11" s="255"/>
      <c r="S11" s="256">
        <v>0.01</v>
      </c>
      <c r="T11" s="504">
        <v>0.03</v>
      </c>
    </row>
    <row r="12" spans="1:20" x14ac:dyDescent="0.25">
      <c r="B12" s="190" t="s">
        <v>40</v>
      </c>
      <c r="C12" s="253" t="s">
        <v>71</v>
      </c>
      <c r="D12" s="254"/>
      <c r="E12" s="255"/>
      <c r="F12" s="255"/>
      <c r="G12" s="255"/>
      <c r="H12" s="255"/>
      <c r="I12" s="255"/>
      <c r="J12" s="255"/>
      <c r="K12" s="255"/>
      <c r="L12" s="255">
        <v>0.01</v>
      </c>
      <c r="M12" s="255"/>
      <c r="N12" s="255"/>
      <c r="O12" s="255"/>
      <c r="P12" s="258">
        <v>6.4999999999999997E-3</v>
      </c>
      <c r="Q12" s="255"/>
      <c r="R12" s="255"/>
      <c r="S12" s="256"/>
      <c r="T12" s="504"/>
    </row>
    <row r="13" spans="1:20" x14ac:dyDescent="0.25">
      <c r="B13" s="190" t="s">
        <v>40</v>
      </c>
      <c r="C13" s="253" t="s">
        <v>72</v>
      </c>
      <c r="D13" s="254"/>
      <c r="E13" s="547"/>
      <c r="F13" s="255"/>
      <c r="G13" s="255"/>
      <c r="H13" s="255"/>
      <c r="I13" s="255">
        <v>0.25</v>
      </c>
      <c r="J13" s="255"/>
      <c r="K13" s="258">
        <v>7.4999999999999997E-3</v>
      </c>
      <c r="L13" s="255">
        <v>2.5000000000000001E-2</v>
      </c>
      <c r="M13" s="255">
        <v>0.14000000000000001</v>
      </c>
      <c r="N13" s="258">
        <v>2.9999999999999997E-4</v>
      </c>
      <c r="O13" s="255"/>
      <c r="P13" s="258">
        <v>6.4999999999999997E-3</v>
      </c>
      <c r="Q13" s="255"/>
      <c r="R13" s="255"/>
      <c r="S13" s="256"/>
      <c r="T13" s="505">
        <v>7.4999999999999997E-3</v>
      </c>
    </row>
    <row r="14" spans="1:20" x14ac:dyDescent="0.25">
      <c r="B14" s="190">
        <v>6010</v>
      </c>
      <c r="C14" s="253" t="s">
        <v>73</v>
      </c>
      <c r="D14" s="254"/>
      <c r="E14" s="255"/>
      <c r="F14" s="255"/>
      <c r="G14" s="255"/>
      <c r="H14" s="255"/>
      <c r="I14" s="255"/>
      <c r="J14" s="255"/>
      <c r="K14" s="255"/>
      <c r="L14" s="255">
        <v>0.05</v>
      </c>
      <c r="M14" s="255"/>
      <c r="N14" s="255"/>
      <c r="O14" s="255"/>
      <c r="P14" s="255">
        <v>0.01</v>
      </c>
      <c r="Q14" s="255"/>
      <c r="R14" s="255"/>
      <c r="S14" s="256"/>
      <c r="T14" s="506"/>
    </row>
    <row r="15" spans="1:20" x14ac:dyDescent="0.25">
      <c r="B15" s="190" t="s">
        <v>38</v>
      </c>
      <c r="C15" s="253" t="s">
        <v>75</v>
      </c>
      <c r="D15" s="254"/>
      <c r="E15" s="255"/>
      <c r="F15" s="255"/>
      <c r="G15" s="255"/>
      <c r="H15" s="255"/>
      <c r="I15" s="257">
        <v>1.4999999999999999E-2</v>
      </c>
      <c r="J15" s="255"/>
      <c r="K15" s="512">
        <v>5.0000000000000001E-3</v>
      </c>
      <c r="L15" s="255">
        <v>7.0000000000000001E-3</v>
      </c>
      <c r="M15" s="512">
        <v>6.0000000000000001E-3</v>
      </c>
      <c r="N15" s="512">
        <v>4.0000000000000001E-3</v>
      </c>
      <c r="O15" s="255"/>
      <c r="P15" s="258">
        <v>7.0000000000000001E-3</v>
      </c>
      <c r="Q15" s="255">
        <v>4.0000000000000001E-3</v>
      </c>
      <c r="R15" s="255"/>
      <c r="S15" s="256"/>
      <c r="T15" s="505">
        <v>6.4999999999999997E-3</v>
      </c>
    </row>
    <row r="16" spans="1:20" x14ac:dyDescent="0.25">
      <c r="B16" s="190" t="s">
        <v>36</v>
      </c>
      <c r="C16" s="253" t="s">
        <v>76</v>
      </c>
      <c r="D16" s="254"/>
      <c r="E16" s="255"/>
      <c r="F16" s="255"/>
      <c r="G16" s="255"/>
      <c r="H16" s="255"/>
      <c r="I16" s="258">
        <v>1.5E-3</v>
      </c>
      <c r="J16" s="255"/>
      <c r="K16" s="257">
        <v>5.0000000000000001E-3</v>
      </c>
      <c r="L16" s="255">
        <v>0.02</v>
      </c>
      <c r="M16" s="258">
        <v>1.5E-3</v>
      </c>
      <c r="N16" s="258">
        <v>2.5000000000000001E-4</v>
      </c>
      <c r="O16" s="255"/>
      <c r="P16" s="257">
        <v>1.2E-2</v>
      </c>
      <c r="Q16" s="255">
        <v>2.9999999999999997E-4</v>
      </c>
      <c r="R16" s="255"/>
      <c r="S16" s="256"/>
      <c r="T16" s="506"/>
    </row>
    <row r="17" spans="2:20" x14ac:dyDescent="0.25">
      <c r="B17" s="190" t="s">
        <v>39</v>
      </c>
      <c r="C17" s="253" t="s">
        <v>77</v>
      </c>
      <c r="D17" s="254"/>
      <c r="E17" s="255"/>
      <c r="F17" s="255"/>
      <c r="G17" s="255"/>
      <c r="H17" s="255"/>
      <c r="I17" s="257">
        <v>2.7E-2</v>
      </c>
      <c r="J17" s="255"/>
      <c r="K17" s="512">
        <v>5.0000000000000001E-3</v>
      </c>
      <c r="L17" s="255">
        <v>7.0000000000000001E-3</v>
      </c>
      <c r="M17" s="512">
        <v>6.0000000000000001E-3</v>
      </c>
      <c r="N17" s="512">
        <v>4.0000000000000001E-3</v>
      </c>
      <c r="O17" s="255"/>
      <c r="P17" s="258">
        <v>7.0000000000000001E-3</v>
      </c>
      <c r="Q17" s="255"/>
      <c r="R17" s="255"/>
      <c r="S17" s="256"/>
      <c r="T17" s="506">
        <v>1.2E-2</v>
      </c>
    </row>
    <row r="18" spans="2:20" x14ac:dyDescent="0.25">
      <c r="B18" s="190">
        <v>6010</v>
      </c>
      <c r="C18" s="253" t="s">
        <v>78</v>
      </c>
      <c r="D18" s="254"/>
      <c r="E18" s="255"/>
      <c r="F18" s="255"/>
      <c r="G18" s="255"/>
      <c r="H18" s="255"/>
      <c r="I18" s="255"/>
      <c r="J18" s="255"/>
      <c r="K18" s="255"/>
      <c r="L18" s="255">
        <v>0.05</v>
      </c>
      <c r="M18" s="255"/>
      <c r="N18" s="255"/>
      <c r="O18" s="255"/>
      <c r="P18" s="255">
        <v>0.01</v>
      </c>
      <c r="Q18" s="255"/>
      <c r="R18" s="255"/>
      <c r="S18" s="256"/>
      <c r="T18" s="504"/>
    </row>
    <row r="19" spans="2:20" x14ac:dyDescent="0.25">
      <c r="B19" s="190">
        <v>6010</v>
      </c>
      <c r="C19" s="253" t="s">
        <v>79</v>
      </c>
      <c r="D19" s="254"/>
      <c r="E19" s="255"/>
      <c r="F19" s="255"/>
      <c r="G19" s="255"/>
      <c r="H19" s="255"/>
      <c r="I19" s="255"/>
      <c r="J19" s="255"/>
      <c r="K19" s="255"/>
      <c r="L19" s="255">
        <v>0.01</v>
      </c>
      <c r="M19" s="255"/>
      <c r="N19" s="255"/>
      <c r="O19" s="255"/>
      <c r="P19" s="255">
        <v>0.01</v>
      </c>
      <c r="Q19" s="255"/>
      <c r="R19" s="255"/>
      <c r="S19" s="256"/>
      <c r="T19" s="504"/>
    </row>
    <row r="20" spans="2:20" x14ac:dyDescent="0.25">
      <c r="B20" s="190">
        <v>6010</v>
      </c>
      <c r="C20" s="253" t="s">
        <v>80</v>
      </c>
      <c r="D20" s="254"/>
      <c r="E20" s="255"/>
      <c r="F20" s="255"/>
      <c r="G20" s="255"/>
      <c r="H20" s="255"/>
      <c r="I20" s="255"/>
      <c r="J20" s="255"/>
      <c r="K20" s="255"/>
      <c r="L20" s="255">
        <v>0.05</v>
      </c>
      <c r="M20" s="255"/>
      <c r="N20" s="255"/>
      <c r="O20" s="255"/>
      <c r="P20" s="255">
        <v>0.01</v>
      </c>
      <c r="Q20" s="255"/>
      <c r="R20" s="255"/>
      <c r="S20" s="256"/>
      <c r="T20" s="504"/>
    </row>
    <row r="21" spans="2:20" x14ac:dyDescent="0.25">
      <c r="B21" s="190">
        <v>6011</v>
      </c>
      <c r="C21" s="253" t="s">
        <v>81</v>
      </c>
      <c r="D21" s="254"/>
      <c r="E21" s="255"/>
      <c r="F21" s="255"/>
      <c r="G21" s="255"/>
      <c r="H21" s="255"/>
      <c r="I21" s="255"/>
      <c r="J21" s="255"/>
      <c r="K21" s="255"/>
      <c r="L21" s="255">
        <v>0.05</v>
      </c>
      <c r="M21" s="255"/>
      <c r="N21" s="255"/>
      <c r="O21" s="255"/>
      <c r="P21" s="255">
        <v>0.01</v>
      </c>
      <c r="Q21" s="255"/>
      <c r="R21" s="255"/>
      <c r="S21" s="256"/>
      <c r="T21" s="504"/>
    </row>
    <row r="22" spans="2:20" x14ac:dyDescent="0.25">
      <c r="B22" s="190" t="s">
        <v>45</v>
      </c>
      <c r="C22" s="253" t="s">
        <v>82</v>
      </c>
      <c r="D22" s="254"/>
      <c r="E22" s="512">
        <f>1%*26.98*2/101.96</f>
        <v>5.2922714790113769E-3</v>
      </c>
      <c r="F22" s="255"/>
      <c r="G22" s="255"/>
      <c r="H22" s="255"/>
      <c r="I22" s="255">
        <v>0.5</v>
      </c>
      <c r="J22" s="255"/>
      <c r="K22" s="255"/>
      <c r="L22" s="255">
        <v>0.05</v>
      </c>
      <c r="M22" s="255">
        <v>0.01</v>
      </c>
      <c r="N22" s="255"/>
      <c r="O22" s="255"/>
      <c r="P22" s="255">
        <v>0.01</v>
      </c>
      <c r="Q22" s="255">
        <v>0.01</v>
      </c>
      <c r="R22" s="255"/>
      <c r="S22" s="256"/>
      <c r="T22" s="504">
        <v>0.05</v>
      </c>
    </row>
    <row r="23" spans="2:20" x14ac:dyDescent="0.25">
      <c r="B23" s="190" t="s">
        <v>49</v>
      </c>
      <c r="C23" s="253" t="s">
        <v>83</v>
      </c>
      <c r="D23" s="517">
        <v>4.4080193299810624E-3</v>
      </c>
      <c r="E23" s="255"/>
      <c r="F23" s="255"/>
      <c r="G23" s="255"/>
      <c r="H23" s="255"/>
      <c r="I23" s="255">
        <v>0.4</v>
      </c>
      <c r="J23" s="255"/>
      <c r="K23" s="255"/>
      <c r="L23" s="255">
        <v>0.01</v>
      </c>
      <c r="M23" s="255">
        <v>0.13</v>
      </c>
      <c r="N23" s="255"/>
      <c r="O23" s="255"/>
      <c r="P23" s="255">
        <v>0.01</v>
      </c>
      <c r="Q23" s="255"/>
      <c r="R23" s="255"/>
      <c r="S23" s="506">
        <f>5/100*(2*19/78.1)</f>
        <v>2.4327784891165175E-2</v>
      </c>
      <c r="T23" s="504">
        <v>0.01</v>
      </c>
    </row>
    <row r="24" spans="2:20" x14ac:dyDescent="0.25">
      <c r="B24" s="190" t="s">
        <v>66</v>
      </c>
      <c r="C24" s="253" t="s">
        <v>84</v>
      </c>
      <c r="D24" s="254">
        <v>0.06</v>
      </c>
      <c r="E24" s="255"/>
      <c r="F24" s="255"/>
      <c r="G24" s="255"/>
      <c r="H24" s="255">
        <v>0.66</v>
      </c>
      <c r="I24" s="255">
        <v>0.33</v>
      </c>
      <c r="J24" s="255"/>
      <c r="K24" s="255">
        <v>0.34</v>
      </c>
      <c r="L24" s="255">
        <v>0.16</v>
      </c>
      <c r="M24" s="255">
        <v>0.99</v>
      </c>
      <c r="N24" s="255"/>
      <c r="O24" s="255"/>
      <c r="P24" s="255">
        <v>0.04</v>
      </c>
      <c r="Q24" s="255">
        <v>0.04</v>
      </c>
      <c r="R24" s="255"/>
      <c r="S24" s="256"/>
      <c r="T24" s="504"/>
    </row>
    <row r="25" spans="2:20" x14ac:dyDescent="0.25">
      <c r="B25" s="190" t="s">
        <v>43</v>
      </c>
      <c r="C25" s="253" t="s">
        <v>85</v>
      </c>
      <c r="D25" s="254">
        <v>0.05</v>
      </c>
      <c r="E25" s="255"/>
      <c r="F25" s="255"/>
      <c r="G25" s="255"/>
      <c r="H25" s="255"/>
      <c r="I25" s="255"/>
      <c r="J25" s="255"/>
      <c r="K25" s="255"/>
      <c r="L25" s="255"/>
      <c r="M25" s="255">
        <v>0.4</v>
      </c>
      <c r="N25" s="255"/>
      <c r="O25" s="255"/>
      <c r="P25" s="255"/>
      <c r="Q25" s="255"/>
      <c r="R25" s="257"/>
      <c r="S25" s="506">
        <f>5/100*(2*19/78.1)</f>
        <v>2.4327784891165175E-2</v>
      </c>
      <c r="T25" s="504"/>
    </row>
    <row r="26" spans="2:20" x14ac:dyDescent="0.25">
      <c r="B26" s="190">
        <v>7018</v>
      </c>
      <c r="C26" s="253" t="s">
        <v>86</v>
      </c>
      <c r="D26" s="254"/>
      <c r="E26" s="255"/>
      <c r="F26" s="255"/>
      <c r="G26" s="255"/>
      <c r="H26" s="255"/>
      <c r="I26" s="255"/>
      <c r="J26" s="255"/>
      <c r="K26" s="255"/>
      <c r="L26" s="255">
        <v>0.01</v>
      </c>
      <c r="M26" s="255"/>
      <c r="N26" s="255"/>
      <c r="O26" s="255"/>
      <c r="P26" s="255">
        <v>0.01</v>
      </c>
      <c r="Q26" s="255"/>
      <c r="R26" s="255"/>
      <c r="S26" s="256">
        <v>0.05</v>
      </c>
      <c r="T26" s="504">
        <v>0.01</v>
      </c>
    </row>
    <row r="27" spans="2:20" x14ac:dyDescent="0.25">
      <c r="B27" s="190">
        <v>7018</v>
      </c>
      <c r="C27" s="253" t="s">
        <v>87</v>
      </c>
      <c r="D27" s="254"/>
      <c r="E27" s="255"/>
      <c r="F27" s="255"/>
      <c r="G27" s="255"/>
      <c r="H27" s="255"/>
      <c r="I27" s="255"/>
      <c r="J27" s="255"/>
      <c r="K27" s="255"/>
      <c r="L27" s="255">
        <v>0.01</v>
      </c>
      <c r="M27" s="255"/>
      <c r="N27" s="255"/>
      <c r="O27" s="255"/>
      <c r="P27" s="255">
        <v>0.01</v>
      </c>
      <c r="Q27" s="255"/>
      <c r="R27" s="255"/>
      <c r="S27" s="256">
        <v>0.05</v>
      </c>
      <c r="T27" s="504"/>
    </row>
    <row r="28" spans="2:20" x14ac:dyDescent="0.25">
      <c r="B28" s="190">
        <v>7018</v>
      </c>
      <c r="C28" s="253" t="s">
        <v>88</v>
      </c>
      <c r="D28" s="254"/>
      <c r="E28" s="255"/>
      <c r="F28" s="255"/>
      <c r="G28" s="255"/>
      <c r="H28" s="255"/>
      <c r="I28" s="255"/>
      <c r="J28" s="255"/>
      <c r="K28" s="255"/>
      <c r="L28" s="255">
        <v>0.05</v>
      </c>
      <c r="M28" s="255"/>
      <c r="N28" s="255"/>
      <c r="O28" s="255"/>
      <c r="P28" s="255">
        <v>0.01</v>
      </c>
      <c r="Q28" s="255"/>
      <c r="R28" s="255"/>
      <c r="S28" s="256"/>
      <c r="T28" s="504"/>
    </row>
    <row r="29" spans="2:20" x14ac:dyDescent="0.25">
      <c r="B29" s="190" t="s">
        <v>48</v>
      </c>
      <c r="C29" s="253" t="s">
        <v>89</v>
      </c>
      <c r="D29" s="254"/>
      <c r="E29" s="547">
        <f>5%*26.98*2/101.96</f>
        <v>2.6461357395056891E-2</v>
      </c>
      <c r="F29" s="255"/>
      <c r="G29" s="255"/>
      <c r="H29" s="255"/>
      <c r="I29" s="255">
        <v>0.2</v>
      </c>
      <c r="J29" s="255"/>
      <c r="K29" s="258">
        <v>7.4999999999999997E-3</v>
      </c>
      <c r="L29" s="255">
        <v>2.5000000000000001E-2</v>
      </c>
      <c r="M29" s="255">
        <v>0.14000000000000001</v>
      </c>
      <c r="N29" s="258">
        <v>2.9999999999999997E-4</v>
      </c>
      <c r="O29" s="255"/>
      <c r="P29" s="258">
        <v>6.4999999999999997E-3</v>
      </c>
      <c r="Q29" s="255"/>
      <c r="R29" s="255"/>
      <c r="S29" s="256"/>
      <c r="T29" s="506">
        <v>7.4999999999999997E-2</v>
      </c>
    </row>
    <row r="30" spans="2:20" x14ac:dyDescent="0.25">
      <c r="B30" s="190" t="s">
        <v>47</v>
      </c>
      <c r="C30" s="253" t="s">
        <v>90</v>
      </c>
      <c r="D30" s="254"/>
      <c r="E30" s="512">
        <f>1%*26.98*2/101.96</f>
        <v>5.2922714790113769E-3</v>
      </c>
      <c r="F30" s="255"/>
      <c r="G30" s="255"/>
      <c r="H30" s="255"/>
      <c r="I30" s="255">
        <v>0.5</v>
      </c>
      <c r="J30" s="255"/>
      <c r="K30" s="255">
        <v>0.01</v>
      </c>
      <c r="L30" s="255">
        <v>0.05</v>
      </c>
      <c r="M30" s="255">
        <v>0.1</v>
      </c>
      <c r="N30" s="255"/>
      <c r="O30" s="255"/>
      <c r="P30" s="512">
        <v>0.05</v>
      </c>
      <c r="Q30" s="255"/>
      <c r="R30" s="255"/>
      <c r="S30" s="256">
        <v>0.01</v>
      </c>
      <c r="T30" s="504">
        <v>0.01</v>
      </c>
    </row>
    <row r="31" spans="2:20" hidden="1" x14ac:dyDescent="0.25">
      <c r="B31" s="190"/>
      <c r="C31" s="259" t="s">
        <v>157</v>
      </c>
      <c r="D31" s="260"/>
      <c r="E31" s="261"/>
      <c r="F31" s="261"/>
      <c r="G31" s="261"/>
      <c r="H31" s="261">
        <v>0.01</v>
      </c>
      <c r="I31" s="261">
        <v>0.5</v>
      </c>
      <c r="J31" s="261"/>
      <c r="K31" s="261">
        <v>0.01</v>
      </c>
      <c r="L31" s="261">
        <v>0.05</v>
      </c>
      <c r="M31" s="261">
        <v>0.2</v>
      </c>
      <c r="N31" s="261"/>
      <c r="O31" s="261"/>
      <c r="P31" s="261"/>
      <c r="Q31" s="261">
        <v>0.01</v>
      </c>
      <c r="R31" s="261"/>
      <c r="S31" s="262"/>
      <c r="T31" s="507">
        <v>0.01</v>
      </c>
    </row>
    <row r="32" spans="2:20" x14ac:dyDescent="0.25">
      <c r="B32" s="190" t="s">
        <v>66</v>
      </c>
      <c r="C32" s="253" t="s">
        <v>91</v>
      </c>
      <c r="D32" s="254">
        <v>0.06</v>
      </c>
      <c r="E32" s="255"/>
      <c r="F32" s="255"/>
      <c r="G32" s="255"/>
      <c r="H32" s="255">
        <v>0.66</v>
      </c>
      <c r="I32" s="255">
        <v>0.33</v>
      </c>
      <c r="J32" s="255"/>
      <c r="K32" s="255">
        <v>0.34</v>
      </c>
      <c r="L32" s="255">
        <v>0.16</v>
      </c>
      <c r="M32" s="255">
        <v>0.99</v>
      </c>
      <c r="N32" s="255"/>
      <c r="O32" s="255"/>
      <c r="P32" s="255">
        <v>0.04</v>
      </c>
      <c r="Q32" s="255">
        <v>0.04</v>
      </c>
      <c r="R32" s="255"/>
      <c r="S32" s="256"/>
      <c r="T32" s="504"/>
    </row>
    <row r="33" spans="1:20" x14ac:dyDescent="0.25">
      <c r="B33" s="190" t="s">
        <v>46</v>
      </c>
      <c r="C33" s="253" t="s">
        <v>164</v>
      </c>
      <c r="D33" s="254">
        <v>0.01</v>
      </c>
      <c r="E33" s="255"/>
      <c r="F33" s="255"/>
      <c r="G33" s="255"/>
      <c r="H33" s="255">
        <v>0.01</v>
      </c>
      <c r="I33" s="255">
        <v>0.2</v>
      </c>
      <c r="J33" s="255"/>
      <c r="K33" s="255">
        <v>0.01</v>
      </c>
      <c r="L33" s="255">
        <v>0.01</v>
      </c>
      <c r="M33" s="255">
        <v>0.5</v>
      </c>
      <c r="N33" s="255"/>
      <c r="O33" s="255"/>
      <c r="P33" s="255">
        <v>0.01</v>
      </c>
      <c r="Q33" s="255">
        <v>0.01</v>
      </c>
      <c r="R33" s="255">
        <v>0.01</v>
      </c>
      <c r="S33" s="256">
        <v>0.05</v>
      </c>
      <c r="T33" s="504">
        <v>0.1</v>
      </c>
    </row>
    <row r="34" spans="1:20" ht="14.5" thickBot="1" x14ac:dyDescent="0.3">
      <c r="B34" s="190" t="s">
        <v>51</v>
      </c>
      <c r="C34" s="263" t="s">
        <v>165</v>
      </c>
      <c r="D34" s="264"/>
      <c r="E34" s="265"/>
      <c r="F34" s="265"/>
      <c r="G34" s="265"/>
      <c r="H34" s="265"/>
      <c r="I34" s="265"/>
      <c r="J34" s="265"/>
      <c r="K34" s="265">
        <v>0.3</v>
      </c>
      <c r="L34" s="265"/>
      <c r="M34" s="265"/>
      <c r="N34" s="265"/>
      <c r="O34" s="265"/>
      <c r="P34" s="265">
        <v>0.01</v>
      </c>
      <c r="Q34" s="265"/>
      <c r="R34" s="265"/>
      <c r="S34" s="266"/>
      <c r="T34" s="508"/>
    </row>
    <row r="35" spans="1:20" ht="14.5" thickBot="1" x14ac:dyDescent="0.3">
      <c r="C35" s="267" t="s">
        <v>158</v>
      </c>
      <c r="D35" s="268"/>
      <c r="E35" s="269"/>
      <c r="F35" s="269"/>
      <c r="G35" s="269"/>
      <c r="H35" s="269"/>
      <c r="I35" s="269"/>
      <c r="J35" s="269"/>
      <c r="K35" s="269"/>
      <c r="L35" s="269"/>
      <c r="M35" s="269"/>
      <c r="N35" s="269"/>
      <c r="O35" s="269"/>
      <c r="P35" s="269"/>
      <c r="Q35" s="269"/>
      <c r="R35" s="270"/>
      <c r="S35" s="271"/>
      <c r="T35" s="509"/>
    </row>
    <row r="36" spans="1:20" s="102" customFormat="1" ht="11.5" x14ac:dyDescent="0.2">
      <c r="A36" s="484">
        <v>1</v>
      </c>
      <c r="C36" s="102" t="s">
        <v>160</v>
      </c>
      <c r="D36" s="230"/>
      <c r="E36" s="230"/>
      <c r="F36" s="230"/>
      <c r="G36" s="230"/>
      <c r="H36" s="230"/>
      <c r="I36" s="230"/>
      <c r="J36" s="230"/>
      <c r="K36" s="230"/>
      <c r="L36" s="230"/>
      <c r="M36" s="230"/>
      <c r="N36" s="230"/>
      <c r="O36" s="230"/>
      <c r="P36" s="230"/>
      <c r="Q36" s="230"/>
      <c r="R36" s="230"/>
      <c r="S36" s="272"/>
    </row>
    <row r="37" spans="1:20" s="102" customFormat="1" ht="11.5" x14ac:dyDescent="0.2">
      <c r="A37" s="484">
        <v>2</v>
      </c>
      <c r="C37" s="102" t="s">
        <v>161</v>
      </c>
      <c r="D37" s="230"/>
      <c r="E37" s="230"/>
      <c r="F37" s="230"/>
      <c r="G37" s="230"/>
      <c r="H37" s="230"/>
      <c r="I37" s="230"/>
      <c r="J37" s="230"/>
      <c r="K37" s="230"/>
      <c r="L37" s="230"/>
      <c r="M37" s="230"/>
      <c r="N37" s="230"/>
      <c r="O37" s="230"/>
      <c r="P37" s="230"/>
      <c r="Q37" s="230"/>
      <c r="R37" s="230"/>
      <c r="S37" s="272"/>
    </row>
    <row r="38" spans="1:20" x14ac:dyDescent="0.25">
      <c r="A38" s="482">
        <v>3</v>
      </c>
      <c r="C38" s="102" t="s">
        <v>166</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79C78-3014-4EDC-BE0B-31F7AA40A47F}">
  <sheetPr>
    <tabColor rgb="FFFFFF00"/>
  </sheetPr>
  <dimension ref="B2:T33"/>
  <sheetViews>
    <sheetView zoomScale="70" zoomScaleNormal="70" workbookViewId="0">
      <selection activeCell="V22" sqref="V22"/>
    </sheetView>
  </sheetViews>
  <sheetFormatPr defaultColWidth="9.1796875" defaultRowHeight="12.5" x14ac:dyDescent="0.25"/>
  <cols>
    <col min="1" max="1" width="9.1796875" style="101"/>
    <col min="2" max="2" width="18.1796875" style="101" hidden="1" customWidth="1"/>
    <col min="3" max="3" width="23.1796875" style="101" bestFit="1" customWidth="1"/>
    <col min="4" max="5" width="11.1796875" style="101" bestFit="1" customWidth="1"/>
    <col min="6" max="8" width="9.1796875" style="101" bestFit="1" customWidth="1"/>
    <col min="9" max="10" width="11.1796875" style="101" bestFit="1" customWidth="1"/>
    <col min="11" max="11" width="9.1796875" style="101" bestFit="1" customWidth="1"/>
    <col min="12" max="12" width="11.1796875" style="101" bestFit="1" customWidth="1"/>
    <col min="13" max="13" width="9.1796875" style="101" bestFit="1" customWidth="1"/>
    <col min="14" max="14" width="11.1796875" style="101" bestFit="1" customWidth="1"/>
    <col min="15" max="15" width="9.1796875" style="101" bestFit="1" customWidth="1"/>
    <col min="16" max="16" width="9.81640625" style="101" customWidth="1"/>
    <col min="17" max="18" width="11.1796875" style="101" bestFit="1" customWidth="1"/>
    <col min="19" max="19" width="9.1796875" style="202" bestFit="1" customWidth="1"/>
    <col min="20" max="20" width="13.36328125" style="202" customWidth="1"/>
    <col min="21" max="21" width="12.81640625" style="101" bestFit="1" customWidth="1"/>
    <col min="22" max="16384" width="9.1796875" style="101"/>
  </cols>
  <sheetData>
    <row r="2" spans="2:20" x14ac:dyDescent="0.25">
      <c r="C2" s="100" t="s">
        <v>167</v>
      </c>
    </row>
    <row r="3" spans="2:20" ht="7" customHeight="1" thickBot="1" x14ac:dyDescent="0.3"/>
    <row r="4" spans="2:20" ht="13" thickBot="1" x14ac:dyDescent="0.3">
      <c r="D4" s="611" t="s">
        <v>1</v>
      </c>
      <c r="E4" s="612"/>
      <c r="F4" s="612"/>
      <c r="G4" s="612"/>
      <c r="H4" s="612"/>
      <c r="I4" s="612"/>
      <c r="J4" s="612"/>
      <c r="K4" s="612"/>
      <c r="L4" s="612"/>
      <c r="M4" s="612"/>
      <c r="N4" s="612"/>
      <c r="O4" s="612"/>
      <c r="P4" s="612"/>
      <c r="Q4" s="612"/>
      <c r="R4" s="612"/>
      <c r="S4" s="613"/>
      <c r="T4" s="521"/>
    </row>
    <row r="5" spans="2:20" ht="25.5" thickBot="1" x14ac:dyDescent="0.3">
      <c r="D5" s="242" t="s">
        <v>2</v>
      </c>
      <c r="E5" s="243" t="s">
        <v>3</v>
      </c>
      <c r="F5" s="243" t="s">
        <v>4</v>
      </c>
      <c r="G5" s="243" t="s">
        <v>5</v>
      </c>
      <c r="H5" s="243" t="s">
        <v>6</v>
      </c>
      <c r="I5" s="243" t="s">
        <v>7</v>
      </c>
      <c r="J5" s="243" t="s">
        <v>8</v>
      </c>
      <c r="K5" s="243" t="s">
        <v>9</v>
      </c>
      <c r="L5" s="243" t="s">
        <v>10</v>
      </c>
      <c r="M5" s="243" t="s">
        <v>11</v>
      </c>
      <c r="N5" s="243" t="s">
        <v>12</v>
      </c>
      <c r="O5" s="243" t="s">
        <v>13</v>
      </c>
      <c r="P5" s="244" t="s">
        <v>14</v>
      </c>
      <c r="Q5" s="243" t="s">
        <v>15</v>
      </c>
      <c r="R5" s="273" t="s">
        <v>16</v>
      </c>
      <c r="S5" s="274" t="s">
        <v>17</v>
      </c>
      <c r="T5" s="523" t="s">
        <v>417</v>
      </c>
    </row>
    <row r="6" spans="2:20" x14ac:dyDescent="0.25">
      <c r="B6" s="224" t="s">
        <v>36</v>
      </c>
      <c r="C6" s="275" t="s">
        <v>64</v>
      </c>
      <c r="D6" s="276" t="str">
        <f ca="1">IFERROR(INDEX('Emission Factors'!C$7:C$24,MATCH(OFFSET(Usage!$D5,0,-2),'Emission Factors'!$B$7:$B$24,0))*INDEX(Usage!$G$5:$G$31,MATCH('Boiler Emissions'!$C6,Usage!$D$5:$D$31,0))*(1-'Emission Factors'!$E$26),"--")</f>
        <v>--</v>
      </c>
      <c r="E6" s="276" t="str">
        <f ca="1">IFERROR(INDEX('Emission Factors'!D$7:D$24,MATCH(OFFSET(Usage!$D5,0,-2),'Emission Factors'!$B$7:$B$24,0))*INDEX(Usage!$G$5:$G$31,MATCH('Boiler Emissions'!$C6,Usage!$D$5:$D$31,0))*(1-'Emission Factors'!$E$26),"--")</f>
        <v>--</v>
      </c>
      <c r="F6" s="276" t="str">
        <f ca="1">IFERROR(INDEX('Emission Factors'!E$7:E$24,MATCH(OFFSET(Usage!$D5,0,-2),'Emission Factors'!$B$7:$B$24,0))*INDEX(Usage!$G$5:$G$31,MATCH('Boiler Emissions'!$C6,Usage!$D$5:$D$31,0))*(1-'Emission Factors'!$E$26),"--")</f>
        <v>--</v>
      </c>
      <c r="G6" s="276" t="str">
        <f ca="1">IFERROR(INDEX('Emission Factors'!F$7:F$24,MATCH(OFFSET(Usage!$D5,0,-2),'Emission Factors'!$B$7:$B$24,0))*INDEX(Usage!$G$5:$G$31,MATCH('Boiler Emissions'!$C6,Usage!$D$5:$D$31,0))*(1-'Emission Factors'!$E$26),"--")</f>
        <v>--</v>
      </c>
      <c r="H6" s="276" t="str">
        <f ca="1">IFERROR(INDEX('Emission Factors'!G$7:G$24,MATCH(OFFSET(Usage!$D5,0,-2),'Emission Factors'!$B$7:$B$24,0))*INDEX(Usage!$G$5:$G$31,MATCH('Boiler Emissions'!$C6,Usage!$D$5:$D$31,0))*(1-'Emission Factors'!$E$26),"--")</f>
        <v>--</v>
      </c>
      <c r="I6" s="276">
        <f ca="1">IFERROR(INDEX('Emission Factors'!H$7:H$24,MATCH(OFFSET(Usage!$D5,0,-2),'Emission Factors'!$B$7:$B$24,0))*INDEX(Usage!$G$5:$G$31,MATCH('Boiler Emissions'!$C6,Usage!$D$5:$D$31,0))*(1-'Emission Factors'!$E$26),"--")</f>
        <v>7.209000000000005E-5</v>
      </c>
      <c r="J6" s="276">
        <f ca="1">IFERROR(INDEX('Emission Factors'!I$7:I$24,MATCH(OFFSET(Usage!$D5,0,-2),'Emission Factors'!$B$7:$B$24,0))*INDEX(Usage!$G$5:$G$31,MATCH('Boiler Emissions'!$C6,Usage!$D$5:$D$31,0))*(1-'Emission Factors'!$E$26),"--")</f>
        <v>3.6900000000000028E-6</v>
      </c>
      <c r="K6" s="276">
        <f ca="1">IFERROR(INDEX('Emission Factors'!J$7:J$24,MATCH(OFFSET(Usage!$D5,0,-2),'Emission Factors'!$B$7:$B$24,0))*INDEX(Usage!$G$5:$G$31,MATCH('Boiler Emissions'!$C6,Usage!$D$5:$D$31,0))*(1-'Emission Factors'!$E$26),"--")</f>
        <v>6.3928800000000056E-6</v>
      </c>
      <c r="L6" s="276">
        <f ca="1">IFERROR(INDEX('Emission Factors'!K$7:K$24,MATCH(OFFSET(Usage!$D5,0,-2),'Emission Factors'!$B$7:$B$24,0))*INDEX(Usage!$G$5:$G$31,MATCH('Boiler Emissions'!$C6,Usage!$D$5:$D$31,0))*(1-'Emission Factors'!$E$26),"--")</f>
        <v>2.8620000000000023E-4</v>
      </c>
      <c r="M6" s="276">
        <f ca="1">IFERROR(INDEX('Emission Factors'!L$7:L$24,MATCH(OFFSET(Usage!$D5,0,-2),'Emission Factors'!$B$7:$B$24,0))*INDEX(Usage!$G$5:$G$31,MATCH('Boiler Emissions'!$C6,Usage!$D$5:$D$31,0))*(1-'Emission Factors'!$E$26),"--")</f>
        <v>9.000000000000007E-7</v>
      </c>
      <c r="N6" s="276">
        <f ca="1">IFERROR(INDEX('Emission Factors'!M$7:M$24,MATCH(OFFSET(Usage!$D5,0,-2),'Emission Factors'!$B$7:$B$24,0))*INDEX(Usage!$G$5:$G$31,MATCH('Boiler Emissions'!$C6,Usage!$D$5:$D$31,0))*(1-'Emission Factors'!$E$26),"--")</f>
        <v>3.1964400000000029E-7</v>
      </c>
      <c r="O6" s="276" t="str">
        <f ca="1">IFERROR(INDEX('Emission Factors'!N$7:N$24,MATCH(OFFSET(Usage!$D5,0,-2),'Emission Factors'!$B$7:$B$24,0))*INDEX(Usage!$G$5:$G$31,MATCH('Boiler Emissions'!$C6,Usage!$D$5:$D$31,0))*(1-'Emission Factors'!$E$26),"--")</f>
        <v>--</v>
      </c>
      <c r="P6" s="276">
        <f ca="1">IFERROR(INDEX('Emission Factors'!O$7:O$24,MATCH(OFFSET(Usage!$D5,0,-2),'Emission Factors'!$B$7:$B$24,0))*INDEX(Usage!$G$5:$G$31,MATCH('Boiler Emissions'!$C6,Usage!$D$5:$D$31,0))*(1-'Emission Factors'!$E$26),"--")</f>
        <v>4.6489369290138882E-5</v>
      </c>
      <c r="Q6" s="276">
        <f ca="1">IFERROR(INDEX('Emission Factors'!P$7:P$24,MATCH(OFFSET(Usage!$D5,0,-2),'Emission Factors'!$B$7:$B$24,0))*INDEX(Usage!$G$5:$G$31,MATCH('Boiler Emissions'!$C6,Usage!$D$5:$D$31,0))*(1-'Emission Factors'!$E$26),"--")</f>
        <v>3.8357280000000024E-7</v>
      </c>
      <c r="R6" s="277" t="str">
        <f ca="1">IFERROR(INDEX('Emission Factors'!Q$7:Q$24,MATCH(OFFSET(Usage!$D5,0,-2),'Emission Factors'!$B$7:$B$24,0))*INDEX(Usage!$G$5:$G$31,MATCH('Boiler Emissions'!$C6,Usage!$D$5:$D$31,0))*(1-'Emission Factors'!$E$26),"--")</f>
        <v>--</v>
      </c>
      <c r="S6" s="278" t="str">
        <f ca="1">IFERROR(INDEX('Emission Factors'!R$7:R$24,MATCH(OFFSET(Usage!$D5,0,-2),'Emission Factors'!$B$7:$B$24,0))*INDEX(Usage!$G$5:$G$31,MATCH('Boiler Emissions'!$C6,Usage!$D$5:$D$31,0))*(1-'Emission Factors'!$E$26),"--")</f>
        <v>--</v>
      </c>
      <c r="T6" s="278">
        <f ca="1">IFERROR(INDEX('Emission Factors'!S$7:S$24,MATCH(OFFSET(Usage!$D5,0,-2),'Emission Factors'!$B$7:$B$24,0))*INDEX(Usage!$G$5:$G$31,MATCH('Boiler Emissions'!$C6,Usage!$D$5:$D$31,0))*(1-'Emission Factors'!$E$26),"--")</f>
        <v>2.8770958224075057E-6</v>
      </c>
    </row>
    <row r="7" spans="2:20" x14ac:dyDescent="0.25">
      <c r="B7" s="190" t="s">
        <v>66</v>
      </c>
      <c r="C7" s="226" t="s">
        <v>67</v>
      </c>
      <c r="D7" s="279">
        <f ca="1">IFERROR(INDEX('Emission Factors'!C$7:C$24,MATCH(OFFSET(Usage!$D6,0,-2),'Emission Factors'!$B$7:$B$24,0))*INDEX(Usage!$G$5:$G$31,MATCH('Boiler Emissions'!$C7,Usage!$D$5:$D$31,0))*(1-'Emission Factors'!$E$26),"--")</f>
        <v>1.3113600000000012E-3</v>
      </c>
      <c r="E7" s="279" t="str">
        <f ca="1">IFERROR(INDEX('Emission Factors'!D$7:D$24,MATCH(OFFSET(Usage!$D6,0,-2),'Emission Factors'!$B$7:$B$24,0))*INDEX(Usage!$G$5:$G$31,MATCH('Boiler Emissions'!$C7,Usage!$D$5:$D$31,0))*(1-'Emission Factors'!$E$26),"--")</f>
        <v>--</v>
      </c>
      <c r="F7" s="279" t="str">
        <f ca="1">IFERROR(INDEX('Emission Factors'!E$7:E$24,MATCH(OFFSET(Usage!$D6,0,-2),'Emission Factors'!$B$7:$B$24,0))*INDEX(Usage!$G$5:$G$31,MATCH('Boiler Emissions'!$C7,Usage!$D$5:$D$31,0))*(1-'Emission Factors'!$E$26),"--")</f>
        <v>--</v>
      </c>
      <c r="G7" s="279" t="str">
        <f ca="1">IFERROR(INDEX('Emission Factors'!F$7:F$24,MATCH(OFFSET(Usage!$D6,0,-2),'Emission Factors'!$B$7:$B$24,0))*INDEX(Usage!$G$5:$G$31,MATCH('Boiler Emissions'!$C7,Usage!$D$5:$D$31,0))*(1-'Emission Factors'!$E$26),"--")</f>
        <v>--</v>
      </c>
      <c r="H7" s="279">
        <f ca="1">IFERROR(INDEX('Emission Factors'!G$7:G$24,MATCH(OFFSET(Usage!$D6,0,-2),'Emission Factors'!$B$7:$B$24,0))*INDEX(Usage!$G$5:$G$31,MATCH('Boiler Emissions'!$C7,Usage!$D$5:$D$31,0))*(1-'Emission Factors'!$E$26),"--")</f>
        <v>1.4424960000000013E-2</v>
      </c>
      <c r="I7" s="279">
        <f ca="1">IFERROR(INDEX('Emission Factors'!H$7:H$24,MATCH(OFFSET(Usage!$D6,0,-2),'Emission Factors'!$B$7:$B$24,0))*INDEX(Usage!$G$5:$G$31,MATCH('Boiler Emissions'!$C7,Usage!$D$5:$D$31,0))*(1-'Emission Factors'!$E$26),"--")</f>
        <v>7.2124800000000064E-3</v>
      </c>
      <c r="J7" s="279">
        <f ca="1">IFERROR(INDEX('Emission Factors'!I$7:I$24,MATCH(OFFSET(Usage!$D6,0,-2),'Emission Factors'!$B$7:$B$24,0))*INDEX(Usage!$G$5:$G$31,MATCH('Boiler Emissions'!$C7,Usage!$D$5:$D$31,0))*(1-'Emission Factors'!$E$26),"--")</f>
        <v>3.6062400000000036E-4</v>
      </c>
      <c r="K7" s="279">
        <f ca="1">IFERROR(INDEX('Emission Factors'!J$7:J$24,MATCH(OFFSET(Usage!$D6,0,-2),'Emission Factors'!$B$7:$B$24,0))*INDEX(Usage!$G$5:$G$31,MATCH('Boiler Emissions'!$C7,Usage!$D$5:$D$31,0))*(1-'Emission Factors'!$E$26),"--")</f>
        <v>7.4310400000000077E-3</v>
      </c>
      <c r="L7" s="519">
        <f ca="1">IFERROR(INDEX('Emission Factors'!K$7:K$24,MATCH(OFFSET(Usage!$D6,0,-2),'Emission Factors'!$B$7:$B$24,0))*INDEX(Usage!$G$5:$G$31,MATCH('Boiler Emissions'!$C7,Usage!$D$5:$D$31,0))*(1-'Emission Factors'!$E$26),"--")</f>
        <v>3.4969600000000034E-3</v>
      </c>
      <c r="M7" s="520">
        <f ca="1">IFERROR(INDEX('Emission Factors'!L$7:L$24,MATCH(OFFSET(Usage!$D6,0,-2),'Emission Factors'!$B$7:$B$24,0))*INDEX(Usage!$G$5:$G$31,MATCH('Boiler Emissions'!$C7,Usage!$D$5:$D$31,0))*(1-'Emission Factors'!$E$26),"--")</f>
        <v>2.1637440000000018E-2</v>
      </c>
      <c r="N7" s="279">
        <f ca="1">IFERROR(INDEX('Emission Factors'!M$7:M$24,MATCH(OFFSET(Usage!$D6,0,-2),'Emission Factors'!$B$7:$B$24,0))*INDEX(Usage!$G$5:$G$31,MATCH('Boiler Emissions'!$C7,Usage!$D$5:$D$31,0))*(1-'Emission Factors'!$E$26),"--")</f>
        <v>0</v>
      </c>
      <c r="O7" s="279" t="str">
        <f ca="1">IFERROR(INDEX('Emission Factors'!N$7:N$24,MATCH(OFFSET(Usage!$D6,0,-2),'Emission Factors'!$B$7:$B$24,0))*INDEX(Usage!$G$5:$G$31,MATCH('Boiler Emissions'!$C7,Usage!$D$5:$D$31,0))*(1-'Emission Factors'!$E$26),"--")</f>
        <v>--</v>
      </c>
      <c r="P7" s="279">
        <f ca="1">IFERROR(INDEX('Emission Factors'!O$7:O$24,MATCH(OFFSET(Usage!$D6,0,-2),'Emission Factors'!$B$7:$B$24,0))*INDEX(Usage!$G$5:$G$31,MATCH('Boiler Emissions'!$C7,Usage!$D$5:$D$31,0))*(1-'Emission Factors'!$E$26),"--")</f>
        <v>8.7424000000000085E-4</v>
      </c>
      <c r="Q7" s="279">
        <f ca="1">IFERROR(INDEX('Emission Factors'!P$7:P$24,MATCH(OFFSET(Usage!$D6,0,-2),'Emission Factors'!$B$7:$B$24,0))*INDEX(Usage!$G$5:$G$31,MATCH('Boiler Emissions'!$C7,Usage!$D$5:$D$31,0))*(1-'Emission Factors'!$E$26),"--")</f>
        <v>8.7424000000000085E-4</v>
      </c>
      <c r="R7" s="280" t="str">
        <f ca="1">IFERROR(INDEX('Emission Factors'!Q$7:Q$24,MATCH(OFFSET(Usage!$D6,0,-2),'Emission Factors'!$B$7:$B$24,0))*INDEX(Usage!$G$5:$G$31,MATCH('Boiler Emissions'!$C7,Usage!$D$5:$D$31,0))*(1-'Emission Factors'!$E$26),"--")</f>
        <v>--</v>
      </c>
      <c r="S7" s="281" t="str">
        <f ca="1">IFERROR(INDEX('Emission Factors'!R$7:R$24,MATCH(OFFSET(Usage!$D6,0,-2),'Emission Factors'!$B$7:$B$24,0))*INDEX(Usage!$G$5:$G$31,MATCH('Boiler Emissions'!$C7,Usage!$D$5:$D$31,0))*(1-'Emission Factors'!$E$26),"--")</f>
        <v>--</v>
      </c>
      <c r="T7" s="281">
        <f ca="1">IFERROR(INDEX('Emission Factors'!S$7:S$24,MATCH(OFFSET(Usage!$D6,0,-2),'Emission Factors'!$B$7:$B$24,0))*INDEX(Usage!$G$5:$G$31,MATCH('Boiler Emissions'!$C7,Usage!$D$5:$D$31,0))*(1-'Emission Factors'!$E$26),"--")</f>
        <v>9.8362250338718156E-3</v>
      </c>
    </row>
    <row r="8" spans="2:20" x14ac:dyDescent="0.25">
      <c r="B8" s="190" t="s">
        <v>36</v>
      </c>
      <c r="C8" s="226" t="s">
        <v>68</v>
      </c>
      <c r="D8" s="279" t="str">
        <f ca="1">IFERROR(INDEX('Emission Factors'!C$7:C$24,MATCH(OFFSET(Usage!$D7,0,-2),'Emission Factors'!$B$7:$B$24,0))*INDEX(Usage!$G$5:$G$31,MATCH('Boiler Emissions'!$C8,Usage!$D$5:$D$31,0))*(1-'Emission Factors'!$E$26),"--")</f>
        <v>--</v>
      </c>
      <c r="E8" s="279" t="str">
        <f ca="1">IFERROR(INDEX('Emission Factors'!D$7:D$24,MATCH(OFFSET(Usage!$D7,0,-2),'Emission Factors'!$B$7:$B$24,0))*INDEX(Usage!$G$5:$G$31,MATCH('Boiler Emissions'!$C8,Usage!$D$5:$D$31,0))*(1-'Emission Factors'!$E$26),"--")</f>
        <v>--</v>
      </c>
      <c r="F8" s="279" t="str">
        <f ca="1">IFERROR(INDEX('Emission Factors'!E$7:E$24,MATCH(OFFSET(Usage!$D7,0,-2),'Emission Factors'!$B$7:$B$24,0))*INDEX(Usage!$G$5:$G$31,MATCH('Boiler Emissions'!$C8,Usage!$D$5:$D$31,0))*(1-'Emission Factors'!$E$26),"--")</f>
        <v>--</v>
      </c>
      <c r="G8" s="279" t="str">
        <f ca="1">IFERROR(INDEX('Emission Factors'!F$7:F$24,MATCH(OFFSET(Usage!$D7,0,-2),'Emission Factors'!$B$7:$B$24,0))*INDEX(Usage!$G$5:$G$31,MATCH('Boiler Emissions'!$C8,Usage!$D$5:$D$31,0))*(1-'Emission Factors'!$E$26),"--")</f>
        <v>--</v>
      </c>
      <c r="H8" s="279" t="str">
        <f ca="1">IFERROR(INDEX('Emission Factors'!G$7:G$24,MATCH(OFFSET(Usage!$D7,0,-2),'Emission Factors'!$B$7:$B$24,0))*INDEX(Usage!$G$5:$G$31,MATCH('Boiler Emissions'!$C8,Usage!$D$5:$D$31,0))*(1-'Emission Factors'!$E$26),"--")</f>
        <v>--</v>
      </c>
      <c r="I8" s="279">
        <f ca="1">IFERROR(INDEX('Emission Factors'!H$7:H$24,MATCH(OFFSET(Usage!$D7,0,-2),'Emission Factors'!$B$7:$B$24,0))*INDEX(Usage!$G$5:$G$31,MATCH('Boiler Emissions'!$C8,Usage!$D$5:$D$31,0))*(1-'Emission Factors'!$E$26),"--")</f>
        <v>9.5158800000000082E-5</v>
      </c>
      <c r="J8" s="279">
        <f ca="1">IFERROR(INDEX('Emission Factors'!I$7:I$24,MATCH(OFFSET(Usage!$D7,0,-2),'Emission Factors'!$B$7:$B$24,0))*INDEX(Usage!$G$5:$G$31,MATCH('Boiler Emissions'!$C8,Usage!$D$5:$D$31,0))*(1-'Emission Factors'!$E$26),"--")</f>
        <v>4.8708000000000043E-6</v>
      </c>
      <c r="K8" s="279">
        <f ca="1">IFERROR(INDEX('Emission Factors'!J$7:J$24,MATCH(OFFSET(Usage!$D7,0,-2),'Emission Factors'!$B$7:$B$24,0))*INDEX(Usage!$G$5:$G$31,MATCH('Boiler Emissions'!$C8,Usage!$D$5:$D$31,0))*(1-'Emission Factors'!$E$26),"--")</f>
        <v>8.4386016000000083E-6</v>
      </c>
      <c r="L8" s="279">
        <f ca="1">IFERROR(INDEX('Emission Factors'!K$7:K$24,MATCH(OFFSET(Usage!$D7,0,-2),'Emission Factors'!$B$7:$B$24,0))*INDEX(Usage!$G$5:$G$31,MATCH('Boiler Emissions'!$C8,Usage!$D$5:$D$31,0))*(1-'Emission Factors'!$E$26),"--")</f>
        <v>3.7778400000000031E-4</v>
      </c>
      <c r="M8" s="279">
        <f ca="1">IFERROR(INDEX('Emission Factors'!L$7:L$24,MATCH(OFFSET(Usage!$D7,0,-2),'Emission Factors'!$B$7:$B$24,0))*INDEX(Usage!$G$5:$G$31,MATCH('Boiler Emissions'!$C8,Usage!$D$5:$D$31,0))*(1-'Emission Factors'!$E$26),"--")</f>
        <v>1.1880000000000009E-6</v>
      </c>
      <c r="N8" s="279">
        <f ca="1">IFERROR(INDEX('Emission Factors'!M$7:M$24,MATCH(OFFSET(Usage!$D7,0,-2),'Emission Factors'!$B$7:$B$24,0))*INDEX(Usage!$G$5:$G$31,MATCH('Boiler Emissions'!$C8,Usage!$D$5:$D$31,0))*(1-'Emission Factors'!$E$26),"--")</f>
        <v>4.2193008000000042E-7</v>
      </c>
      <c r="O8" s="279" t="str">
        <f ca="1">IFERROR(INDEX('Emission Factors'!N$7:N$24,MATCH(OFFSET(Usage!$D7,0,-2),'Emission Factors'!$B$7:$B$24,0))*INDEX(Usage!$G$5:$G$31,MATCH('Boiler Emissions'!$C8,Usage!$D$5:$D$31,0))*(1-'Emission Factors'!$E$26),"--")</f>
        <v>--</v>
      </c>
      <c r="P8" s="279">
        <f ca="1">IFERROR(INDEX('Emission Factors'!O$7:O$24,MATCH(OFFSET(Usage!$D7,0,-2),'Emission Factors'!$B$7:$B$24,0))*INDEX(Usage!$G$5:$G$31,MATCH('Boiler Emissions'!$C8,Usage!$D$5:$D$31,0))*(1-'Emission Factors'!$E$26),"--")</f>
        <v>6.1365967462983321E-5</v>
      </c>
      <c r="Q8" s="279">
        <f ca="1">IFERROR(INDEX('Emission Factors'!P$7:P$24,MATCH(OFFSET(Usage!$D7,0,-2),'Emission Factors'!$B$7:$B$24,0))*INDEX(Usage!$G$5:$G$31,MATCH('Boiler Emissions'!$C8,Usage!$D$5:$D$31,0))*(1-'Emission Factors'!$E$26),"--")</f>
        <v>5.0631609600000039E-7</v>
      </c>
      <c r="R8" s="280" t="str">
        <f ca="1">IFERROR(INDEX('Emission Factors'!Q$7:Q$24,MATCH(OFFSET(Usage!$D7,0,-2),'Emission Factors'!$B$7:$B$24,0))*INDEX(Usage!$G$5:$G$31,MATCH('Boiler Emissions'!$C8,Usage!$D$5:$D$31,0))*(1-'Emission Factors'!$E$26),"--")</f>
        <v>--</v>
      </c>
      <c r="S8" s="281" t="str">
        <f ca="1">IFERROR(INDEX('Emission Factors'!R$7:R$24,MATCH(OFFSET(Usage!$D7,0,-2),'Emission Factors'!$B$7:$B$24,0))*INDEX(Usage!$G$5:$G$31,MATCH('Boiler Emissions'!$C8,Usage!$D$5:$D$31,0))*(1-'Emission Factors'!$E$26),"--")</f>
        <v>--</v>
      </c>
      <c r="T8" s="281">
        <f ca="1">IFERROR(INDEX('Emission Factors'!S$7:S$24,MATCH(OFFSET(Usage!$D7,0,-2),'Emission Factors'!$B$7:$B$24,0))*INDEX(Usage!$G$5:$G$31,MATCH('Boiler Emissions'!$C8,Usage!$D$5:$D$31,0))*(1-'Emission Factors'!$E$26),"--")</f>
        <v>3.7977664855779079E-6</v>
      </c>
    </row>
    <row r="9" spans="2:20" x14ac:dyDescent="0.25">
      <c r="B9" s="190" t="s">
        <v>41</v>
      </c>
      <c r="C9" s="226" t="s">
        <v>69</v>
      </c>
      <c r="D9" s="279" t="str">
        <f ca="1">IFERROR(INDEX('Emission Factors'!C$7:C$24,MATCH(OFFSET(Usage!$D8,0,-2),'Emission Factors'!$B$7:$B$24,0))*INDEX(Usage!$G$5:$G$31,MATCH('Boiler Emissions'!$C9,Usage!$D$5:$D$31,0))*(1-'Emission Factors'!$E$26),"--")</f>
        <v>--</v>
      </c>
      <c r="E9" s="279">
        <f ca="1">IFERROR(INDEX('Emission Factors'!D$7:D$24,MATCH(OFFSET(Usage!$D8,0,-2),'Emission Factors'!$B$7:$B$24,0))*INDEX(Usage!$G$5:$G$31,MATCH('Boiler Emissions'!$C9,Usage!$D$5:$D$31,0))*(1-'Emission Factors'!$E$26),"--")</f>
        <v>0</v>
      </c>
      <c r="F9" s="279" t="str">
        <f ca="1">IFERROR(INDEX('Emission Factors'!E$7:E$24,MATCH(OFFSET(Usage!$D8,0,-2),'Emission Factors'!$B$7:$B$24,0))*INDEX(Usage!$G$5:$G$31,MATCH('Boiler Emissions'!$C9,Usage!$D$5:$D$31,0))*(1-'Emission Factors'!$E$26),"--")</f>
        <v>--</v>
      </c>
      <c r="G9" s="279" t="str">
        <f ca="1">IFERROR(INDEX('Emission Factors'!F$7:F$24,MATCH(OFFSET(Usage!$D8,0,-2),'Emission Factors'!$B$7:$B$24,0))*INDEX(Usage!$G$5:$G$31,MATCH('Boiler Emissions'!$C9,Usage!$D$5:$D$31,0))*(1-'Emission Factors'!$E$26),"--")</f>
        <v>--</v>
      </c>
      <c r="H9" s="279" t="str">
        <f ca="1">IFERROR(INDEX('Emission Factors'!G$7:G$24,MATCH(OFFSET(Usage!$D8,0,-2),'Emission Factors'!$B$7:$B$24,0))*INDEX(Usage!$G$5:$G$31,MATCH('Boiler Emissions'!$C9,Usage!$D$5:$D$31,0))*(1-'Emission Factors'!$E$26),"--")</f>
        <v>--</v>
      </c>
      <c r="I9" s="279">
        <f ca="1">IFERROR(INDEX('Emission Factors'!H$7:H$24,MATCH(OFFSET(Usage!$D8,0,-2),'Emission Factors'!$B$7:$B$24,0))*INDEX(Usage!$G$5:$G$31,MATCH('Boiler Emissions'!$C9,Usage!$D$5:$D$31,0))*(1-'Emission Factors'!$E$26),"--")</f>
        <v>7.7200000000000074E-5</v>
      </c>
      <c r="J9" s="279">
        <f ca="1">IFERROR(INDEX('Emission Factors'!I$7:I$24,MATCH(OFFSET(Usage!$D8,0,-2),'Emission Factors'!$B$7:$B$24,0))*INDEX(Usage!$G$5:$G$31,MATCH('Boiler Emissions'!$C9,Usage!$D$5:$D$31,0))*(1-'Emission Factors'!$E$26),"--")</f>
        <v>2.8400000000000027E-7</v>
      </c>
      <c r="K9" s="279">
        <f ca="1">IFERROR(INDEX('Emission Factors'!J$7:J$24,MATCH(OFFSET(Usage!$D8,0,-2),'Emission Factors'!$B$7:$B$24,0))*INDEX(Usage!$G$5:$G$31,MATCH('Boiler Emissions'!$C9,Usage!$D$5:$D$31,0))*(1-'Emission Factors'!$E$26),"--")</f>
        <v>1.3113600000000012E-7</v>
      </c>
      <c r="L9" s="279">
        <f ca="1">IFERROR(INDEX('Emission Factors'!K$7:K$24,MATCH(OFFSET(Usage!$D8,0,-2),'Emission Factors'!$B$7:$B$24,0))*INDEX(Usage!$G$5:$G$31,MATCH('Boiler Emissions'!$C9,Usage!$D$5:$D$31,0))*(1-'Emission Factors'!$E$26),"--")</f>
        <v>2.450000000000002E-6</v>
      </c>
      <c r="M9" s="279">
        <f ca="1">IFERROR(INDEX('Emission Factors'!L$7:L$24,MATCH(OFFSET(Usage!$D8,0,-2),'Emission Factors'!$B$7:$B$24,0))*INDEX(Usage!$G$5:$G$31,MATCH('Boiler Emissions'!$C9,Usage!$D$5:$D$31,0))*(1-'Emission Factors'!$E$26),"--")</f>
        <v>2.2600000000000021E-6</v>
      </c>
      <c r="N9" s="279">
        <f ca="1">IFERROR(INDEX('Emission Factors'!M$7:M$24,MATCH(OFFSET(Usage!$D8,0,-2),'Emission Factors'!$B$7:$B$24,0))*INDEX(Usage!$G$5:$G$31,MATCH('Boiler Emissions'!$C9,Usage!$D$5:$D$31,0))*(1-'Emission Factors'!$E$26),"--")</f>
        <v>5.2454400000000046E-9</v>
      </c>
      <c r="O9" s="279" t="str">
        <f ca="1">IFERROR(INDEX('Emission Factors'!N$7:N$24,MATCH(OFFSET(Usage!$D8,0,-2),'Emission Factors'!$B$7:$B$24,0))*INDEX(Usage!$G$5:$G$31,MATCH('Boiler Emissions'!$C9,Usage!$D$5:$D$31,0))*(1-'Emission Factors'!$E$26),"--")</f>
        <v>--</v>
      </c>
      <c r="P9" s="279">
        <f ca="1">IFERROR(INDEX('Emission Factors'!O$7:O$24,MATCH(OFFSET(Usage!$D8,0,-2),'Emission Factors'!$B$7:$B$24,0))*INDEX(Usage!$G$5:$G$31,MATCH('Boiler Emissions'!$C9,Usage!$D$5:$D$31,0))*(1-'Emission Factors'!$E$26),"--")</f>
        <v>1.7763660462798169E-7</v>
      </c>
      <c r="Q9" s="279" t="str">
        <f ca="1">IFERROR(INDEX('Emission Factors'!P$7:P$24,MATCH(OFFSET(Usage!$D8,0,-2),'Emission Factors'!$B$7:$B$24,0))*INDEX(Usage!$G$5:$G$31,MATCH('Boiler Emissions'!$C9,Usage!$D$5:$D$31,0))*(1-'Emission Factors'!$E$26),"--")</f>
        <v>--</v>
      </c>
      <c r="R9" s="280" t="str">
        <f ca="1">IFERROR(INDEX('Emission Factors'!Q$7:Q$24,MATCH(OFFSET(Usage!$D8,0,-2),'Emission Factors'!$B$7:$B$24,0))*INDEX(Usage!$G$5:$G$31,MATCH('Boiler Emissions'!$C9,Usage!$D$5:$D$31,0))*(1-'Emission Factors'!$E$26),"--")</f>
        <v>--</v>
      </c>
      <c r="S9" s="281" t="str">
        <f ca="1">IFERROR(INDEX('Emission Factors'!R$7:R$24,MATCH(OFFSET(Usage!$D8,0,-2),'Emission Factors'!$B$7:$B$24,0))*INDEX(Usage!$G$5:$G$31,MATCH('Boiler Emissions'!$C9,Usage!$D$5:$D$31,0))*(1-'Emission Factors'!$E$26),"--")</f>
        <v>--</v>
      </c>
      <c r="T9" s="281">
        <f ca="1">IFERROR(INDEX('Emission Factors'!S$7:S$24,MATCH(OFFSET(Usage!$D8,0,-2),'Emission Factors'!$B$7:$B$24,0))*INDEX(Usage!$G$5:$G$31,MATCH('Boiler Emissions'!$C9,Usage!$D$5:$D$31,0))*(1-'Emission Factors'!$E$26),"--")</f>
        <v>6.5574833559145455E-7</v>
      </c>
    </row>
    <row r="10" spans="2:20" x14ac:dyDescent="0.25">
      <c r="B10" s="190" t="s">
        <v>41</v>
      </c>
      <c r="C10" s="226" t="s">
        <v>70</v>
      </c>
      <c r="D10" s="279" t="str">
        <f ca="1">IFERROR(INDEX('Emission Factors'!C$7:C$24,MATCH(OFFSET(Usage!$D9,0,-2),'Emission Factors'!$B$7:$B$24,0))*INDEX(Usage!$G$5:$G$31,MATCH('Boiler Emissions'!$C10,Usage!$D$5:$D$31,0))*(1-'Emission Factors'!$E$26),"--")</f>
        <v>--</v>
      </c>
      <c r="E10" s="279">
        <f ca="1">IFERROR(INDEX('Emission Factors'!D$7:D$24,MATCH(OFFSET(Usage!$D9,0,-2),'Emission Factors'!$B$7:$B$24,0))*INDEX(Usage!$G$5:$G$31,MATCH('Boiler Emissions'!$C10,Usage!$D$5:$D$31,0))*(1-'Emission Factors'!$E$26),"--")</f>
        <v>0</v>
      </c>
      <c r="F10" s="279" t="str">
        <f ca="1">IFERROR(INDEX('Emission Factors'!E$7:E$24,MATCH(OFFSET(Usage!$D9,0,-2),'Emission Factors'!$B$7:$B$24,0))*INDEX(Usage!$G$5:$G$31,MATCH('Boiler Emissions'!$C10,Usage!$D$5:$D$31,0))*(1-'Emission Factors'!$E$26),"--")</f>
        <v>--</v>
      </c>
      <c r="G10" s="279" t="str">
        <f ca="1">IFERROR(INDEX('Emission Factors'!F$7:F$24,MATCH(OFFSET(Usage!$D9,0,-2),'Emission Factors'!$B$7:$B$24,0))*INDEX(Usage!$G$5:$G$31,MATCH('Boiler Emissions'!$C10,Usage!$D$5:$D$31,0))*(1-'Emission Factors'!$E$26),"--")</f>
        <v>--</v>
      </c>
      <c r="H10" s="279" t="str">
        <f ca="1">IFERROR(INDEX('Emission Factors'!G$7:G$24,MATCH(OFFSET(Usage!$D9,0,-2),'Emission Factors'!$B$7:$B$24,0))*INDEX(Usage!$G$5:$G$31,MATCH('Boiler Emissions'!$C10,Usage!$D$5:$D$31,0))*(1-'Emission Factors'!$E$26),"--")</f>
        <v>--</v>
      </c>
      <c r="I10" s="279">
        <f ca="1">IFERROR(INDEX('Emission Factors'!H$7:H$24,MATCH(OFFSET(Usage!$D9,0,-2),'Emission Factors'!$B$7:$B$24,0))*INDEX(Usage!$G$5:$G$31,MATCH('Boiler Emissions'!$C10,Usage!$D$5:$D$31,0))*(1-'Emission Factors'!$E$26),"--")</f>
        <v>7.7200000000000074E-5</v>
      </c>
      <c r="J10" s="279">
        <f ca="1">IFERROR(INDEX('Emission Factors'!I$7:I$24,MATCH(OFFSET(Usage!$D9,0,-2),'Emission Factors'!$B$7:$B$24,0))*INDEX(Usage!$G$5:$G$31,MATCH('Boiler Emissions'!$C10,Usage!$D$5:$D$31,0))*(1-'Emission Factors'!$E$26),"--")</f>
        <v>2.8400000000000027E-7</v>
      </c>
      <c r="K10" s="279">
        <f ca="1">IFERROR(INDEX('Emission Factors'!J$7:J$24,MATCH(OFFSET(Usage!$D9,0,-2),'Emission Factors'!$B$7:$B$24,0))*INDEX(Usage!$G$5:$G$31,MATCH('Boiler Emissions'!$C10,Usage!$D$5:$D$31,0))*(1-'Emission Factors'!$E$26),"--")</f>
        <v>1.3113600000000012E-7</v>
      </c>
      <c r="L10" s="279">
        <f ca="1">IFERROR(INDEX('Emission Factors'!K$7:K$24,MATCH(OFFSET(Usage!$D9,0,-2),'Emission Factors'!$B$7:$B$24,0))*INDEX(Usage!$G$5:$G$31,MATCH('Boiler Emissions'!$C10,Usage!$D$5:$D$31,0))*(1-'Emission Factors'!$E$26),"--")</f>
        <v>2.450000000000002E-6</v>
      </c>
      <c r="M10" s="279">
        <f ca="1">IFERROR(INDEX('Emission Factors'!L$7:L$24,MATCH(OFFSET(Usage!$D9,0,-2),'Emission Factors'!$B$7:$B$24,0))*INDEX(Usage!$G$5:$G$31,MATCH('Boiler Emissions'!$C10,Usage!$D$5:$D$31,0))*(1-'Emission Factors'!$E$26),"--")</f>
        <v>2.2600000000000021E-6</v>
      </c>
      <c r="N10" s="279">
        <f ca="1">IFERROR(INDEX('Emission Factors'!M$7:M$24,MATCH(OFFSET(Usage!$D9,0,-2),'Emission Factors'!$B$7:$B$24,0))*INDEX(Usage!$G$5:$G$31,MATCH('Boiler Emissions'!$C10,Usage!$D$5:$D$31,0))*(1-'Emission Factors'!$E$26),"--")</f>
        <v>5.2454400000000046E-9</v>
      </c>
      <c r="O10" s="279" t="str">
        <f ca="1">IFERROR(INDEX('Emission Factors'!N$7:N$24,MATCH(OFFSET(Usage!$D9,0,-2),'Emission Factors'!$B$7:$B$24,0))*INDEX(Usage!$G$5:$G$31,MATCH('Boiler Emissions'!$C10,Usage!$D$5:$D$31,0))*(1-'Emission Factors'!$E$26),"--")</f>
        <v>--</v>
      </c>
      <c r="P10" s="279">
        <f ca="1">IFERROR(INDEX('Emission Factors'!O$7:O$24,MATCH(OFFSET(Usage!$D9,0,-2),'Emission Factors'!$B$7:$B$24,0))*INDEX(Usage!$G$5:$G$31,MATCH('Boiler Emissions'!$C10,Usage!$D$5:$D$31,0))*(1-'Emission Factors'!$E$26),"--")</f>
        <v>1.7763660462798169E-7</v>
      </c>
      <c r="Q10" s="279" t="str">
        <f ca="1">IFERROR(INDEX('Emission Factors'!P$7:P$24,MATCH(OFFSET(Usage!$D9,0,-2),'Emission Factors'!$B$7:$B$24,0))*INDEX(Usage!$G$5:$G$31,MATCH('Boiler Emissions'!$C10,Usage!$D$5:$D$31,0))*(1-'Emission Factors'!$E$26),"--")</f>
        <v>--</v>
      </c>
      <c r="R10" s="280" t="str">
        <f ca="1">IFERROR(INDEX('Emission Factors'!Q$7:Q$24,MATCH(OFFSET(Usage!$D9,0,-2),'Emission Factors'!$B$7:$B$24,0))*INDEX(Usage!$G$5:$G$31,MATCH('Boiler Emissions'!$C10,Usage!$D$5:$D$31,0))*(1-'Emission Factors'!$E$26),"--")</f>
        <v>--</v>
      </c>
      <c r="S10" s="281" t="str">
        <f ca="1">IFERROR(INDEX('Emission Factors'!R$7:R$24,MATCH(OFFSET(Usage!$D9,0,-2),'Emission Factors'!$B$7:$B$24,0))*INDEX(Usage!$G$5:$G$31,MATCH('Boiler Emissions'!$C10,Usage!$D$5:$D$31,0))*(1-'Emission Factors'!$E$26),"--")</f>
        <v>--</v>
      </c>
      <c r="T10" s="281">
        <f ca="1">IFERROR(INDEX('Emission Factors'!S$7:S$24,MATCH(OFFSET(Usage!$D9,0,-2),'Emission Factors'!$B$7:$B$24,0))*INDEX(Usage!$G$5:$G$31,MATCH('Boiler Emissions'!$C10,Usage!$D$5:$D$31,0))*(1-'Emission Factors'!$E$26),"--")</f>
        <v>6.5574833559145455E-7</v>
      </c>
    </row>
    <row r="11" spans="2:20" x14ac:dyDescent="0.25">
      <c r="B11" s="190" t="s">
        <v>40</v>
      </c>
      <c r="C11" s="226" t="s">
        <v>71</v>
      </c>
      <c r="D11" s="279" t="str">
        <f ca="1">IFERROR(INDEX('Emission Factors'!C$7:C$24,MATCH(OFFSET(Usage!$D10,0,-2),'Emission Factors'!$B$7:$B$24,0))*INDEX(Usage!$G$5:$G$31,MATCH('Boiler Emissions'!$C11,Usage!$D$5:$D$31,0))*(1-'Emission Factors'!$E$26),"--")</f>
        <v>--</v>
      </c>
      <c r="E11" s="279" t="str">
        <f ca="1">IFERROR(INDEX('Emission Factors'!D$7:D$24,MATCH(OFFSET(Usage!$D10,0,-2),'Emission Factors'!$B$7:$B$24,0))*INDEX(Usage!$G$5:$G$31,MATCH('Boiler Emissions'!$C11,Usage!$D$5:$D$31,0))*(1-'Emission Factors'!$E$26),"--")</f>
        <v>--</v>
      </c>
      <c r="F11" s="279" t="str">
        <f ca="1">IFERROR(INDEX('Emission Factors'!E$7:E$24,MATCH(OFFSET(Usage!$D10,0,-2),'Emission Factors'!$B$7:$B$24,0))*INDEX(Usage!$G$5:$G$31,MATCH('Boiler Emissions'!$C11,Usage!$D$5:$D$31,0))*(1-'Emission Factors'!$E$26),"--")</f>
        <v>--</v>
      </c>
      <c r="G11" s="279" t="str">
        <f ca="1">IFERROR(INDEX('Emission Factors'!F$7:F$24,MATCH(OFFSET(Usage!$D10,0,-2),'Emission Factors'!$B$7:$B$24,0))*INDEX(Usage!$G$5:$G$31,MATCH('Boiler Emissions'!$C11,Usage!$D$5:$D$31,0))*(1-'Emission Factors'!$E$26),"--")</f>
        <v>--</v>
      </c>
      <c r="H11" s="279" t="str">
        <f ca="1">IFERROR(INDEX('Emission Factors'!G$7:G$24,MATCH(OFFSET(Usage!$D10,0,-2),'Emission Factors'!$B$7:$B$24,0))*INDEX(Usage!$G$5:$G$31,MATCH('Boiler Emissions'!$C11,Usage!$D$5:$D$31,0))*(1-'Emission Factors'!$E$26),"--")</f>
        <v>--</v>
      </c>
      <c r="I11" s="279">
        <f ca="1">IFERROR(INDEX('Emission Factors'!H$7:H$24,MATCH(OFFSET(Usage!$D10,0,-2),'Emission Factors'!$B$7:$B$24,0))*INDEX(Usage!$G$5:$G$31,MATCH('Boiler Emissions'!$C11,Usage!$D$5:$D$31,0))*(1-'Emission Factors'!$E$26),"--")</f>
        <v>1.5220000000000012E-4</v>
      </c>
      <c r="J11" s="279">
        <f ca="1">IFERROR(INDEX('Emission Factors'!I$7:I$24,MATCH(OFFSET(Usage!$D10,0,-2),'Emission Factors'!$B$7:$B$24,0))*INDEX(Usage!$G$5:$G$31,MATCH('Boiler Emissions'!$C11,Usage!$D$5:$D$31,0))*(1-'Emission Factors'!$E$26),"--")</f>
        <v>1.6020000000000013E-6</v>
      </c>
      <c r="K11" s="279">
        <f ca="1">IFERROR(INDEX('Emission Factors'!J$7:J$24,MATCH(OFFSET(Usage!$D10,0,-2),'Emission Factors'!$B$7:$B$24,0))*INDEX(Usage!$G$5:$G$31,MATCH('Boiler Emissions'!$C11,Usage!$D$5:$D$31,0))*(1-'Emission Factors'!$E$26),"--")</f>
        <v>8.196000000000007E-7</v>
      </c>
      <c r="L11" s="279">
        <f ca="1">IFERROR(INDEX('Emission Factors'!K$7:K$24,MATCH(OFFSET(Usage!$D10,0,-2),'Emission Factors'!$B$7:$B$24,0))*INDEX(Usage!$G$5:$G$31,MATCH('Boiler Emissions'!$C11,Usage!$D$5:$D$31,0))*(1-'Emission Factors'!$E$26),"--")</f>
        <v>1.9124000000000018E-6</v>
      </c>
      <c r="M11" s="279">
        <f ca="1">IFERROR(INDEX('Emission Factors'!L$7:L$24,MATCH(OFFSET(Usage!$D10,0,-2),'Emission Factors'!$B$7:$B$24,0))*INDEX(Usage!$G$5:$G$31,MATCH('Boiler Emissions'!$C11,Usage!$D$5:$D$31,0))*(1-'Emission Factors'!$E$26),"--")</f>
        <v>1.4206400000000014E-5</v>
      </c>
      <c r="N11" s="279">
        <f ca="1">IFERROR(INDEX('Emission Factors'!M$7:M$24,MATCH(OFFSET(Usage!$D10,0,-2),'Emission Factors'!$B$7:$B$24,0))*INDEX(Usage!$G$5:$G$31,MATCH('Boiler Emissions'!$C11,Usage!$D$5:$D$31,0))*(1-'Emission Factors'!$E$26),"--")</f>
        <v>3.2784000000000024E-8</v>
      </c>
      <c r="O11" s="279" t="str">
        <f ca="1">IFERROR(INDEX('Emission Factors'!N$7:N$24,MATCH(OFFSET(Usage!$D10,0,-2),'Emission Factors'!$B$7:$B$24,0))*INDEX(Usage!$G$5:$G$31,MATCH('Boiler Emissions'!$C11,Usage!$D$5:$D$31,0))*(1-'Emission Factors'!$E$26),"--")</f>
        <v>--</v>
      </c>
      <c r="P11" s="279">
        <f ca="1">IFERROR(INDEX('Emission Factors'!O$7:O$24,MATCH(OFFSET(Usage!$D10,0,-2),'Emission Factors'!$B$7:$B$24,0))*INDEX(Usage!$G$5:$G$31,MATCH('Boiler Emissions'!$C11,Usage!$D$5:$D$31,0))*(1-'Emission Factors'!$E$26),"--")</f>
        <v>1.1102287789248854E-6</v>
      </c>
      <c r="Q11" s="279" t="str">
        <f ca="1">IFERROR(INDEX('Emission Factors'!P$7:P$24,MATCH(OFFSET(Usage!$D10,0,-2),'Emission Factors'!$B$7:$B$24,0))*INDEX(Usage!$G$5:$G$31,MATCH('Boiler Emissions'!$C11,Usage!$D$5:$D$31,0))*(1-'Emission Factors'!$E$26),"--")</f>
        <v>--</v>
      </c>
      <c r="R11" s="280" t="str">
        <f ca="1">IFERROR(INDEX('Emission Factors'!Q$7:Q$24,MATCH(OFFSET(Usage!$D10,0,-2),'Emission Factors'!$B$7:$B$24,0))*INDEX(Usage!$G$5:$G$31,MATCH('Boiler Emissions'!$C11,Usage!$D$5:$D$31,0))*(1-'Emission Factors'!$E$26),"--")</f>
        <v>--</v>
      </c>
      <c r="S11" s="281" t="str">
        <f ca="1">IFERROR(INDEX('Emission Factors'!R$7:R$24,MATCH(OFFSET(Usage!$D10,0,-2),'Emission Factors'!$B$7:$B$24,0))*INDEX(Usage!$G$5:$G$31,MATCH('Boiler Emissions'!$C11,Usage!$D$5:$D$31,0))*(1-'Emission Factors'!$E$26),"--")</f>
        <v>--</v>
      </c>
      <c r="T11" s="281">
        <f ca="1">IFERROR(INDEX('Emission Factors'!S$7:S$24,MATCH(OFFSET(Usage!$D10,0,-2),'Emission Factors'!$B$7:$B$24,0))*INDEX(Usage!$G$5:$G$31,MATCH('Boiler Emissions'!$C11,Usage!$D$5:$D$31,0))*(1-'Emission Factors'!$E$26),"--")</f>
        <v>1.2295281292339769E-6</v>
      </c>
    </row>
    <row r="12" spans="2:20" x14ac:dyDescent="0.25">
      <c r="B12" s="190" t="s">
        <v>40</v>
      </c>
      <c r="C12" s="226" t="s">
        <v>72</v>
      </c>
      <c r="D12" s="279" t="str">
        <f ca="1">IFERROR(INDEX('Emission Factors'!C$7:C$24,MATCH(OFFSET(Usage!$D11,0,-2),'Emission Factors'!$B$7:$B$24,0))*INDEX(Usage!$G$5:$G$31,MATCH('Boiler Emissions'!$C12,Usage!$D$5:$D$31,0))*(1-'Emission Factors'!$E$26),"--")</f>
        <v>--</v>
      </c>
      <c r="E12" s="279" t="str">
        <f ca="1">IFERROR(INDEX('Emission Factors'!D$7:D$24,MATCH(OFFSET(Usage!$D11,0,-2),'Emission Factors'!$B$7:$B$24,0))*INDEX(Usage!$G$5:$G$31,MATCH('Boiler Emissions'!$C12,Usage!$D$5:$D$31,0))*(1-'Emission Factors'!$E$26),"--")</f>
        <v>--</v>
      </c>
      <c r="F12" s="279" t="str">
        <f ca="1">IFERROR(INDEX('Emission Factors'!E$7:E$24,MATCH(OFFSET(Usage!$D11,0,-2),'Emission Factors'!$B$7:$B$24,0))*INDEX(Usage!$G$5:$G$31,MATCH('Boiler Emissions'!$C12,Usage!$D$5:$D$31,0))*(1-'Emission Factors'!$E$26),"--")</f>
        <v>--</v>
      </c>
      <c r="G12" s="279" t="str">
        <f ca="1">IFERROR(INDEX('Emission Factors'!F$7:F$24,MATCH(OFFSET(Usage!$D11,0,-2),'Emission Factors'!$B$7:$B$24,0))*INDEX(Usage!$G$5:$G$31,MATCH('Boiler Emissions'!$C12,Usage!$D$5:$D$31,0))*(1-'Emission Factors'!$E$26),"--")</f>
        <v>--</v>
      </c>
      <c r="H12" s="279" t="str">
        <f ca="1">IFERROR(INDEX('Emission Factors'!G$7:G$24,MATCH(OFFSET(Usage!$D11,0,-2),'Emission Factors'!$B$7:$B$24,0))*INDEX(Usage!$G$5:$G$31,MATCH('Boiler Emissions'!$C12,Usage!$D$5:$D$31,0))*(1-'Emission Factors'!$E$26),"--")</f>
        <v>--</v>
      </c>
      <c r="I12" s="279">
        <f ca="1">IFERROR(INDEX('Emission Factors'!H$7:H$24,MATCH(OFFSET(Usage!$D11,0,-2),'Emission Factors'!$B$7:$B$24,0))*INDEX(Usage!$G$5:$G$31,MATCH('Boiler Emissions'!$C12,Usage!$D$5:$D$31,0))*(1-'Emission Factors'!$E$26),"--")</f>
        <v>1.5220000000000012E-4</v>
      </c>
      <c r="J12" s="279">
        <f ca="1">IFERROR(INDEX('Emission Factors'!I$7:I$24,MATCH(OFFSET(Usage!$D11,0,-2),'Emission Factors'!$B$7:$B$24,0))*INDEX(Usage!$G$5:$G$31,MATCH('Boiler Emissions'!$C12,Usage!$D$5:$D$31,0))*(1-'Emission Factors'!$E$26),"--")</f>
        <v>1.6020000000000013E-6</v>
      </c>
      <c r="K12" s="279">
        <f ca="1">IFERROR(INDEX('Emission Factors'!J$7:J$24,MATCH(OFFSET(Usage!$D11,0,-2),'Emission Factors'!$B$7:$B$24,0))*INDEX(Usage!$G$5:$G$31,MATCH('Boiler Emissions'!$C12,Usage!$D$5:$D$31,0))*(1-'Emission Factors'!$E$26),"--")</f>
        <v>8.196000000000007E-7</v>
      </c>
      <c r="L12" s="279">
        <f ca="1">IFERROR(INDEX('Emission Factors'!K$7:K$24,MATCH(OFFSET(Usage!$D11,0,-2),'Emission Factors'!$B$7:$B$24,0))*INDEX(Usage!$G$5:$G$31,MATCH('Boiler Emissions'!$C12,Usage!$D$5:$D$31,0))*(1-'Emission Factors'!$E$26),"--")</f>
        <v>1.9124000000000018E-6</v>
      </c>
      <c r="M12" s="279">
        <f ca="1">IFERROR(INDEX('Emission Factors'!L$7:L$24,MATCH(OFFSET(Usage!$D11,0,-2),'Emission Factors'!$B$7:$B$24,0))*INDEX(Usage!$G$5:$G$31,MATCH('Boiler Emissions'!$C12,Usage!$D$5:$D$31,0))*(1-'Emission Factors'!$E$26),"--")</f>
        <v>1.4206400000000014E-5</v>
      </c>
      <c r="N12" s="279">
        <f ca="1">IFERROR(INDEX('Emission Factors'!M$7:M$24,MATCH(OFFSET(Usage!$D11,0,-2),'Emission Factors'!$B$7:$B$24,0))*INDEX(Usage!$G$5:$G$31,MATCH('Boiler Emissions'!$C12,Usage!$D$5:$D$31,0))*(1-'Emission Factors'!$E$26),"--")</f>
        <v>3.2784000000000024E-8</v>
      </c>
      <c r="O12" s="279" t="str">
        <f ca="1">IFERROR(INDEX('Emission Factors'!N$7:N$24,MATCH(OFFSET(Usage!$D11,0,-2),'Emission Factors'!$B$7:$B$24,0))*INDEX(Usage!$G$5:$G$31,MATCH('Boiler Emissions'!$C12,Usage!$D$5:$D$31,0))*(1-'Emission Factors'!$E$26),"--")</f>
        <v>--</v>
      </c>
      <c r="P12" s="279">
        <f ca="1">IFERROR(INDEX('Emission Factors'!O$7:O$24,MATCH(OFFSET(Usage!$D11,0,-2),'Emission Factors'!$B$7:$B$24,0))*INDEX(Usage!$G$5:$G$31,MATCH('Boiler Emissions'!$C12,Usage!$D$5:$D$31,0))*(1-'Emission Factors'!$E$26),"--")</f>
        <v>1.1102287789248854E-6</v>
      </c>
      <c r="Q12" s="279" t="str">
        <f ca="1">IFERROR(INDEX('Emission Factors'!P$7:P$24,MATCH(OFFSET(Usage!$D11,0,-2),'Emission Factors'!$B$7:$B$24,0))*INDEX(Usage!$G$5:$G$31,MATCH('Boiler Emissions'!$C12,Usage!$D$5:$D$31,0))*(1-'Emission Factors'!$E$26),"--")</f>
        <v>--</v>
      </c>
      <c r="R12" s="280" t="str">
        <f ca="1">IFERROR(INDEX('Emission Factors'!Q$7:Q$24,MATCH(OFFSET(Usage!$D11,0,-2),'Emission Factors'!$B$7:$B$24,0))*INDEX(Usage!$G$5:$G$31,MATCH('Boiler Emissions'!$C12,Usage!$D$5:$D$31,0))*(1-'Emission Factors'!$E$26),"--")</f>
        <v>--</v>
      </c>
      <c r="S12" s="281" t="str">
        <f ca="1">IFERROR(INDEX('Emission Factors'!R$7:R$24,MATCH(OFFSET(Usage!$D11,0,-2),'Emission Factors'!$B$7:$B$24,0))*INDEX(Usage!$G$5:$G$31,MATCH('Boiler Emissions'!$C12,Usage!$D$5:$D$31,0))*(1-'Emission Factors'!$E$26),"--")</f>
        <v>--</v>
      </c>
      <c r="T12" s="281">
        <f ca="1">IFERROR(INDEX('Emission Factors'!S$7:S$24,MATCH(OFFSET(Usage!$D11,0,-2),'Emission Factors'!$B$7:$B$24,0))*INDEX(Usage!$G$5:$G$31,MATCH('Boiler Emissions'!$C12,Usage!$D$5:$D$31,0))*(1-'Emission Factors'!$E$26),"--")</f>
        <v>1.2295281292339769E-6</v>
      </c>
    </row>
    <row r="13" spans="2:20" x14ac:dyDescent="0.25">
      <c r="B13" s="190">
        <v>6010</v>
      </c>
      <c r="C13" s="226" t="s">
        <v>73</v>
      </c>
      <c r="D13" s="279" t="str">
        <f ca="1">IFERROR(INDEX('Emission Factors'!C$7:C$24,MATCH(OFFSET(Usage!$D12,0,-2),'Emission Factors'!$B$7:$B$24,0))*INDEX(Usage!$G$5:$G$31,MATCH('Boiler Emissions'!$C13,Usage!$D$5:$D$31,0))*(1-'Emission Factors'!$E$26),"--")</f>
        <v>--</v>
      </c>
      <c r="E13" s="279" t="str">
        <f ca="1">IFERROR(INDEX('Emission Factors'!D$7:D$24,MATCH(OFFSET(Usage!$D12,0,-2),'Emission Factors'!$B$7:$B$24,0))*INDEX(Usage!$G$5:$G$31,MATCH('Boiler Emissions'!$C13,Usage!$D$5:$D$31,0))*(1-'Emission Factors'!$E$26),"--")</f>
        <v>--</v>
      </c>
      <c r="F13" s="279" t="str">
        <f ca="1">IFERROR(INDEX('Emission Factors'!E$7:E$24,MATCH(OFFSET(Usage!$D12,0,-2),'Emission Factors'!$B$7:$B$24,0))*INDEX(Usage!$G$5:$G$31,MATCH('Boiler Emissions'!$C13,Usage!$D$5:$D$31,0))*(1-'Emission Factors'!$E$26),"--")</f>
        <v>--</v>
      </c>
      <c r="G13" s="279" t="str">
        <f ca="1">IFERROR(INDEX('Emission Factors'!F$7:F$24,MATCH(OFFSET(Usage!$D12,0,-2),'Emission Factors'!$B$7:$B$24,0))*INDEX(Usage!$G$5:$G$31,MATCH('Boiler Emissions'!$C13,Usage!$D$5:$D$31,0))*(1-'Emission Factors'!$E$26),"--")</f>
        <v>--</v>
      </c>
      <c r="H13" s="279" t="str">
        <f ca="1">IFERROR(INDEX('Emission Factors'!G$7:G$24,MATCH(OFFSET(Usage!$D12,0,-2),'Emission Factors'!$B$7:$B$24,0))*INDEX(Usage!$G$5:$G$31,MATCH('Boiler Emissions'!$C13,Usage!$D$5:$D$31,0))*(1-'Emission Factors'!$E$26),"--")</f>
        <v>--</v>
      </c>
      <c r="I13" s="279">
        <f ca="1">IFERROR(INDEX('Emission Factors'!H$7:H$24,MATCH(OFFSET(Usage!$D12,0,-2),'Emission Factors'!$B$7:$B$24,0))*INDEX(Usage!$G$5:$G$31,MATCH('Boiler Emissions'!$C13,Usage!$D$5:$D$31,0))*(1-'Emission Factors'!$E$26),"--")</f>
        <v>3.0000000000000025E-7</v>
      </c>
      <c r="J13" s="279">
        <f ca="1">IFERROR(INDEX('Emission Factors'!I$7:I$24,MATCH(OFFSET(Usage!$D12,0,-2),'Emission Factors'!$B$7:$B$24,0))*INDEX(Usage!$G$5:$G$31,MATCH('Boiler Emissions'!$C13,Usage!$D$5:$D$31,0))*(1-'Emission Factors'!$E$26),"--")</f>
        <v>1.0000000000000007E-7</v>
      </c>
      <c r="K13" s="279" t="str">
        <f ca="1">IFERROR(INDEX('Emission Factors'!J$7:J$24,MATCH(OFFSET(Usage!$D12,0,-2),'Emission Factors'!$B$7:$B$24,0))*INDEX(Usage!$G$5:$G$31,MATCH('Boiler Emissions'!$C13,Usage!$D$5:$D$31,0))*(1-'Emission Factors'!$E$26),"--")</f>
        <v>--</v>
      </c>
      <c r="L13" s="279">
        <f ca="1">IFERROR(INDEX('Emission Factors'!K$7:K$24,MATCH(OFFSET(Usage!$D12,0,-2),'Emission Factors'!$B$7:$B$24,0))*INDEX(Usage!$G$5:$G$31,MATCH('Boiler Emissions'!$C13,Usage!$D$5:$D$31,0))*(1-'Emission Factors'!$E$26),"--")</f>
        <v>9.9100000000000078E-5</v>
      </c>
      <c r="M13" s="279">
        <f ca="1">IFERROR(INDEX('Emission Factors'!L$7:L$24,MATCH(OFFSET(Usage!$D12,0,-2),'Emission Factors'!$B$7:$B$24,0))*INDEX(Usage!$G$5:$G$31,MATCH('Boiler Emissions'!$C13,Usage!$D$5:$D$31,0))*(1-'Emission Factors'!$E$26),"--")</f>
        <v>4.000000000000003E-7</v>
      </c>
      <c r="N13" s="279" t="str">
        <f ca="1">IFERROR(INDEX('Emission Factors'!M$7:M$24,MATCH(OFFSET(Usage!$D12,0,-2),'Emission Factors'!$B$7:$B$24,0))*INDEX(Usage!$G$5:$G$31,MATCH('Boiler Emissions'!$C13,Usage!$D$5:$D$31,0))*(1-'Emission Factors'!$E$26),"--")</f>
        <v>--</v>
      </c>
      <c r="O13" s="279" t="str">
        <f ca="1">IFERROR(INDEX('Emission Factors'!N$7:N$24,MATCH(OFFSET(Usage!$D12,0,-2),'Emission Factors'!$B$7:$B$24,0))*INDEX(Usage!$G$5:$G$31,MATCH('Boiler Emissions'!$C13,Usage!$D$5:$D$31,0))*(1-'Emission Factors'!$E$26),"--")</f>
        <v>--</v>
      </c>
      <c r="P13" s="279">
        <f ca="1">IFERROR(INDEX('Emission Factors'!O$7:O$24,MATCH(OFFSET(Usage!$D12,0,-2),'Emission Factors'!$B$7:$B$24,0))*INDEX(Usage!$G$5:$G$31,MATCH('Boiler Emissions'!$C13,Usage!$D$5:$D$31,0))*(1-'Emission Factors'!$E$26),"--")</f>
        <v>1.0830347828936599E-5</v>
      </c>
      <c r="Q13" s="279" t="str">
        <f ca="1">IFERROR(INDEX('Emission Factors'!P$7:P$24,MATCH(OFFSET(Usage!$D12,0,-2),'Emission Factors'!$B$7:$B$24,0))*INDEX(Usage!$G$5:$G$31,MATCH('Boiler Emissions'!$C13,Usage!$D$5:$D$31,0))*(1-'Emission Factors'!$E$26),"--")</f>
        <v>--</v>
      </c>
      <c r="R13" s="280" t="str">
        <f ca="1">IFERROR(INDEX('Emission Factors'!Q$7:Q$24,MATCH(OFFSET(Usage!$D12,0,-2),'Emission Factors'!$B$7:$B$24,0))*INDEX(Usage!$G$5:$G$31,MATCH('Boiler Emissions'!$C13,Usage!$D$5:$D$31,0))*(1-'Emission Factors'!$E$26),"--")</f>
        <v>--</v>
      </c>
      <c r="S13" s="281" t="str">
        <f ca="1">IFERROR(INDEX('Emission Factors'!R$7:R$24,MATCH(OFFSET(Usage!$D12,0,-2),'Emission Factors'!$B$7:$B$24,0))*INDEX(Usage!$G$5:$G$31,MATCH('Boiler Emissions'!$C13,Usage!$D$5:$D$31,0))*(1-'Emission Factors'!$E$26),"--")</f>
        <v>--</v>
      </c>
      <c r="T13" s="281" t="str">
        <f ca="1">IFERROR(INDEX('Emission Factors'!S$7:S$24,MATCH(OFFSET(Usage!$D12,0,-2),'Emission Factors'!$B$7:$B$24,0))*INDEX(Usage!$G$5:$G$31,MATCH('Boiler Emissions'!$C13,Usage!$D$5:$D$31,0))*(1-'Emission Factors'!$E$26),"--")</f>
        <v>--</v>
      </c>
    </row>
    <row r="14" spans="2:20" x14ac:dyDescent="0.25">
      <c r="B14" s="190" t="s">
        <v>38</v>
      </c>
      <c r="C14" s="226" t="s">
        <v>75</v>
      </c>
      <c r="D14" s="279" t="str">
        <f ca="1">IFERROR(INDEX('Emission Factors'!C$7:C$24,MATCH(OFFSET(Usage!$D13,0,-2),'Emission Factors'!$B$7:$B$24,0))*INDEX(Usage!$G$5:$G$31,MATCH('Boiler Emissions'!$C14,Usage!$D$5:$D$31,0))*(1-'Emission Factors'!$E$26),"--")</f>
        <v>--</v>
      </c>
      <c r="E14" s="279" t="str">
        <f ca="1">IFERROR(INDEX('Emission Factors'!D$7:D$24,MATCH(OFFSET(Usage!$D13,0,-2),'Emission Factors'!$B$7:$B$24,0))*INDEX(Usage!$G$5:$G$31,MATCH('Boiler Emissions'!$C14,Usage!$D$5:$D$31,0))*(1-'Emission Factors'!$E$26),"--")</f>
        <v>--</v>
      </c>
      <c r="F14" s="279" t="str">
        <f ca="1">IFERROR(INDEX('Emission Factors'!E$7:E$24,MATCH(OFFSET(Usage!$D13,0,-2),'Emission Factors'!$B$7:$B$24,0))*INDEX(Usage!$G$5:$G$31,MATCH('Boiler Emissions'!$C14,Usage!$D$5:$D$31,0))*(1-'Emission Factors'!$E$26),"--")</f>
        <v>--</v>
      </c>
      <c r="G14" s="279" t="str">
        <f ca="1">IFERROR(INDEX('Emission Factors'!F$7:F$24,MATCH(OFFSET(Usage!$D13,0,-2),'Emission Factors'!$B$7:$B$24,0))*INDEX(Usage!$G$5:$G$31,MATCH('Boiler Emissions'!$C14,Usage!$D$5:$D$31,0))*(1-'Emission Factors'!$E$26),"--")</f>
        <v>--</v>
      </c>
      <c r="H14" s="279" t="str">
        <f ca="1">IFERROR(INDEX('Emission Factors'!G$7:G$24,MATCH(OFFSET(Usage!$D13,0,-2),'Emission Factors'!$B$7:$B$24,0))*INDEX(Usage!$G$5:$G$31,MATCH('Boiler Emissions'!$C14,Usage!$D$5:$D$31,0))*(1-'Emission Factors'!$E$26),"--")</f>
        <v>--</v>
      </c>
      <c r="I14" s="279">
        <f ca="1">IFERROR(INDEX('Emission Factors'!H$7:H$24,MATCH(OFFSET(Usage!$D13,0,-2),'Emission Factors'!$B$7:$B$24,0))*INDEX(Usage!$G$5:$G$31,MATCH('Boiler Emissions'!$C14,Usage!$D$5:$D$31,0))*(1-'Emission Factors'!$E$26),"--")</f>
        <v>1.4752800000000014E-6</v>
      </c>
      <c r="J14" s="279">
        <f ca="1">IFERROR(INDEX('Emission Factors'!I$7:I$24,MATCH(OFFSET(Usage!$D13,0,-2),'Emission Factors'!$B$7:$B$24,0))*INDEX(Usage!$G$5:$G$31,MATCH('Boiler Emissions'!$C14,Usage!$D$5:$D$31,0))*(1-'Emission Factors'!$E$26),"--")</f>
        <v>7.3764000000000077E-8</v>
      </c>
      <c r="K14" s="279">
        <f ca="1">IFERROR(INDEX('Emission Factors'!J$7:J$24,MATCH(OFFSET(Usage!$D13,0,-2),'Emission Factors'!$B$7:$B$24,0))*INDEX(Usage!$G$5:$G$31,MATCH('Boiler Emissions'!$C14,Usage!$D$5:$D$31,0))*(1-'Emission Factors'!$E$26),"--")</f>
        <v>5.464000000000005E-7</v>
      </c>
      <c r="L14" s="279">
        <f ca="1">IFERROR(INDEX('Emission Factors'!K$7:K$24,MATCH(OFFSET(Usage!$D13,0,-2),'Emission Factors'!$B$7:$B$24,0))*INDEX(Usage!$G$5:$G$31,MATCH('Boiler Emissions'!$C14,Usage!$D$5:$D$31,0))*(1-'Emission Factors'!$E$26),"--")</f>
        <v>6.0104000000000052E-7</v>
      </c>
      <c r="M14" s="279">
        <f ca="1">IFERROR(INDEX('Emission Factors'!L$7:L$24,MATCH(OFFSET(Usage!$D13,0,-2),'Emission Factors'!$B$7:$B$24,0))*INDEX(Usage!$G$5:$G$31,MATCH('Boiler Emissions'!$C14,Usage!$D$5:$D$31,0))*(1-'Emission Factors'!$E$26),"--")</f>
        <v>6.5568000000000064E-7</v>
      </c>
      <c r="N14" s="279">
        <f ca="1">IFERROR(INDEX('Emission Factors'!M$7:M$24,MATCH(OFFSET(Usage!$D13,0,-2),'Emission Factors'!$B$7:$B$24,0))*INDEX(Usage!$G$5:$G$31,MATCH('Boiler Emissions'!$C14,Usage!$D$5:$D$31,0))*(1-'Emission Factors'!$E$26),"--")</f>
        <v>4.3712000000000041E-7</v>
      </c>
      <c r="O14" s="279" t="str">
        <f ca="1">IFERROR(INDEX('Emission Factors'!N$7:N$24,MATCH(OFFSET(Usage!$D13,0,-2),'Emission Factors'!$B$7:$B$24,0))*INDEX(Usage!$G$5:$G$31,MATCH('Boiler Emissions'!$C14,Usage!$D$5:$D$31,0))*(1-'Emission Factors'!$E$26),"--")</f>
        <v>--</v>
      </c>
      <c r="P14" s="279">
        <f ca="1">IFERROR(INDEX('Emission Factors'!O$7:O$24,MATCH(OFFSET(Usage!$D13,0,-2),'Emission Factors'!$B$7:$B$24,0))*INDEX(Usage!$G$5:$G$31,MATCH('Boiler Emissions'!$C14,Usage!$D$5:$D$31,0))*(1-'Emission Factors'!$E$26),"--")</f>
        <v>1.2855280598077618E-6</v>
      </c>
      <c r="Q14" s="279" t="str">
        <f ca="1">IFERROR(INDEX('Emission Factors'!P$7:P$24,MATCH(OFFSET(Usage!$D13,0,-2),'Emission Factors'!$B$7:$B$24,0))*INDEX(Usage!$G$5:$G$31,MATCH('Boiler Emissions'!$C14,Usage!$D$5:$D$31,0))*(1-'Emission Factors'!$E$26),"--")</f>
        <v>--</v>
      </c>
      <c r="R14" s="280" t="str">
        <f ca="1">IFERROR(INDEX('Emission Factors'!Q$7:Q$24,MATCH(OFFSET(Usage!$D13,0,-2),'Emission Factors'!$B$7:$B$24,0))*INDEX(Usage!$G$5:$G$31,MATCH('Boiler Emissions'!$C14,Usage!$D$5:$D$31,0))*(1-'Emission Factors'!$E$26),"--")</f>
        <v>--</v>
      </c>
      <c r="S14" s="281" t="str">
        <f ca="1">IFERROR(INDEX('Emission Factors'!R$7:R$24,MATCH(OFFSET(Usage!$D13,0,-2),'Emission Factors'!$B$7:$B$24,0))*INDEX(Usage!$G$5:$G$31,MATCH('Boiler Emissions'!$C14,Usage!$D$5:$D$31,0))*(1-'Emission Factors'!$E$26),"--")</f>
        <v>--</v>
      </c>
      <c r="T14" s="281">
        <f ca="1">IFERROR(INDEX('Emission Factors'!S$7:S$24,MATCH(OFFSET(Usage!$D13,0,-2),'Emission Factors'!$B$7:$B$24,0))*INDEX(Usage!$G$5:$G$31,MATCH('Boiler Emissions'!$C14,Usage!$D$5:$D$31,0))*(1-'Emission Factors'!$E$26),"--")</f>
        <v>8.6066969046378403E-7</v>
      </c>
    </row>
    <row r="15" spans="2:20" x14ac:dyDescent="0.25">
      <c r="B15" s="190" t="s">
        <v>36</v>
      </c>
      <c r="C15" s="226" t="s">
        <v>76</v>
      </c>
      <c r="D15" s="279" t="str">
        <f ca="1">IFERROR(INDEX('Emission Factors'!C$7:C$24,MATCH(OFFSET(Usage!$D14,0,-2),'Emission Factors'!$B$7:$B$24,0))*INDEX(Usage!$G$5:$G$31,MATCH('Boiler Emissions'!$C15,Usage!$D$5:$D$31,0))*(1-'Emission Factors'!$E$26),"--")</f>
        <v>--</v>
      </c>
      <c r="E15" s="279" t="str">
        <f ca="1">IFERROR(INDEX('Emission Factors'!D$7:D$24,MATCH(OFFSET(Usage!$D14,0,-2),'Emission Factors'!$B$7:$B$24,0))*INDEX(Usage!$G$5:$G$31,MATCH('Boiler Emissions'!$C15,Usage!$D$5:$D$31,0))*(1-'Emission Factors'!$E$26),"--")</f>
        <v>--</v>
      </c>
      <c r="F15" s="279" t="str">
        <f ca="1">IFERROR(INDEX('Emission Factors'!E$7:E$24,MATCH(OFFSET(Usage!$D14,0,-2),'Emission Factors'!$B$7:$B$24,0))*INDEX(Usage!$G$5:$G$31,MATCH('Boiler Emissions'!$C15,Usage!$D$5:$D$31,0))*(1-'Emission Factors'!$E$26),"--")</f>
        <v>--</v>
      </c>
      <c r="G15" s="279" t="str">
        <f ca="1">IFERROR(INDEX('Emission Factors'!F$7:F$24,MATCH(OFFSET(Usage!$D14,0,-2),'Emission Factors'!$B$7:$B$24,0))*INDEX(Usage!$G$5:$G$31,MATCH('Boiler Emissions'!$C15,Usage!$D$5:$D$31,0))*(1-'Emission Factors'!$E$26),"--")</f>
        <v>--</v>
      </c>
      <c r="H15" s="279" t="str">
        <f ca="1">IFERROR(INDEX('Emission Factors'!G$7:G$24,MATCH(OFFSET(Usage!$D14,0,-2),'Emission Factors'!$B$7:$B$24,0))*INDEX(Usage!$G$5:$G$31,MATCH('Boiler Emissions'!$C15,Usage!$D$5:$D$31,0))*(1-'Emission Factors'!$E$26),"--")</f>
        <v>--</v>
      </c>
      <c r="I15" s="279">
        <f ca="1">IFERROR(INDEX('Emission Factors'!H$7:H$24,MATCH(OFFSET(Usage!$D14,0,-2),'Emission Factors'!$B$7:$B$24,0))*INDEX(Usage!$G$5:$G$31,MATCH('Boiler Emissions'!$C15,Usage!$D$5:$D$31,0))*(1-'Emission Factors'!$E$26),"--")</f>
        <v>8.0100000000000063E-6</v>
      </c>
      <c r="J15" s="279">
        <f ca="1">IFERROR(INDEX('Emission Factors'!I$7:I$24,MATCH(OFFSET(Usage!$D14,0,-2),'Emission Factors'!$B$7:$B$24,0))*INDEX(Usage!$G$5:$G$31,MATCH('Boiler Emissions'!$C15,Usage!$D$5:$D$31,0))*(1-'Emission Factors'!$E$26),"--")</f>
        <v>4.1000000000000031E-7</v>
      </c>
      <c r="K15" s="279">
        <f ca="1">IFERROR(INDEX('Emission Factors'!J$7:J$24,MATCH(OFFSET(Usage!$D14,0,-2),'Emission Factors'!$B$7:$B$24,0))*INDEX(Usage!$G$5:$G$31,MATCH('Boiler Emissions'!$C15,Usage!$D$5:$D$31,0))*(1-'Emission Factors'!$E$26),"--")</f>
        <v>7.1032000000000066E-7</v>
      </c>
      <c r="L15" s="279">
        <f ca="1">IFERROR(INDEX('Emission Factors'!K$7:K$24,MATCH(OFFSET(Usage!$D14,0,-2),'Emission Factors'!$B$7:$B$24,0))*INDEX(Usage!$G$5:$G$31,MATCH('Boiler Emissions'!$C15,Usage!$D$5:$D$31,0))*(1-'Emission Factors'!$E$26),"--")</f>
        <v>3.1800000000000028E-5</v>
      </c>
      <c r="M15" s="279">
        <f ca="1">IFERROR(INDEX('Emission Factors'!L$7:L$24,MATCH(OFFSET(Usage!$D14,0,-2),'Emission Factors'!$B$7:$B$24,0))*INDEX(Usage!$G$5:$G$31,MATCH('Boiler Emissions'!$C15,Usage!$D$5:$D$31,0))*(1-'Emission Factors'!$E$26),"--")</f>
        <v>1.0000000000000007E-7</v>
      </c>
      <c r="N15" s="279">
        <f ca="1">IFERROR(INDEX('Emission Factors'!M$7:M$24,MATCH(OFFSET(Usage!$D14,0,-2),'Emission Factors'!$B$7:$B$24,0))*INDEX(Usage!$G$5:$G$31,MATCH('Boiler Emissions'!$C15,Usage!$D$5:$D$31,0))*(1-'Emission Factors'!$E$26),"--")</f>
        <v>3.5516000000000032E-8</v>
      </c>
      <c r="O15" s="279" t="str">
        <f ca="1">IFERROR(INDEX('Emission Factors'!N$7:N$24,MATCH(OFFSET(Usage!$D14,0,-2),'Emission Factors'!$B$7:$B$24,0))*INDEX(Usage!$G$5:$G$31,MATCH('Boiler Emissions'!$C15,Usage!$D$5:$D$31,0))*(1-'Emission Factors'!$E$26),"--")</f>
        <v>--</v>
      </c>
      <c r="P15" s="279">
        <f ca="1">IFERROR(INDEX('Emission Factors'!O$7:O$24,MATCH(OFFSET(Usage!$D14,0,-2),'Emission Factors'!$B$7:$B$24,0))*INDEX(Usage!$G$5:$G$31,MATCH('Boiler Emissions'!$C15,Usage!$D$5:$D$31,0))*(1-'Emission Factors'!$E$26),"--")</f>
        <v>5.165485476682098E-6</v>
      </c>
      <c r="Q15" s="279">
        <f ca="1">IFERROR(INDEX('Emission Factors'!P$7:P$24,MATCH(OFFSET(Usage!$D14,0,-2),'Emission Factors'!$B$7:$B$24,0))*INDEX(Usage!$G$5:$G$31,MATCH('Boiler Emissions'!$C15,Usage!$D$5:$D$31,0))*(1-'Emission Factors'!$E$26),"--")</f>
        <v>4.261920000000003E-8</v>
      </c>
      <c r="R15" s="280" t="str">
        <f ca="1">IFERROR(INDEX('Emission Factors'!Q$7:Q$24,MATCH(OFFSET(Usage!$D14,0,-2),'Emission Factors'!$B$7:$B$24,0))*INDEX(Usage!$G$5:$G$31,MATCH('Boiler Emissions'!$C15,Usage!$D$5:$D$31,0))*(1-'Emission Factors'!$E$26),"--")</f>
        <v>--</v>
      </c>
      <c r="S15" s="281" t="str">
        <f ca="1">IFERROR(INDEX('Emission Factors'!R$7:R$24,MATCH(OFFSET(Usage!$D14,0,-2),'Emission Factors'!$B$7:$B$24,0))*INDEX(Usage!$G$5:$G$31,MATCH('Boiler Emissions'!$C15,Usage!$D$5:$D$31,0))*(1-'Emission Factors'!$E$26),"--")</f>
        <v>--</v>
      </c>
      <c r="T15" s="281">
        <f ca="1">IFERROR(INDEX('Emission Factors'!S$7:S$24,MATCH(OFFSET(Usage!$D14,0,-2),'Emission Factors'!$B$7:$B$24,0))*INDEX(Usage!$G$5:$G$31,MATCH('Boiler Emissions'!$C15,Usage!$D$5:$D$31,0))*(1-'Emission Factors'!$E$26),"--")</f>
        <v>3.1967731360083399E-7</v>
      </c>
    </row>
    <row r="16" spans="2:20" x14ac:dyDescent="0.25">
      <c r="B16" s="190" t="s">
        <v>39</v>
      </c>
      <c r="C16" s="226" t="s">
        <v>77</v>
      </c>
      <c r="D16" s="279" t="str">
        <f ca="1">IFERROR(INDEX('Emission Factors'!C$7:C$24,MATCH(OFFSET(Usage!$D15,0,-2),'Emission Factors'!$B$7:$B$24,0))*INDEX(Usage!$G$5:$G$31,MATCH('Boiler Emissions'!$C16,Usage!$D$5:$D$31,0))*(1-'Emission Factors'!$E$26),"--")</f>
        <v>--</v>
      </c>
      <c r="E16" s="279" t="str">
        <f ca="1">IFERROR(INDEX('Emission Factors'!D$7:D$24,MATCH(OFFSET(Usage!$D15,0,-2),'Emission Factors'!$B$7:$B$24,0))*INDEX(Usage!$G$5:$G$31,MATCH('Boiler Emissions'!$C16,Usage!$D$5:$D$31,0))*(1-'Emission Factors'!$E$26),"--")</f>
        <v>--</v>
      </c>
      <c r="F16" s="279" t="str">
        <f ca="1">IFERROR(INDEX('Emission Factors'!E$7:E$24,MATCH(OFFSET(Usage!$D15,0,-2),'Emission Factors'!$B$7:$B$24,0))*INDEX(Usage!$G$5:$G$31,MATCH('Boiler Emissions'!$C16,Usage!$D$5:$D$31,0))*(1-'Emission Factors'!$E$26),"--")</f>
        <v>--</v>
      </c>
      <c r="G16" s="279" t="str">
        <f ca="1">IFERROR(INDEX('Emission Factors'!F$7:F$24,MATCH(OFFSET(Usage!$D15,0,-2),'Emission Factors'!$B$7:$B$24,0))*INDEX(Usage!$G$5:$G$31,MATCH('Boiler Emissions'!$C16,Usage!$D$5:$D$31,0))*(1-'Emission Factors'!$E$26),"--")</f>
        <v>--</v>
      </c>
      <c r="H16" s="279" t="str">
        <f ca="1">IFERROR(INDEX('Emission Factors'!G$7:G$24,MATCH(OFFSET(Usage!$D15,0,-2),'Emission Factors'!$B$7:$B$24,0))*INDEX(Usage!$G$5:$G$31,MATCH('Boiler Emissions'!$C16,Usage!$D$5:$D$31,0))*(1-'Emission Factors'!$E$26),"--")</f>
        <v>--</v>
      </c>
      <c r="I16" s="279">
        <f ca="1">IFERROR(INDEX('Emission Factors'!H$7:H$24,MATCH(OFFSET(Usage!$D15,0,-2),'Emission Factors'!$B$7:$B$24,0))*INDEX(Usage!$G$5:$G$31,MATCH('Boiler Emissions'!$C16,Usage!$D$5:$D$31,0))*(1-'Emission Factors'!$E$26),"--")</f>
        <v>2.7320000000000028E-6</v>
      </c>
      <c r="J16" s="279">
        <f ca="1">IFERROR(INDEX('Emission Factors'!I$7:I$24,MATCH(OFFSET(Usage!$D15,0,-2),'Emission Factors'!$B$7:$B$24,0))*INDEX(Usage!$G$5:$G$31,MATCH('Boiler Emissions'!$C16,Usage!$D$5:$D$31,0))*(1-'Emission Factors'!$E$26),"--")</f>
        <v>1.3660000000000012E-7</v>
      </c>
      <c r="K16" s="279">
        <f ca="1">IFERROR(INDEX('Emission Factors'!J$7:J$24,MATCH(OFFSET(Usage!$D15,0,-2),'Emission Factors'!$B$7:$B$24,0))*INDEX(Usage!$G$5:$G$31,MATCH('Boiler Emissions'!$C16,Usage!$D$5:$D$31,0))*(1-'Emission Factors'!$E$26),"--")</f>
        <v>5.464000000000005E-7</v>
      </c>
      <c r="L16" s="279">
        <f ca="1">IFERROR(INDEX('Emission Factors'!K$7:K$24,MATCH(OFFSET(Usage!$D15,0,-2),'Emission Factors'!$B$7:$B$24,0))*INDEX(Usage!$G$5:$G$31,MATCH('Boiler Emissions'!$C16,Usage!$D$5:$D$31,0))*(1-'Emission Factors'!$E$26),"--")</f>
        <v>6.0104000000000052E-7</v>
      </c>
      <c r="M16" s="279">
        <f ca="1">IFERROR(INDEX('Emission Factors'!L$7:L$24,MATCH(OFFSET(Usage!$D15,0,-2),'Emission Factors'!$B$7:$B$24,0))*INDEX(Usage!$G$5:$G$31,MATCH('Boiler Emissions'!$C16,Usage!$D$5:$D$31,0))*(1-'Emission Factors'!$E$26),"--")</f>
        <v>6.5568000000000064E-7</v>
      </c>
      <c r="N16" s="279">
        <f ca="1">IFERROR(INDEX('Emission Factors'!M$7:M$24,MATCH(OFFSET(Usage!$D15,0,-2),'Emission Factors'!$B$7:$B$24,0))*INDEX(Usage!$G$5:$G$31,MATCH('Boiler Emissions'!$C16,Usage!$D$5:$D$31,0))*(1-'Emission Factors'!$E$26),"--")</f>
        <v>4.3712000000000041E-7</v>
      </c>
      <c r="O16" s="279" t="str">
        <f ca="1">IFERROR(INDEX('Emission Factors'!N$7:N$24,MATCH(OFFSET(Usage!$D15,0,-2),'Emission Factors'!$B$7:$B$24,0))*INDEX(Usage!$G$5:$G$31,MATCH('Boiler Emissions'!$C16,Usage!$D$5:$D$31,0))*(1-'Emission Factors'!$E$26),"--")</f>
        <v>--</v>
      </c>
      <c r="P16" s="279">
        <f ca="1">IFERROR(INDEX('Emission Factors'!O$7:O$24,MATCH(OFFSET(Usage!$D15,0,-2),'Emission Factors'!$B$7:$B$24,0))*INDEX(Usage!$G$5:$G$31,MATCH('Boiler Emissions'!$C16,Usage!$D$5:$D$31,0))*(1-'Emission Factors'!$E$26),"--")</f>
        <v>1.2855280598077618E-6</v>
      </c>
      <c r="Q16" s="279" t="str">
        <f ca="1">IFERROR(INDEX('Emission Factors'!P$7:P$24,MATCH(OFFSET(Usage!$D15,0,-2),'Emission Factors'!$B$7:$B$24,0))*INDEX(Usage!$G$5:$G$31,MATCH('Boiler Emissions'!$C16,Usage!$D$5:$D$31,0))*(1-'Emission Factors'!$E$26),"--")</f>
        <v>--</v>
      </c>
      <c r="R16" s="280" t="str">
        <f ca="1">IFERROR(INDEX('Emission Factors'!Q$7:Q$24,MATCH(OFFSET(Usage!$D15,0,-2),'Emission Factors'!$B$7:$B$24,0))*INDEX(Usage!$G$5:$G$31,MATCH('Boiler Emissions'!$C16,Usage!$D$5:$D$31,0))*(1-'Emission Factors'!$E$26),"--")</f>
        <v>--</v>
      </c>
      <c r="S16" s="281" t="str">
        <f ca="1">IFERROR(INDEX('Emission Factors'!R$7:R$24,MATCH(OFFSET(Usage!$D15,0,-2),'Emission Factors'!$B$7:$B$24,0))*INDEX(Usage!$G$5:$G$31,MATCH('Boiler Emissions'!$C16,Usage!$D$5:$D$31,0))*(1-'Emission Factors'!$E$26),"--")</f>
        <v>--</v>
      </c>
      <c r="T16" s="281">
        <f ca="1">IFERROR(INDEX('Emission Factors'!S$7:S$24,MATCH(OFFSET(Usage!$D15,0,-2),'Emission Factors'!$B$7:$B$24,0))*INDEX(Usage!$G$5:$G$31,MATCH('Boiler Emissions'!$C16,Usage!$D$5:$D$31,0))*(1-'Emission Factors'!$E$26),"--")</f>
        <v>1.7213393809275681E-6</v>
      </c>
    </row>
    <row r="17" spans="2:20" x14ac:dyDescent="0.25">
      <c r="B17" s="190">
        <v>6010</v>
      </c>
      <c r="C17" s="226" t="s">
        <v>78</v>
      </c>
      <c r="D17" s="279" t="str">
        <f ca="1">IFERROR(INDEX('Emission Factors'!C$7:C$24,MATCH(OFFSET(Usage!$D16,0,-2),'Emission Factors'!$B$7:$B$24,0))*INDEX(Usage!$G$5:$G$31,MATCH('Boiler Emissions'!$C17,Usage!$D$5:$D$31,0))*(1-'Emission Factors'!$E$26),"--")</f>
        <v>--</v>
      </c>
      <c r="E17" s="279" t="str">
        <f ca="1">IFERROR(INDEX('Emission Factors'!D$7:D$24,MATCH(OFFSET(Usage!$D16,0,-2),'Emission Factors'!$B$7:$B$24,0))*INDEX(Usage!$G$5:$G$31,MATCH('Boiler Emissions'!$C17,Usage!$D$5:$D$31,0))*(1-'Emission Factors'!$E$26),"--")</f>
        <v>--</v>
      </c>
      <c r="F17" s="279" t="str">
        <f ca="1">IFERROR(INDEX('Emission Factors'!E$7:E$24,MATCH(OFFSET(Usage!$D16,0,-2),'Emission Factors'!$B$7:$B$24,0))*INDEX(Usage!$G$5:$G$31,MATCH('Boiler Emissions'!$C17,Usage!$D$5:$D$31,0))*(1-'Emission Factors'!$E$26),"--")</f>
        <v>--</v>
      </c>
      <c r="G17" s="279" t="str">
        <f ca="1">IFERROR(INDEX('Emission Factors'!F$7:F$24,MATCH(OFFSET(Usage!$D16,0,-2),'Emission Factors'!$B$7:$B$24,0))*INDEX(Usage!$G$5:$G$31,MATCH('Boiler Emissions'!$C17,Usage!$D$5:$D$31,0))*(1-'Emission Factors'!$E$26),"--")</f>
        <v>--</v>
      </c>
      <c r="H17" s="279" t="str">
        <f ca="1">IFERROR(INDEX('Emission Factors'!G$7:G$24,MATCH(OFFSET(Usage!$D16,0,-2),'Emission Factors'!$B$7:$B$24,0))*INDEX(Usage!$G$5:$G$31,MATCH('Boiler Emissions'!$C17,Usage!$D$5:$D$31,0))*(1-'Emission Factors'!$E$26),"--")</f>
        <v>--</v>
      </c>
      <c r="I17" s="279">
        <f ca="1">IFERROR(INDEX('Emission Factors'!H$7:H$24,MATCH(OFFSET(Usage!$D16,0,-2),'Emission Factors'!$B$7:$B$24,0))*INDEX(Usage!$G$5:$G$31,MATCH('Boiler Emissions'!$C17,Usage!$D$5:$D$31,0))*(1-'Emission Factors'!$E$26),"--")</f>
        <v>3.0000000000000025E-7</v>
      </c>
      <c r="J17" s="279">
        <f ca="1">IFERROR(INDEX('Emission Factors'!I$7:I$24,MATCH(OFFSET(Usage!$D16,0,-2),'Emission Factors'!$B$7:$B$24,0))*INDEX(Usage!$G$5:$G$31,MATCH('Boiler Emissions'!$C17,Usage!$D$5:$D$31,0))*(1-'Emission Factors'!$E$26),"--")</f>
        <v>1.0000000000000007E-7</v>
      </c>
      <c r="K17" s="279" t="str">
        <f ca="1">IFERROR(INDEX('Emission Factors'!J$7:J$24,MATCH(OFFSET(Usage!$D16,0,-2),'Emission Factors'!$B$7:$B$24,0))*INDEX(Usage!$G$5:$G$31,MATCH('Boiler Emissions'!$C17,Usage!$D$5:$D$31,0))*(1-'Emission Factors'!$E$26),"--")</f>
        <v>--</v>
      </c>
      <c r="L17" s="279">
        <f ca="1">IFERROR(INDEX('Emission Factors'!K$7:K$24,MATCH(OFFSET(Usage!$D16,0,-2),'Emission Factors'!$B$7:$B$24,0))*INDEX(Usage!$G$5:$G$31,MATCH('Boiler Emissions'!$C17,Usage!$D$5:$D$31,0))*(1-'Emission Factors'!$E$26),"--")</f>
        <v>9.9100000000000078E-5</v>
      </c>
      <c r="M17" s="279">
        <f ca="1">IFERROR(INDEX('Emission Factors'!L$7:L$24,MATCH(OFFSET(Usage!$D16,0,-2),'Emission Factors'!$B$7:$B$24,0))*INDEX(Usage!$G$5:$G$31,MATCH('Boiler Emissions'!$C17,Usage!$D$5:$D$31,0))*(1-'Emission Factors'!$E$26),"--")</f>
        <v>4.000000000000003E-7</v>
      </c>
      <c r="N17" s="279" t="str">
        <f ca="1">IFERROR(INDEX('Emission Factors'!M$7:M$24,MATCH(OFFSET(Usage!$D16,0,-2),'Emission Factors'!$B$7:$B$24,0))*INDEX(Usage!$G$5:$G$31,MATCH('Boiler Emissions'!$C17,Usage!$D$5:$D$31,0))*(1-'Emission Factors'!$E$26),"--")</f>
        <v>--</v>
      </c>
      <c r="O17" s="279" t="str">
        <f ca="1">IFERROR(INDEX('Emission Factors'!N$7:N$24,MATCH(OFFSET(Usage!$D16,0,-2),'Emission Factors'!$B$7:$B$24,0))*INDEX(Usage!$G$5:$G$31,MATCH('Boiler Emissions'!$C17,Usage!$D$5:$D$31,0))*(1-'Emission Factors'!$E$26),"--")</f>
        <v>--</v>
      </c>
      <c r="P17" s="279">
        <f ca="1">IFERROR(INDEX('Emission Factors'!O$7:O$24,MATCH(OFFSET(Usage!$D16,0,-2),'Emission Factors'!$B$7:$B$24,0))*INDEX(Usage!$G$5:$G$31,MATCH('Boiler Emissions'!$C17,Usage!$D$5:$D$31,0))*(1-'Emission Factors'!$E$26),"--")</f>
        <v>1.0830347828936599E-5</v>
      </c>
      <c r="Q17" s="279" t="str">
        <f ca="1">IFERROR(INDEX('Emission Factors'!P$7:P$24,MATCH(OFFSET(Usage!$D16,0,-2),'Emission Factors'!$B$7:$B$24,0))*INDEX(Usage!$G$5:$G$31,MATCH('Boiler Emissions'!$C17,Usage!$D$5:$D$31,0))*(1-'Emission Factors'!$E$26),"--")</f>
        <v>--</v>
      </c>
      <c r="R17" s="280" t="str">
        <f ca="1">IFERROR(INDEX('Emission Factors'!Q$7:Q$24,MATCH(OFFSET(Usage!$D16,0,-2),'Emission Factors'!$B$7:$B$24,0))*INDEX(Usage!$G$5:$G$31,MATCH('Boiler Emissions'!$C17,Usage!$D$5:$D$31,0))*(1-'Emission Factors'!$E$26),"--")</f>
        <v>--</v>
      </c>
      <c r="S17" s="281" t="str">
        <f ca="1">IFERROR(INDEX('Emission Factors'!R$7:R$24,MATCH(OFFSET(Usage!$D16,0,-2),'Emission Factors'!$B$7:$B$24,0))*INDEX(Usage!$G$5:$G$31,MATCH('Boiler Emissions'!$C17,Usage!$D$5:$D$31,0))*(1-'Emission Factors'!$E$26),"--")</f>
        <v>--</v>
      </c>
      <c r="T17" s="281" t="str">
        <f ca="1">IFERROR(INDEX('Emission Factors'!S$7:S$24,MATCH(OFFSET(Usage!$D16,0,-2),'Emission Factors'!$B$7:$B$24,0))*INDEX(Usage!$G$5:$G$31,MATCH('Boiler Emissions'!$C17,Usage!$D$5:$D$31,0))*(1-'Emission Factors'!$E$26),"--")</f>
        <v>--</v>
      </c>
    </row>
    <row r="18" spans="2:20" x14ac:dyDescent="0.25">
      <c r="B18" s="190">
        <v>6010</v>
      </c>
      <c r="C18" s="226" t="s">
        <v>79</v>
      </c>
      <c r="D18" s="279" t="str">
        <f ca="1">IFERROR(INDEX('Emission Factors'!C$7:C$24,MATCH(OFFSET(Usage!$D17,0,-2),'Emission Factors'!$B$7:$B$24,0))*INDEX(Usage!$G$5:$G$31,MATCH('Boiler Emissions'!$C18,Usage!$D$5:$D$31,0))*(1-'Emission Factors'!$E$26),"--")</f>
        <v>--</v>
      </c>
      <c r="E18" s="279" t="str">
        <f ca="1">IFERROR(INDEX('Emission Factors'!D$7:D$24,MATCH(OFFSET(Usage!$D17,0,-2),'Emission Factors'!$B$7:$B$24,0))*INDEX(Usage!$G$5:$G$31,MATCH('Boiler Emissions'!$C18,Usage!$D$5:$D$31,0))*(1-'Emission Factors'!$E$26),"--")</f>
        <v>--</v>
      </c>
      <c r="F18" s="279" t="str">
        <f ca="1">IFERROR(INDEX('Emission Factors'!E$7:E$24,MATCH(OFFSET(Usage!$D17,0,-2),'Emission Factors'!$B$7:$B$24,0))*INDEX(Usage!$G$5:$G$31,MATCH('Boiler Emissions'!$C18,Usage!$D$5:$D$31,0))*(1-'Emission Factors'!$E$26),"--")</f>
        <v>--</v>
      </c>
      <c r="G18" s="279" t="str">
        <f ca="1">IFERROR(INDEX('Emission Factors'!F$7:F$24,MATCH(OFFSET(Usage!$D17,0,-2),'Emission Factors'!$B$7:$B$24,0))*INDEX(Usage!$G$5:$G$31,MATCH('Boiler Emissions'!$C18,Usage!$D$5:$D$31,0))*(1-'Emission Factors'!$E$26),"--")</f>
        <v>--</v>
      </c>
      <c r="H18" s="279" t="str">
        <f ca="1">IFERROR(INDEX('Emission Factors'!G$7:G$24,MATCH(OFFSET(Usage!$D17,0,-2),'Emission Factors'!$B$7:$B$24,0))*INDEX(Usage!$G$5:$G$31,MATCH('Boiler Emissions'!$C18,Usage!$D$5:$D$31,0))*(1-'Emission Factors'!$E$26),"--")</f>
        <v>--</v>
      </c>
      <c r="I18" s="279">
        <f ca="1">IFERROR(INDEX('Emission Factors'!H$7:H$24,MATCH(OFFSET(Usage!$D17,0,-2),'Emission Factors'!$B$7:$B$24,0))*INDEX(Usage!$G$5:$G$31,MATCH('Boiler Emissions'!$C18,Usage!$D$5:$D$31,0))*(1-'Emission Factors'!$E$26),"--")</f>
        <v>3.0000000000000025E-7</v>
      </c>
      <c r="J18" s="279">
        <f ca="1">IFERROR(INDEX('Emission Factors'!I$7:I$24,MATCH(OFFSET(Usage!$D17,0,-2),'Emission Factors'!$B$7:$B$24,0))*INDEX(Usage!$G$5:$G$31,MATCH('Boiler Emissions'!$C18,Usage!$D$5:$D$31,0))*(1-'Emission Factors'!$E$26),"--")</f>
        <v>1.0000000000000007E-7</v>
      </c>
      <c r="K18" s="279" t="str">
        <f ca="1">IFERROR(INDEX('Emission Factors'!J$7:J$24,MATCH(OFFSET(Usage!$D17,0,-2),'Emission Factors'!$B$7:$B$24,0))*INDEX(Usage!$G$5:$G$31,MATCH('Boiler Emissions'!$C18,Usage!$D$5:$D$31,0))*(1-'Emission Factors'!$E$26),"--")</f>
        <v>--</v>
      </c>
      <c r="L18" s="279">
        <f ca="1">IFERROR(INDEX('Emission Factors'!K$7:K$24,MATCH(OFFSET(Usage!$D17,0,-2),'Emission Factors'!$B$7:$B$24,0))*INDEX(Usage!$G$5:$G$31,MATCH('Boiler Emissions'!$C18,Usage!$D$5:$D$31,0))*(1-'Emission Factors'!$E$26),"--")</f>
        <v>9.9100000000000078E-5</v>
      </c>
      <c r="M18" s="279">
        <f ca="1">IFERROR(INDEX('Emission Factors'!L$7:L$24,MATCH(OFFSET(Usage!$D17,0,-2),'Emission Factors'!$B$7:$B$24,0))*INDEX(Usage!$G$5:$G$31,MATCH('Boiler Emissions'!$C18,Usage!$D$5:$D$31,0))*(1-'Emission Factors'!$E$26),"--")</f>
        <v>4.000000000000003E-7</v>
      </c>
      <c r="N18" s="279" t="str">
        <f ca="1">IFERROR(INDEX('Emission Factors'!M$7:M$24,MATCH(OFFSET(Usage!$D17,0,-2),'Emission Factors'!$B$7:$B$24,0))*INDEX(Usage!$G$5:$G$31,MATCH('Boiler Emissions'!$C18,Usage!$D$5:$D$31,0))*(1-'Emission Factors'!$E$26),"--")</f>
        <v>--</v>
      </c>
      <c r="O18" s="279" t="str">
        <f ca="1">IFERROR(INDEX('Emission Factors'!N$7:N$24,MATCH(OFFSET(Usage!$D17,0,-2),'Emission Factors'!$B$7:$B$24,0))*INDEX(Usage!$G$5:$G$31,MATCH('Boiler Emissions'!$C18,Usage!$D$5:$D$31,0))*(1-'Emission Factors'!$E$26),"--")</f>
        <v>--</v>
      </c>
      <c r="P18" s="279">
        <f ca="1">IFERROR(INDEX('Emission Factors'!O$7:O$24,MATCH(OFFSET(Usage!$D17,0,-2),'Emission Factors'!$B$7:$B$24,0))*INDEX(Usage!$G$5:$G$31,MATCH('Boiler Emissions'!$C18,Usage!$D$5:$D$31,0))*(1-'Emission Factors'!$E$26),"--")</f>
        <v>1.0830347828936599E-5</v>
      </c>
      <c r="Q18" s="279" t="str">
        <f ca="1">IFERROR(INDEX('Emission Factors'!P$7:P$24,MATCH(OFFSET(Usage!$D17,0,-2),'Emission Factors'!$B$7:$B$24,0))*INDEX(Usage!$G$5:$G$31,MATCH('Boiler Emissions'!$C18,Usage!$D$5:$D$31,0))*(1-'Emission Factors'!$E$26),"--")</f>
        <v>--</v>
      </c>
      <c r="R18" s="280" t="str">
        <f ca="1">IFERROR(INDEX('Emission Factors'!Q$7:Q$24,MATCH(OFFSET(Usage!$D17,0,-2),'Emission Factors'!$B$7:$B$24,0))*INDEX(Usage!$G$5:$G$31,MATCH('Boiler Emissions'!$C18,Usage!$D$5:$D$31,0))*(1-'Emission Factors'!$E$26),"--")</f>
        <v>--</v>
      </c>
      <c r="S18" s="281" t="str">
        <f ca="1">IFERROR(INDEX('Emission Factors'!R$7:R$24,MATCH(OFFSET(Usage!$D17,0,-2),'Emission Factors'!$B$7:$B$24,0))*INDEX(Usage!$G$5:$G$31,MATCH('Boiler Emissions'!$C18,Usage!$D$5:$D$31,0))*(1-'Emission Factors'!$E$26),"--")</f>
        <v>--</v>
      </c>
      <c r="T18" s="281" t="str">
        <f ca="1">IFERROR(INDEX('Emission Factors'!S$7:S$24,MATCH(OFFSET(Usage!$D17,0,-2),'Emission Factors'!$B$7:$B$24,0))*INDEX(Usage!$G$5:$G$31,MATCH('Boiler Emissions'!$C18,Usage!$D$5:$D$31,0))*(1-'Emission Factors'!$E$26),"--")</f>
        <v>--</v>
      </c>
    </row>
    <row r="19" spans="2:20" x14ac:dyDescent="0.25">
      <c r="B19" s="190">
        <v>6010</v>
      </c>
      <c r="C19" s="226" t="s">
        <v>80</v>
      </c>
      <c r="D19" s="279" t="str">
        <f ca="1">IFERROR(INDEX('Emission Factors'!C$7:C$24,MATCH(OFFSET(Usage!$D18,0,-2),'Emission Factors'!$B$7:$B$24,0))*INDEX(Usage!$G$5:$G$31,MATCH('Boiler Emissions'!$C19,Usage!$D$5:$D$31,0))*(1-'Emission Factors'!$E$26),"--")</f>
        <v>--</v>
      </c>
      <c r="E19" s="279" t="str">
        <f ca="1">IFERROR(INDEX('Emission Factors'!D$7:D$24,MATCH(OFFSET(Usage!$D18,0,-2),'Emission Factors'!$B$7:$B$24,0))*INDEX(Usage!$G$5:$G$31,MATCH('Boiler Emissions'!$C19,Usage!$D$5:$D$31,0))*(1-'Emission Factors'!$E$26),"--")</f>
        <v>--</v>
      </c>
      <c r="F19" s="279" t="str">
        <f ca="1">IFERROR(INDEX('Emission Factors'!E$7:E$24,MATCH(OFFSET(Usage!$D18,0,-2),'Emission Factors'!$B$7:$B$24,0))*INDEX(Usage!$G$5:$G$31,MATCH('Boiler Emissions'!$C19,Usage!$D$5:$D$31,0))*(1-'Emission Factors'!$E$26),"--")</f>
        <v>--</v>
      </c>
      <c r="G19" s="279" t="str">
        <f ca="1">IFERROR(INDEX('Emission Factors'!F$7:F$24,MATCH(OFFSET(Usage!$D18,0,-2),'Emission Factors'!$B$7:$B$24,0))*INDEX(Usage!$G$5:$G$31,MATCH('Boiler Emissions'!$C19,Usage!$D$5:$D$31,0))*(1-'Emission Factors'!$E$26),"--")</f>
        <v>--</v>
      </c>
      <c r="H19" s="279" t="str">
        <f ca="1">IFERROR(INDEX('Emission Factors'!G$7:G$24,MATCH(OFFSET(Usage!$D18,0,-2),'Emission Factors'!$B$7:$B$24,0))*INDEX(Usage!$G$5:$G$31,MATCH('Boiler Emissions'!$C19,Usage!$D$5:$D$31,0))*(1-'Emission Factors'!$E$26),"--")</f>
        <v>--</v>
      </c>
      <c r="I19" s="279">
        <f ca="1">IFERROR(INDEX('Emission Factors'!H$7:H$24,MATCH(OFFSET(Usage!$D18,0,-2),'Emission Factors'!$B$7:$B$24,0))*INDEX(Usage!$G$5:$G$31,MATCH('Boiler Emissions'!$C19,Usage!$D$5:$D$31,0))*(1-'Emission Factors'!$E$26),"--")</f>
        <v>3.0000000000000025E-7</v>
      </c>
      <c r="J19" s="279">
        <f ca="1">IFERROR(INDEX('Emission Factors'!I$7:I$24,MATCH(OFFSET(Usage!$D18,0,-2),'Emission Factors'!$B$7:$B$24,0))*INDEX(Usage!$G$5:$G$31,MATCH('Boiler Emissions'!$C19,Usage!$D$5:$D$31,0))*(1-'Emission Factors'!$E$26),"--")</f>
        <v>1.0000000000000007E-7</v>
      </c>
      <c r="K19" s="279" t="str">
        <f ca="1">IFERROR(INDEX('Emission Factors'!J$7:J$24,MATCH(OFFSET(Usage!$D18,0,-2),'Emission Factors'!$B$7:$B$24,0))*INDEX(Usage!$G$5:$G$31,MATCH('Boiler Emissions'!$C19,Usage!$D$5:$D$31,0))*(1-'Emission Factors'!$E$26),"--")</f>
        <v>--</v>
      </c>
      <c r="L19" s="279">
        <f ca="1">IFERROR(INDEX('Emission Factors'!K$7:K$24,MATCH(OFFSET(Usage!$D18,0,-2),'Emission Factors'!$B$7:$B$24,0))*INDEX(Usage!$G$5:$G$31,MATCH('Boiler Emissions'!$C19,Usage!$D$5:$D$31,0))*(1-'Emission Factors'!$E$26),"--")</f>
        <v>9.9100000000000078E-5</v>
      </c>
      <c r="M19" s="279">
        <f ca="1">IFERROR(INDEX('Emission Factors'!L$7:L$24,MATCH(OFFSET(Usage!$D18,0,-2),'Emission Factors'!$B$7:$B$24,0))*INDEX(Usage!$G$5:$G$31,MATCH('Boiler Emissions'!$C19,Usage!$D$5:$D$31,0))*(1-'Emission Factors'!$E$26),"--")</f>
        <v>4.000000000000003E-7</v>
      </c>
      <c r="N19" s="279" t="str">
        <f ca="1">IFERROR(INDEX('Emission Factors'!M$7:M$24,MATCH(OFFSET(Usage!$D18,0,-2),'Emission Factors'!$B$7:$B$24,0))*INDEX(Usage!$G$5:$G$31,MATCH('Boiler Emissions'!$C19,Usage!$D$5:$D$31,0))*(1-'Emission Factors'!$E$26),"--")</f>
        <v>--</v>
      </c>
      <c r="O19" s="279" t="str">
        <f ca="1">IFERROR(INDEX('Emission Factors'!N$7:N$24,MATCH(OFFSET(Usage!$D18,0,-2),'Emission Factors'!$B$7:$B$24,0))*INDEX(Usage!$G$5:$G$31,MATCH('Boiler Emissions'!$C19,Usage!$D$5:$D$31,0))*(1-'Emission Factors'!$E$26),"--")</f>
        <v>--</v>
      </c>
      <c r="P19" s="279">
        <f ca="1">IFERROR(INDEX('Emission Factors'!O$7:O$24,MATCH(OFFSET(Usage!$D18,0,-2),'Emission Factors'!$B$7:$B$24,0))*INDEX(Usage!$G$5:$G$31,MATCH('Boiler Emissions'!$C19,Usage!$D$5:$D$31,0))*(1-'Emission Factors'!$E$26),"--")</f>
        <v>1.0830347828936599E-5</v>
      </c>
      <c r="Q19" s="279" t="str">
        <f ca="1">IFERROR(INDEX('Emission Factors'!P$7:P$24,MATCH(OFFSET(Usage!$D18,0,-2),'Emission Factors'!$B$7:$B$24,0))*INDEX(Usage!$G$5:$G$31,MATCH('Boiler Emissions'!$C19,Usage!$D$5:$D$31,0))*(1-'Emission Factors'!$E$26),"--")</f>
        <v>--</v>
      </c>
      <c r="R19" s="280" t="str">
        <f ca="1">IFERROR(INDEX('Emission Factors'!Q$7:Q$24,MATCH(OFFSET(Usage!$D18,0,-2),'Emission Factors'!$B$7:$B$24,0))*INDEX(Usage!$G$5:$G$31,MATCH('Boiler Emissions'!$C19,Usage!$D$5:$D$31,0))*(1-'Emission Factors'!$E$26),"--")</f>
        <v>--</v>
      </c>
      <c r="S19" s="281" t="str">
        <f ca="1">IFERROR(INDEX('Emission Factors'!R$7:R$24,MATCH(OFFSET(Usage!$D18,0,-2),'Emission Factors'!$B$7:$B$24,0))*INDEX(Usage!$G$5:$G$31,MATCH('Boiler Emissions'!$C19,Usage!$D$5:$D$31,0))*(1-'Emission Factors'!$E$26),"--")</f>
        <v>--</v>
      </c>
      <c r="T19" s="281" t="str">
        <f ca="1">IFERROR(INDEX('Emission Factors'!S$7:S$24,MATCH(OFFSET(Usage!$D18,0,-2),'Emission Factors'!$B$7:$B$24,0))*INDEX(Usage!$G$5:$G$31,MATCH('Boiler Emissions'!$C19,Usage!$D$5:$D$31,0))*(1-'Emission Factors'!$E$26),"--")</f>
        <v>--</v>
      </c>
    </row>
    <row r="20" spans="2:20" x14ac:dyDescent="0.25">
      <c r="B20" s="190">
        <v>6011</v>
      </c>
      <c r="C20" s="226" t="s">
        <v>81</v>
      </c>
      <c r="D20" s="279" t="str">
        <f ca="1">IFERROR(INDEX('Emission Factors'!C$7:C$24,MATCH(OFFSET(Usage!$D19,0,-2),'Emission Factors'!$B$7:$B$24,0))*INDEX(Usage!$G$5:$G$31,MATCH('Boiler Emissions'!$C20,Usage!$D$5:$D$31,0))*(1-'Emission Factors'!$E$26),"--")</f>
        <v>--</v>
      </c>
      <c r="E20" s="279" t="str">
        <f ca="1">IFERROR(INDEX('Emission Factors'!D$7:D$24,MATCH(OFFSET(Usage!$D19,0,-2),'Emission Factors'!$B$7:$B$24,0))*INDEX(Usage!$G$5:$G$31,MATCH('Boiler Emissions'!$C20,Usage!$D$5:$D$31,0))*(1-'Emission Factors'!$E$26),"--")</f>
        <v>--</v>
      </c>
      <c r="F20" s="279" t="str">
        <f ca="1">IFERROR(INDEX('Emission Factors'!E$7:E$24,MATCH(OFFSET(Usage!$D19,0,-2),'Emission Factors'!$B$7:$B$24,0))*INDEX(Usage!$G$5:$G$31,MATCH('Boiler Emissions'!$C20,Usage!$D$5:$D$31,0))*(1-'Emission Factors'!$E$26),"--")</f>
        <v>--</v>
      </c>
      <c r="G20" s="279" t="str">
        <f ca="1">IFERROR(INDEX('Emission Factors'!F$7:F$24,MATCH(OFFSET(Usage!$D19,0,-2),'Emission Factors'!$B$7:$B$24,0))*INDEX(Usage!$G$5:$G$31,MATCH('Boiler Emissions'!$C20,Usage!$D$5:$D$31,0))*(1-'Emission Factors'!$E$26),"--")</f>
        <v>--</v>
      </c>
      <c r="H20" s="279">
        <f ca="1">IFERROR(INDEX('Emission Factors'!G$7:G$24,MATCH(OFFSET(Usage!$D19,0,-2),'Emission Factors'!$B$7:$B$24,0))*INDEX(Usage!$G$5:$G$31,MATCH('Boiler Emissions'!$C20,Usage!$D$5:$D$31,0))*(1-'Emission Factors'!$E$26),"--")</f>
        <v>5.0000000000000037E-8</v>
      </c>
      <c r="I20" s="279">
        <f ca="1">IFERROR(INDEX('Emission Factors'!H$7:H$24,MATCH(OFFSET(Usage!$D19,0,-2),'Emission Factors'!$B$7:$B$24,0))*INDEX(Usage!$G$5:$G$31,MATCH('Boiler Emissions'!$C20,Usage!$D$5:$D$31,0))*(1-'Emission Factors'!$E$26),"--")</f>
        <v>2.5000000000000025E-7</v>
      </c>
      <c r="J20" s="279">
        <f ca="1">IFERROR(INDEX('Emission Factors'!I$7:I$24,MATCH(OFFSET(Usage!$D19,0,-2),'Emission Factors'!$B$7:$B$24,0))*INDEX(Usage!$G$5:$G$31,MATCH('Boiler Emissions'!$C20,Usage!$D$5:$D$31,0))*(1-'Emission Factors'!$E$26),"--")</f>
        <v>1.3750000000000011E-7</v>
      </c>
      <c r="K20" s="279" t="str">
        <f ca="1">IFERROR(INDEX('Emission Factors'!J$7:J$24,MATCH(OFFSET(Usage!$D19,0,-2),'Emission Factors'!$B$7:$B$24,0))*INDEX(Usage!$G$5:$G$31,MATCH('Boiler Emissions'!$C20,Usage!$D$5:$D$31,0))*(1-'Emission Factors'!$E$26),"--")</f>
        <v>--</v>
      </c>
      <c r="L20" s="279">
        <f ca="1">IFERROR(INDEX('Emission Factors'!K$7:K$24,MATCH(OFFSET(Usage!$D19,0,-2),'Emission Factors'!$B$7:$B$24,0))*INDEX(Usage!$G$5:$G$31,MATCH('Boiler Emissions'!$C20,Usage!$D$5:$D$31,0))*(1-'Emission Factors'!$E$26),"--")</f>
        <v>4.9900000000000041E-5</v>
      </c>
      <c r="M20" s="279">
        <f ca="1">IFERROR(INDEX('Emission Factors'!L$7:L$24,MATCH(OFFSET(Usage!$D19,0,-2),'Emission Factors'!$B$7:$B$24,0))*INDEX(Usage!$G$5:$G$31,MATCH('Boiler Emissions'!$C20,Usage!$D$5:$D$31,0))*(1-'Emission Factors'!$E$26),"--")</f>
        <v>2.5000000000000025E-7</v>
      </c>
      <c r="N20" s="279" t="str">
        <f ca="1">IFERROR(INDEX('Emission Factors'!M$7:M$24,MATCH(OFFSET(Usage!$D19,0,-2),'Emission Factors'!$B$7:$B$24,0))*INDEX(Usage!$G$5:$G$31,MATCH('Boiler Emissions'!$C20,Usage!$D$5:$D$31,0))*(1-'Emission Factors'!$E$26),"--")</f>
        <v>--</v>
      </c>
      <c r="O20" s="279" t="str">
        <f ca="1">IFERROR(INDEX('Emission Factors'!N$7:N$24,MATCH(OFFSET(Usage!$D19,0,-2),'Emission Factors'!$B$7:$B$24,0))*INDEX(Usage!$G$5:$G$31,MATCH('Boiler Emissions'!$C20,Usage!$D$5:$D$31,0))*(1-'Emission Factors'!$E$26),"--")</f>
        <v>--</v>
      </c>
      <c r="P20" s="279">
        <f ca="1">IFERROR(INDEX('Emission Factors'!O$7:O$24,MATCH(OFFSET(Usage!$D19,0,-2),'Emission Factors'!$B$7:$B$24,0))*INDEX(Usage!$G$5:$G$31,MATCH('Boiler Emissions'!$C20,Usage!$D$5:$D$31,0))*(1-'Emission Factors'!$E$26),"--")</f>
        <v>3.0254400000000018E-6</v>
      </c>
      <c r="Q20" s="279" t="str">
        <f ca="1">IFERROR(INDEX('Emission Factors'!P$7:P$24,MATCH(OFFSET(Usage!$D19,0,-2),'Emission Factors'!$B$7:$B$24,0))*INDEX(Usage!$G$5:$G$31,MATCH('Boiler Emissions'!$C20,Usage!$D$5:$D$31,0))*(1-'Emission Factors'!$E$26),"--")</f>
        <v>--</v>
      </c>
      <c r="R20" s="280" t="str">
        <f ca="1">IFERROR(INDEX('Emission Factors'!Q$7:Q$24,MATCH(OFFSET(Usage!$D19,0,-2),'Emission Factors'!$B$7:$B$24,0))*INDEX(Usage!$G$5:$G$31,MATCH('Boiler Emissions'!$C20,Usage!$D$5:$D$31,0))*(1-'Emission Factors'!$E$26),"--")</f>
        <v>--</v>
      </c>
      <c r="S20" s="281" t="str">
        <f ca="1">IFERROR(INDEX('Emission Factors'!R$7:R$24,MATCH(OFFSET(Usage!$D19,0,-2),'Emission Factors'!$B$7:$B$24,0))*INDEX(Usage!$G$5:$G$31,MATCH('Boiler Emissions'!$C20,Usage!$D$5:$D$31,0))*(1-'Emission Factors'!$E$26),"--")</f>
        <v>--</v>
      </c>
      <c r="T20" s="281" t="str">
        <f ca="1">IFERROR(INDEX('Emission Factors'!S$7:S$24,MATCH(OFFSET(Usage!$D19,0,-2),'Emission Factors'!$B$7:$B$24,0))*INDEX(Usage!$G$5:$G$31,MATCH('Boiler Emissions'!$C20,Usage!$D$5:$D$31,0))*(1-'Emission Factors'!$E$26),"--")</f>
        <v>--</v>
      </c>
    </row>
    <row r="21" spans="2:20" x14ac:dyDescent="0.25">
      <c r="B21" s="190" t="s">
        <v>45</v>
      </c>
      <c r="C21" s="226" t="s">
        <v>82</v>
      </c>
      <c r="D21" s="279" t="str">
        <f ca="1">IFERROR(INDEX('Emission Factors'!C$7:C$24,MATCH(OFFSET(Usage!$D20,0,-2),'Emission Factors'!$B$7:$B$24,0))*INDEX(Usage!$G$5:$G$31,MATCH('Boiler Emissions'!$C21,Usage!$D$5:$D$31,0))*(1-'Emission Factors'!$E$26),"--")</f>
        <v>--</v>
      </c>
      <c r="E21" s="279">
        <f ca="1">IFERROR(INDEX('Emission Factors'!D$7:D$24,MATCH(OFFSET(Usage!$D20,0,-2),'Emission Factors'!$B$7:$B$24,0))*INDEX(Usage!$G$5:$G$31,MATCH('Boiler Emissions'!$C21,Usage!$D$5:$D$31,0))*(1-'Emission Factors'!$E$26),"--")</f>
        <v>3.335718713220874E-7</v>
      </c>
      <c r="F21" s="279" t="str">
        <f ca="1">IFERROR(INDEX('Emission Factors'!E$7:E$24,MATCH(OFFSET(Usage!$D20,0,-2),'Emission Factors'!$B$7:$B$24,0))*INDEX(Usage!$G$5:$G$31,MATCH('Boiler Emissions'!$C21,Usage!$D$5:$D$31,0))*(1-'Emission Factors'!$E$26),"--")</f>
        <v>--</v>
      </c>
      <c r="G21" s="279" t="str">
        <f ca="1">IFERROR(INDEX('Emission Factors'!F$7:F$24,MATCH(OFFSET(Usage!$D20,0,-2),'Emission Factors'!$B$7:$B$24,0))*INDEX(Usage!$G$5:$G$31,MATCH('Boiler Emissions'!$C21,Usage!$D$5:$D$31,0))*(1-'Emission Factors'!$E$26),"--")</f>
        <v>--</v>
      </c>
      <c r="H21" s="279" t="str">
        <f ca="1">IFERROR(INDEX('Emission Factors'!G$7:G$24,MATCH(OFFSET(Usage!$D20,0,-2),'Emission Factors'!$B$7:$B$24,0))*INDEX(Usage!$G$5:$G$31,MATCH('Boiler Emissions'!$C21,Usage!$D$5:$D$31,0))*(1-'Emission Factors'!$E$26),"--")</f>
        <v>--</v>
      </c>
      <c r="I21" s="279">
        <f ca="1">IFERROR(INDEX('Emission Factors'!H$7:H$24,MATCH(OFFSET(Usage!$D20,0,-2),'Emission Factors'!$B$7:$B$24,0))*INDEX(Usage!$G$5:$G$31,MATCH('Boiler Emissions'!$C21,Usage!$D$5:$D$31,0))*(1-'Emission Factors'!$E$26),"--")</f>
        <v>4.0110000000000034E-5</v>
      </c>
      <c r="J21" s="279">
        <f ca="1">IFERROR(INDEX('Emission Factors'!I$7:I$24,MATCH(OFFSET(Usage!$D20,0,-2),'Emission Factors'!$B$7:$B$24,0))*INDEX(Usage!$G$5:$G$31,MATCH('Boiler Emissions'!$C21,Usage!$D$5:$D$31,0))*(1-'Emission Factors'!$E$26),"--")</f>
        <v>2.206050000000002E-5</v>
      </c>
      <c r="K21" s="279" t="str">
        <f ca="1">IFERROR(INDEX('Emission Factors'!J$7:J$24,MATCH(OFFSET(Usage!$D20,0,-2),'Emission Factors'!$B$7:$B$24,0))*INDEX(Usage!$G$5:$G$31,MATCH('Boiler Emissions'!$C21,Usage!$D$5:$D$31,0))*(1-'Emission Factors'!$E$26),"--")</f>
        <v>--</v>
      </c>
      <c r="L21" s="279">
        <f ca="1">IFERROR(INDEX('Emission Factors'!K$7:K$24,MATCH(OFFSET(Usage!$D20,0,-2),'Emission Factors'!$B$7:$B$24,0))*INDEX(Usage!$G$5:$G$31,MATCH('Boiler Emissions'!$C21,Usage!$D$5:$D$31,0))*(1-'Emission Factors'!$E$26),"--")</f>
        <v>3.4380000000000033E-6</v>
      </c>
      <c r="M21" s="279">
        <f ca="1">IFERROR(INDEX('Emission Factors'!L$7:L$24,MATCH(OFFSET(Usage!$D20,0,-2),'Emission Factors'!$B$7:$B$24,0))*INDEX(Usage!$G$5:$G$31,MATCH('Boiler Emissions'!$C21,Usage!$D$5:$D$31,0))*(1-'Emission Factors'!$E$26),"--")</f>
        <v>6.3030000000000056E-7</v>
      </c>
      <c r="N21" s="279" t="str">
        <f ca="1">IFERROR(INDEX('Emission Factors'!M$7:M$24,MATCH(OFFSET(Usage!$D20,0,-2),'Emission Factors'!$B$7:$B$24,0))*INDEX(Usage!$G$5:$G$31,MATCH('Boiler Emissions'!$C21,Usage!$D$5:$D$31,0))*(1-'Emission Factors'!$E$26),"--")</f>
        <v>--</v>
      </c>
      <c r="O21" s="279" t="str">
        <f ca="1">IFERROR(INDEX('Emission Factors'!N$7:N$24,MATCH(OFFSET(Usage!$D20,0,-2),'Emission Factors'!$B$7:$B$24,0))*INDEX(Usage!$G$5:$G$31,MATCH('Boiler Emissions'!$C21,Usage!$D$5:$D$31,0))*(1-'Emission Factors'!$E$26),"--")</f>
        <v>--</v>
      </c>
      <c r="P21" s="279">
        <f ca="1">IFERROR(INDEX('Emission Factors'!O$7:O$24,MATCH(OFFSET(Usage!$D20,0,-2),'Emission Factors'!$B$7:$B$24,0))*INDEX(Usage!$G$5:$G$31,MATCH('Boiler Emissions'!$C21,Usage!$D$5:$D$31,0))*(1-'Emission Factors'!$E$26),"--")</f>
        <v>1.3481105019579931E-6</v>
      </c>
      <c r="Q21" s="279">
        <f ca="1">IFERROR(INDEX('Emission Factors'!P$7:P$24,MATCH(OFFSET(Usage!$D20,0,-2),'Emission Factors'!$B$7:$B$24,0))*INDEX(Usage!$G$5:$G$31,MATCH('Boiler Emissions'!$C21,Usage!$D$5:$D$31,0))*(1-'Emission Factors'!$E$26),"--")</f>
        <v>6.3030000000000056E-7</v>
      </c>
      <c r="R21" s="280" t="str">
        <f ca="1">IFERROR(INDEX('Emission Factors'!Q$7:Q$24,MATCH(OFFSET(Usage!$D20,0,-2),'Emission Factors'!$B$7:$B$24,0))*INDEX(Usage!$G$5:$G$31,MATCH('Boiler Emissions'!$C21,Usage!$D$5:$D$31,0))*(1-'Emission Factors'!$E$26),"--")</f>
        <v>--</v>
      </c>
      <c r="S21" s="281">
        <f ca="1">IFERROR(INDEX('Emission Factors'!R$7:R$24,MATCH(OFFSET(Usage!$D20,0,-2),'Emission Factors'!$B$7:$B$24,0))*INDEX(Usage!$G$5:$G$31,MATCH('Boiler Emissions'!$C21,Usage!$D$5:$D$31,0))*(1-'Emission Factors'!$E$26),"--")</f>
        <v>0</v>
      </c>
      <c r="T21" s="281">
        <f ca="1">IFERROR(INDEX('Emission Factors'!S$7:S$24,MATCH(OFFSET(Usage!$D20,0,-2),'Emission Factors'!$B$7:$B$24,0))*INDEX(Usage!$G$5:$G$31,MATCH('Boiler Emissions'!$C21,Usage!$D$5:$D$31,0))*(1-'Emission Factors'!$E$26),"--")</f>
        <v>5.1575374674309575E-6</v>
      </c>
    </row>
    <row r="22" spans="2:20" x14ac:dyDescent="0.25">
      <c r="B22" s="190" t="s">
        <v>49</v>
      </c>
      <c r="C22" s="226" t="s">
        <v>83</v>
      </c>
      <c r="D22" s="279">
        <f ca="1">IFERROR(INDEX('Emission Factors'!C$7:C$24,MATCH(OFFSET(Usage!$D21,0,-2),'Emission Factors'!$B$7:$B$24,0))*INDEX(Usage!$G$5:$G$31,MATCH('Boiler Emissions'!$C22,Usage!$D$5:$D$31,0))*(1-'Emission Factors'!$E$26),"--")</f>
        <v>3.0287089401162439E-7</v>
      </c>
      <c r="E22" s="279" t="str">
        <f ca="1">IFERROR(INDEX('Emission Factors'!D$7:D$24,MATCH(OFFSET(Usage!$D21,0,-2),'Emission Factors'!$B$7:$B$24,0))*INDEX(Usage!$G$5:$G$31,MATCH('Boiler Emissions'!$C22,Usage!$D$5:$D$31,0))*(1-'Emission Factors'!$E$26),"--")</f>
        <v>--</v>
      </c>
      <c r="F22" s="279" t="str">
        <f ca="1">IFERROR(INDEX('Emission Factors'!E$7:E$24,MATCH(OFFSET(Usage!$D21,0,-2),'Emission Factors'!$B$7:$B$24,0))*INDEX(Usage!$G$5:$G$31,MATCH('Boiler Emissions'!$C22,Usage!$D$5:$D$31,0))*(1-'Emission Factors'!$E$26),"--")</f>
        <v>--</v>
      </c>
      <c r="G22" s="279" t="str">
        <f ca="1">IFERROR(INDEX('Emission Factors'!F$7:F$24,MATCH(OFFSET(Usage!$D21,0,-2),'Emission Factors'!$B$7:$B$24,0))*INDEX(Usage!$G$5:$G$31,MATCH('Boiler Emissions'!$C22,Usage!$D$5:$D$31,0))*(1-'Emission Factors'!$E$26),"--")</f>
        <v>--</v>
      </c>
      <c r="H22" s="279" t="str">
        <f ca="1">IFERROR(INDEX('Emission Factors'!G$7:G$24,MATCH(OFFSET(Usage!$D21,0,-2),'Emission Factors'!$B$7:$B$24,0))*INDEX(Usage!$G$5:$G$31,MATCH('Boiler Emissions'!$C22,Usage!$D$5:$D$31,0))*(1-'Emission Factors'!$E$26),"--")</f>
        <v>--</v>
      </c>
      <c r="I22" s="279">
        <f ca="1">IFERROR(INDEX('Emission Factors'!H$7:H$24,MATCH(OFFSET(Usage!$D21,0,-2),'Emission Factors'!$B$7:$B$24,0))*INDEX(Usage!$G$5:$G$31,MATCH('Boiler Emissions'!$C22,Usage!$D$5:$D$31,0))*(1-'Emission Factors'!$E$26),"--")</f>
        <v>3.1515000000000033E-5</v>
      </c>
      <c r="J22" s="279">
        <f ca="1">IFERROR(INDEX('Emission Factors'!I$7:I$24,MATCH(OFFSET(Usage!$D21,0,-2),'Emission Factors'!$B$7:$B$24,0))*INDEX(Usage!$G$5:$G$31,MATCH('Boiler Emissions'!$C22,Usage!$D$5:$D$31,0))*(1-'Emission Factors'!$E$26),"--")</f>
        <v>1.7333250000000016E-5</v>
      </c>
      <c r="K22" s="279" t="str">
        <f ca="1">IFERROR(INDEX('Emission Factors'!J$7:J$24,MATCH(OFFSET(Usage!$D21,0,-2),'Emission Factors'!$B$7:$B$24,0))*INDEX(Usage!$G$5:$G$31,MATCH('Boiler Emissions'!$C22,Usage!$D$5:$D$31,0))*(1-'Emission Factors'!$E$26),"--")</f>
        <v>--</v>
      </c>
      <c r="L22" s="279">
        <f ca="1">IFERROR(INDEX('Emission Factors'!K$7:K$24,MATCH(OFFSET(Usage!$D21,0,-2),'Emission Factors'!$B$7:$B$24,0))*INDEX(Usage!$G$5:$G$31,MATCH('Boiler Emissions'!$C22,Usage!$D$5:$D$31,0))*(1-'Emission Factors'!$E$26),"--")</f>
        <v>6.3030000000000056E-7</v>
      </c>
      <c r="M22" s="279">
        <f ca="1">IFERROR(INDEX('Emission Factors'!L$7:L$24,MATCH(OFFSET(Usage!$D21,0,-2),'Emission Factors'!$B$7:$B$24,0))*INDEX(Usage!$G$5:$G$31,MATCH('Boiler Emissions'!$C22,Usage!$D$5:$D$31,0))*(1-'Emission Factors'!$E$26),"--")</f>
        <v>1.1460000000000011E-5</v>
      </c>
      <c r="N22" s="279" t="str">
        <f ca="1">IFERROR(INDEX('Emission Factors'!M$7:M$24,MATCH(OFFSET(Usage!$D21,0,-2),'Emission Factors'!$B$7:$B$24,0))*INDEX(Usage!$G$5:$G$31,MATCH('Boiler Emissions'!$C22,Usage!$D$5:$D$31,0))*(1-'Emission Factors'!$E$26),"--")</f>
        <v>--</v>
      </c>
      <c r="O22" s="279" t="str">
        <f ca="1">IFERROR(INDEX('Emission Factors'!N$7:N$24,MATCH(OFFSET(Usage!$D21,0,-2),'Emission Factors'!$B$7:$B$24,0))*INDEX(Usage!$G$5:$G$31,MATCH('Boiler Emissions'!$C22,Usage!$D$5:$D$31,0))*(1-'Emission Factors'!$E$26),"--")</f>
        <v>--</v>
      </c>
      <c r="P22" s="279">
        <f ca="1">IFERROR(INDEX('Emission Factors'!O$7:O$24,MATCH(OFFSET(Usage!$D21,0,-2),'Emission Factors'!$B$7:$B$24,0))*INDEX(Usage!$G$5:$G$31,MATCH('Boiler Emissions'!$C22,Usage!$D$5:$D$31,0))*(1-'Emission Factors'!$E$26),"--")</f>
        <v>1.146000000000001E-6</v>
      </c>
      <c r="Q22" s="279" t="str">
        <f ca="1">IFERROR(INDEX('Emission Factors'!P$7:P$24,MATCH(OFFSET(Usage!$D21,0,-2),'Emission Factors'!$B$7:$B$24,0))*INDEX(Usage!$G$5:$G$31,MATCH('Boiler Emissions'!$C22,Usage!$D$5:$D$31,0))*(1-'Emission Factors'!$E$26),"--")</f>
        <v>--</v>
      </c>
      <c r="R22" s="280" t="str">
        <f ca="1">IFERROR(INDEX('Emission Factors'!Q$7:Q$24,MATCH(OFFSET(Usage!$D21,0,-2),'Emission Factors'!$B$7:$B$24,0))*INDEX(Usage!$G$5:$G$31,MATCH('Boiler Emissions'!$C22,Usage!$D$5:$D$31,0))*(1-'Emission Factors'!$E$26),"--")</f>
        <v>--</v>
      </c>
      <c r="S22" s="281">
        <f ca="1">IFERROR(INDEX('Emission Factors'!R$7:R$24,MATCH(OFFSET(Usage!$D21,0,-2),'Emission Factors'!$B$7:$B$24,0))*INDEX(Usage!$G$5:$G$31,MATCH('Boiler Emissions'!$C22,Usage!$D$5:$D$31,0))*(1-'Emission Factors'!$E$26),"--")</f>
        <v>1.6727784891165188E-6</v>
      </c>
      <c r="T22" s="281">
        <f ca="1">IFERROR(INDEX('Emission Factors'!S$7:S$24,MATCH(OFFSET(Usage!$D21,0,-2),'Emission Factors'!$B$7:$B$24,0))*INDEX(Usage!$G$5:$G$31,MATCH('Boiler Emissions'!$C22,Usage!$D$5:$D$31,0))*(1-'Emission Factors'!$E$26),"--")</f>
        <v>9.4554853569567554E-7</v>
      </c>
    </row>
    <row r="23" spans="2:20" x14ac:dyDescent="0.25">
      <c r="B23" s="190" t="s">
        <v>66</v>
      </c>
      <c r="C23" s="226" t="s">
        <v>84</v>
      </c>
      <c r="D23" s="279">
        <f ca="1">IFERROR(INDEX('Emission Factors'!C$7:C$24,MATCH(OFFSET(Usage!$D22,0,-2),'Emission Factors'!$B$7:$B$24,0))*INDEX(Usage!$G$5:$G$31,MATCH('Boiler Emissions'!$C23,Usage!$D$5:$D$31,0))*(1-'Emission Factors'!$E$26),"--")</f>
        <v>7.8681600000000057E-5</v>
      </c>
      <c r="E23" s="279" t="str">
        <f ca="1">IFERROR(INDEX('Emission Factors'!D$7:D$24,MATCH(OFFSET(Usage!$D22,0,-2),'Emission Factors'!$B$7:$B$24,0))*INDEX(Usage!$G$5:$G$31,MATCH('Boiler Emissions'!$C23,Usage!$D$5:$D$31,0))*(1-'Emission Factors'!$E$26),"--")</f>
        <v>--</v>
      </c>
      <c r="F23" s="279" t="str">
        <f ca="1">IFERROR(INDEX('Emission Factors'!E$7:E$24,MATCH(OFFSET(Usage!$D22,0,-2),'Emission Factors'!$B$7:$B$24,0))*INDEX(Usage!$G$5:$G$31,MATCH('Boiler Emissions'!$C23,Usage!$D$5:$D$31,0))*(1-'Emission Factors'!$E$26),"--")</f>
        <v>--</v>
      </c>
      <c r="G23" s="279" t="str">
        <f ca="1">IFERROR(INDEX('Emission Factors'!F$7:F$24,MATCH(OFFSET(Usage!$D22,0,-2),'Emission Factors'!$B$7:$B$24,0))*INDEX(Usage!$G$5:$G$31,MATCH('Boiler Emissions'!$C23,Usage!$D$5:$D$31,0))*(1-'Emission Factors'!$E$26),"--")</f>
        <v>--</v>
      </c>
      <c r="H23" s="279">
        <f ca="1">IFERROR(INDEX('Emission Factors'!G$7:G$24,MATCH(OFFSET(Usage!$D22,0,-2),'Emission Factors'!$B$7:$B$24,0))*INDEX(Usage!$G$5:$G$31,MATCH('Boiler Emissions'!$C23,Usage!$D$5:$D$31,0))*(1-'Emission Factors'!$E$26),"--")</f>
        <v>8.6549760000000076E-4</v>
      </c>
      <c r="I23" s="279">
        <f ca="1">IFERROR(INDEX('Emission Factors'!H$7:H$24,MATCH(OFFSET(Usage!$D22,0,-2),'Emission Factors'!$B$7:$B$24,0))*INDEX(Usage!$G$5:$G$31,MATCH('Boiler Emissions'!$C23,Usage!$D$5:$D$31,0))*(1-'Emission Factors'!$E$26),"--")</f>
        <v>4.3274880000000038E-4</v>
      </c>
      <c r="J23" s="279">
        <f ca="1">IFERROR(INDEX('Emission Factors'!I$7:I$24,MATCH(OFFSET(Usage!$D22,0,-2),'Emission Factors'!$B$7:$B$24,0))*INDEX(Usage!$G$5:$G$31,MATCH('Boiler Emissions'!$C23,Usage!$D$5:$D$31,0))*(1-'Emission Factors'!$E$26),"--")</f>
        <v>2.1637440000000024E-5</v>
      </c>
      <c r="K23" s="279">
        <f ca="1">IFERROR(INDEX('Emission Factors'!J$7:J$24,MATCH(OFFSET(Usage!$D22,0,-2),'Emission Factors'!$B$7:$B$24,0))*INDEX(Usage!$G$5:$G$31,MATCH('Boiler Emissions'!$C23,Usage!$D$5:$D$31,0))*(1-'Emission Factors'!$E$26),"--")</f>
        <v>4.4586240000000046E-4</v>
      </c>
      <c r="L23" s="279">
        <f ca="1">IFERROR(INDEX('Emission Factors'!K$7:K$24,MATCH(OFFSET(Usage!$D22,0,-2),'Emission Factors'!$B$7:$B$24,0))*INDEX(Usage!$G$5:$G$31,MATCH('Boiler Emissions'!$C23,Usage!$D$5:$D$31,0))*(1-'Emission Factors'!$E$26),"--")</f>
        <v>2.0981760000000021E-4</v>
      </c>
      <c r="M23" s="279">
        <f ca="1">IFERROR(INDEX('Emission Factors'!L$7:L$24,MATCH(OFFSET(Usage!$D22,0,-2),'Emission Factors'!$B$7:$B$24,0))*INDEX(Usage!$G$5:$G$31,MATCH('Boiler Emissions'!$C23,Usage!$D$5:$D$31,0))*(1-'Emission Factors'!$E$26),"--")</f>
        <v>1.2982464000000011E-3</v>
      </c>
      <c r="N23" s="279">
        <f ca="1">IFERROR(INDEX('Emission Factors'!M$7:M$24,MATCH(OFFSET(Usage!$D22,0,-2),'Emission Factors'!$B$7:$B$24,0))*INDEX(Usage!$G$5:$G$31,MATCH('Boiler Emissions'!$C23,Usage!$D$5:$D$31,0))*(1-'Emission Factors'!$E$26),"--")</f>
        <v>0</v>
      </c>
      <c r="O23" s="279" t="str">
        <f ca="1">IFERROR(INDEX('Emission Factors'!N$7:N$24,MATCH(OFFSET(Usage!$D22,0,-2),'Emission Factors'!$B$7:$B$24,0))*INDEX(Usage!$G$5:$G$31,MATCH('Boiler Emissions'!$C23,Usage!$D$5:$D$31,0))*(1-'Emission Factors'!$E$26),"--")</f>
        <v>--</v>
      </c>
      <c r="P23" s="279">
        <f ca="1">IFERROR(INDEX('Emission Factors'!O$7:O$24,MATCH(OFFSET(Usage!$D22,0,-2),'Emission Factors'!$B$7:$B$24,0))*INDEX(Usage!$G$5:$G$31,MATCH('Boiler Emissions'!$C23,Usage!$D$5:$D$31,0))*(1-'Emission Factors'!$E$26),"--")</f>
        <v>5.2454400000000051E-5</v>
      </c>
      <c r="Q23" s="279">
        <f ca="1">IFERROR(INDEX('Emission Factors'!P$7:P$24,MATCH(OFFSET(Usage!$D22,0,-2),'Emission Factors'!$B$7:$B$24,0))*INDEX(Usage!$G$5:$G$31,MATCH('Boiler Emissions'!$C23,Usage!$D$5:$D$31,0))*(1-'Emission Factors'!$E$26),"--")</f>
        <v>5.2454400000000051E-5</v>
      </c>
      <c r="R23" s="280" t="str">
        <f ca="1">IFERROR(INDEX('Emission Factors'!Q$7:Q$24,MATCH(OFFSET(Usage!$D22,0,-2),'Emission Factors'!$B$7:$B$24,0))*INDEX(Usage!$G$5:$G$31,MATCH('Boiler Emissions'!$C23,Usage!$D$5:$D$31,0))*(1-'Emission Factors'!$E$26),"--")</f>
        <v>--</v>
      </c>
      <c r="S23" s="281" t="str">
        <f ca="1">IFERROR(INDEX('Emission Factors'!R$7:R$24,MATCH(OFFSET(Usage!$D22,0,-2),'Emission Factors'!$B$7:$B$24,0))*INDEX(Usage!$G$5:$G$31,MATCH('Boiler Emissions'!$C23,Usage!$D$5:$D$31,0))*(1-'Emission Factors'!$E$26),"--")</f>
        <v>--</v>
      </c>
      <c r="T23" s="281">
        <f ca="1">IFERROR(INDEX('Emission Factors'!S$7:S$24,MATCH(OFFSET(Usage!$D22,0,-2),'Emission Factors'!$B$7:$B$24,0))*INDEX(Usage!$G$5:$G$31,MATCH('Boiler Emissions'!$C23,Usage!$D$5:$D$31,0))*(1-'Emission Factors'!$E$26),"--")</f>
        <v>5.90173502032309E-4</v>
      </c>
    </row>
    <row r="24" spans="2:20" x14ac:dyDescent="0.25">
      <c r="B24" s="190" t="s">
        <v>43</v>
      </c>
      <c r="C24" s="226" t="s">
        <v>85</v>
      </c>
      <c r="D24" s="279">
        <f ca="1">IFERROR(INDEX('Emission Factors'!C$7:C$24,MATCH(OFFSET(Usage!$D23,0,-2),'Emission Factors'!$B$7:$B$24,0))*INDEX(Usage!$G$5:$G$31,MATCH('Boiler Emissions'!$C24,Usage!$D$5:$D$31,0))*(1-'Emission Factors'!$E$26),"--")</f>
        <v>3.4380000000000033E-6</v>
      </c>
      <c r="E24" s="279" t="str">
        <f ca="1">IFERROR(INDEX('Emission Factors'!D$7:D$24,MATCH(OFFSET(Usage!$D23,0,-2),'Emission Factors'!$B$7:$B$24,0))*INDEX(Usage!$G$5:$G$31,MATCH('Boiler Emissions'!$C24,Usage!$D$5:$D$31,0))*(1-'Emission Factors'!$E$26),"--")</f>
        <v>--</v>
      </c>
      <c r="F24" s="279" t="str">
        <f ca="1">IFERROR(INDEX('Emission Factors'!E$7:E$24,MATCH(OFFSET(Usage!$D23,0,-2),'Emission Factors'!$B$7:$B$24,0))*INDEX(Usage!$G$5:$G$31,MATCH('Boiler Emissions'!$C24,Usage!$D$5:$D$31,0))*(1-'Emission Factors'!$E$26),"--")</f>
        <v>--</v>
      </c>
      <c r="G24" s="279" t="str">
        <f ca="1">IFERROR(INDEX('Emission Factors'!F$7:F$24,MATCH(OFFSET(Usage!$D23,0,-2),'Emission Factors'!$B$7:$B$24,0))*INDEX(Usage!$G$5:$G$31,MATCH('Boiler Emissions'!$C24,Usage!$D$5:$D$31,0))*(1-'Emission Factors'!$E$26),"--")</f>
        <v>--</v>
      </c>
      <c r="H24" s="279" t="str">
        <f ca="1">IFERROR(INDEX('Emission Factors'!G$7:G$24,MATCH(OFFSET(Usage!$D23,0,-2),'Emission Factors'!$B$7:$B$24,0))*INDEX(Usage!$G$5:$G$31,MATCH('Boiler Emissions'!$C24,Usage!$D$5:$D$31,0))*(1-'Emission Factors'!$E$26),"--")</f>
        <v>--</v>
      </c>
      <c r="I24" s="279" t="str">
        <f ca="1">IFERROR(INDEX('Emission Factors'!H$7:H$24,MATCH(OFFSET(Usage!$D23,0,-2),'Emission Factors'!$B$7:$B$24,0))*INDEX(Usage!$G$5:$G$31,MATCH('Boiler Emissions'!$C24,Usage!$D$5:$D$31,0))*(1-'Emission Factors'!$E$26),"--")</f>
        <v>--</v>
      </c>
      <c r="J24" s="279" t="str">
        <f ca="1">IFERROR(INDEX('Emission Factors'!I$7:I$24,MATCH(OFFSET(Usage!$D23,0,-2),'Emission Factors'!$B$7:$B$24,0))*INDEX(Usage!$G$5:$G$31,MATCH('Boiler Emissions'!$C24,Usage!$D$5:$D$31,0))*(1-'Emission Factors'!$E$26),"--")</f>
        <v>--</v>
      </c>
      <c r="K24" s="279" t="str">
        <f ca="1">IFERROR(INDEX('Emission Factors'!J$7:J$24,MATCH(OFFSET(Usage!$D23,0,-2),'Emission Factors'!$B$7:$B$24,0))*INDEX(Usage!$G$5:$G$31,MATCH('Boiler Emissions'!$C24,Usage!$D$5:$D$31,0))*(1-'Emission Factors'!$E$26),"--")</f>
        <v>--</v>
      </c>
      <c r="L24" s="279" t="str">
        <f ca="1">IFERROR(INDEX('Emission Factors'!K$7:K$24,MATCH(OFFSET(Usage!$D23,0,-2),'Emission Factors'!$B$7:$B$24,0))*INDEX(Usage!$G$5:$G$31,MATCH('Boiler Emissions'!$C24,Usage!$D$5:$D$31,0))*(1-'Emission Factors'!$E$26),"--")</f>
        <v>--</v>
      </c>
      <c r="M24" s="279">
        <f ca="1">IFERROR(INDEX('Emission Factors'!L$7:L$24,MATCH(OFFSET(Usage!$D23,0,-2),'Emission Factors'!$B$7:$B$24,0))*INDEX(Usage!$G$5:$G$31,MATCH('Boiler Emissions'!$C24,Usage!$D$5:$D$31,0))*(1-'Emission Factors'!$E$26),"--")</f>
        <v>3.1515000000000033E-5</v>
      </c>
      <c r="N24" s="279" t="str">
        <f ca="1">IFERROR(INDEX('Emission Factors'!M$7:M$24,MATCH(OFFSET(Usage!$D23,0,-2),'Emission Factors'!$B$7:$B$24,0))*INDEX(Usage!$G$5:$G$31,MATCH('Boiler Emissions'!$C24,Usage!$D$5:$D$31,0))*(1-'Emission Factors'!$E$26),"--")</f>
        <v>--</v>
      </c>
      <c r="O24" s="279" t="str">
        <f ca="1">IFERROR(INDEX('Emission Factors'!N$7:N$24,MATCH(OFFSET(Usage!$D23,0,-2),'Emission Factors'!$B$7:$B$24,0))*INDEX(Usage!$G$5:$G$31,MATCH('Boiler Emissions'!$C24,Usage!$D$5:$D$31,0))*(1-'Emission Factors'!$E$26),"--")</f>
        <v>--</v>
      </c>
      <c r="P24" s="279" t="str">
        <f ca="1">IFERROR(INDEX('Emission Factors'!O$7:O$24,MATCH(OFFSET(Usage!$D23,0,-2),'Emission Factors'!$B$7:$B$24,0))*INDEX(Usage!$G$5:$G$31,MATCH('Boiler Emissions'!$C24,Usage!$D$5:$D$31,0))*(1-'Emission Factors'!$E$26),"--")</f>
        <v>--</v>
      </c>
      <c r="Q24" s="279" t="str">
        <f ca="1">IFERROR(INDEX('Emission Factors'!P$7:P$24,MATCH(OFFSET(Usage!$D23,0,-2),'Emission Factors'!$B$7:$B$24,0))*INDEX(Usage!$G$5:$G$31,MATCH('Boiler Emissions'!$C24,Usage!$D$5:$D$31,0))*(1-'Emission Factors'!$E$26),"--")</f>
        <v>--</v>
      </c>
      <c r="R24" s="280" t="str">
        <f ca="1">IFERROR(INDEX('Emission Factors'!Q$7:Q$24,MATCH(OFFSET(Usage!$D23,0,-2),'Emission Factors'!$B$7:$B$24,0))*INDEX(Usage!$G$5:$G$31,MATCH('Boiler Emissions'!$C24,Usage!$D$5:$D$31,0))*(1-'Emission Factors'!$E$26),"--")</f>
        <v>--</v>
      </c>
      <c r="S24" s="281">
        <f ca="1">IFERROR(INDEX('Emission Factors'!R$7:R$24,MATCH(OFFSET(Usage!$D23,0,-2),'Emission Factors'!$B$7:$B$24,0))*INDEX(Usage!$G$5:$G$31,MATCH('Boiler Emissions'!$C24,Usage!$D$5:$D$31,0))*(1-'Emission Factors'!$E$26),"--")</f>
        <v>1.6727784891165188E-6</v>
      </c>
      <c r="T24" s="281" t="str">
        <f ca="1">IFERROR(INDEX('Emission Factors'!S$7:S$24,MATCH(OFFSET(Usage!$D23,0,-2),'Emission Factors'!$B$7:$B$24,0))*INDEX(Usage!$G$5:$G$31,MATCH('Boiler Emissions'!$C24,Usage!$D$5:$D$31,0))*(1-'Emission Factors'!$E$26),"--")</f>
        <v>--</v>
      </c>
    </row>
    <row r="25" spans="2:20" x14ac:dyDescent="0.25">
      <c r="B25" s="190">
        <v>7018</v>
      </c>
      <c r="C25" s="226" t="s">
        <v>86</v>
      </c>
      <c r="D25" s="279" t="str">
        <f ca="1">IFERROR(INDEX('Emission Factors'!C$7:C$24,MATCH(OFFSET(Usage!$D24,0,-2),'Emission Factors'!$B$7:$B$24,0))*INDEX(Usage!$G$5:$G$31,MATCH('Boiler Emissions'!$C25,Usage!$D$5:$D$31,0))*(1-'Emission Factors'!$E$26),"--")</f>
        <v>--</v>
      </c>
      <c r="E25" s="279" t="str">
        <f ca="1">IFERROR(INDEX('Emission Factors'!D$7:D$24,MATCH(OFFSET(Usage!$D24,0,-2),'Emission Factors'!$B$7:$B$24,0))*INDEX(Usage!$G$5:$G$31,MATCH('Boiler Emissions'!$C25,Usage!$D$5:$D$31,0))*(1-'Emission Factors'!$E$26),"--")</f>
        <v>--</v>
      </c>
      <c r="F25" s="279" t="str">
        <f ca="1">IFERROR(INDEX('Emission Factors'!E$7:E$24,MATCH(OFFSET(Usage!$D24,0,-2),'Emission Factors'!$B$7:$B$24,0))*INDEX(Usage!$G$5:$G$31,MATCH('Boiler Emissions'!$C25,Usage!$D$5:$D$31,0))*(1-'Emission Factors'!$E$26),"--")</f>
        <v>--</v>
      </c>
      <c r="G25" s="279" t="str">
        <f ca="1">IFERROR(INDEX('Emission Factors'!F$7:F$24,MATCH(OFFSET(Usage!$D24,0,-2),'Emission Factors'!$B$7:$B$24,0))*INDEX(Usage!$G$5:$G$31,MATCH('Boiler Emissions'!$C25,Usage!$D$5:$D$31,0))*(1-'Emission Factors'!$E$26),"--")</f>
        <v>--</v>
      </c>
      <c r="H25" s="279">
        <f ca="1">IFERROR(INDEX('Emission Factors'!G$7:G$24,MATCH(OFFSET(Usage!$D24,0,-2),'Emission Factors'!$B$7:$B$24,0))*INDEX(Usage!$G$5:$G$31,MATCH('Boiler Emissions'!$C25,Usage!$D$5:$D$31,0))*(1-'Emission Factors'!$E$26),"--")</f>
        <v>1.0000000000000007E-7</v>
      </c>
      <c r="I25" s="279">
        <f ca="1">IFERROR(INDEX('Emission Factors'!H$7:H$24,MATCH(OFFSET(Usage!$D24,0,-2),'Emission Factors'!$B$7:$B$24,0))*INDEX(Usage!$G$5:$G$31,MATCH('Boiler Emissions'!$C25,Usage!$D$5:$D$31,0))*(1-'Emission Factors'!$E$26),"--")</f>
        <v>1.1700000000000011E-6</v>
      </c>
      <c r="J25" s="279">
        <f ca="1">IFERROR(INDEX('Emission Factors'!I$7:I$24,MATCH(OFFSET(Usage!$D24,0,-2),'Emission Factors'!$B$7:$B$24,0))*INDEX(Usage!$G$5:$G$31,MATCH('Boiler Emissions'!$C25,Usage!$D$5:$D$31,0))*(1-'Emission Factors'!$E$26),"--")</f>
        <v>6.4300000000000066E-7</v>
      </c>
      <c r="K25" s="279" t="str">
        <f ca="1">IFERROR(INDEX('Emission Factors'!J$7:J$24,MATCH(OFFSET(Usage!$D24,0,-2),'Emission Factors'!$B$7:$B$24,0))*INDEX(Usage!$G$5:$G$31,MATCH('Boiler Emissions'!$C25,Usage!$D$5:$D$31,0))*(1-'Emission Factors'!$E$26),"--")</f>
        <v>--</v>
      </c>
      <c r="L25" s="279">
        <f ca="1">IFERROR(INDEX('Emission Factors'!K$7:K$24,MATCH(OFFSET(Usage!$D24,0,-2),'Emission Factors'!$B$7:$B$24,0))*INDEX(Usage!$G$5:$G$31,MATCH('Boiler Emissions'!$C25,Usage!$D$5:$D$31,0))*(1-'Emission Factors'!$E$26),"--")</f>
        <v>1.0300000000000009E-4</v>
      </c>
      <c r="M25" s="279">
        <f ca="1">IFERROR(INDEX('Emission Factors'!L$7:L$24,MATCH(OFFSET(Usage!$D24,0,-2),'Emission Factors'!$B$7:$B$24,0))*INDEX(Usage!$G$5:$G$31,MATCH('Boiler Emissions'!$C25,Usage!$D$5:$D$31,0))*(1-'Emission Factors'!$E$26),"--")</f>
        <v>2.0000000000000015E-7</v>
      </c>
      <c r="N25" s="279" t="str">
        <f ca="1">IFERROR(INDEX('Emission Factors'!M$7:M$24,MATCH(OFFSET(Usage!$D24,0,-2),'Emission Factors'!$B$7:$B$24,0))*INDEX(Usage!$G$5:$G$31,MATCH('Boiler Emissions'!$C25,Usage!$D$5:$D$31,0))*(1-'Emission Factors'!$E$26),"--")</f>
        <v>--</v>
      </c>
      <c r="O25" s="279" t="str">
        <f ca="1">IFERROR(INDEX('Emission Factors'!N$7:N$24,MATCH(OFFSET(Usage!$D24,0,-2),'Emission Factors'!$B$7:$B$24,0))*INDEX(Usage!$G$5:$G$31,MATCH('Boiler Emissions'!$C25,Usage!$D$5:$D$31,0))*(1-'Emission Factors'!$E$26),"--")</f>
        <v>--</v>
      </c>
      <c r="P25" s="279">
        <f ca="1">IFERROR(INDEX('Emission Factors'!O$7:O$24,MATCH(OFFSET(Usage!$D24,0,-2),'Emission Factors'!$B$7:$B$24,0))*INDEX(Usage!$G$5:$G$31,MATCH('Boiler Emissions'!$C25,Usage!$D$5:$D$31,0))*(1-'Emission Factors'!$E$26),"--")</f>
        <v>2.8993800000000021E-6</v>
      </c>
      <c r="Q25" s="279" t="str">
        <f ca="1">IFERROR(INDEX('Emission Factors'!P$7:P$24,MATCH(OFFSET(Usage!$D24,0,-2),'Emission Factors'!$B$7:$B$24,0))*INDEX(Usage!$G$5:$G$31,MATCH('Boiler Emissions'!$C25,Usage!$D$5:$D$31,0))*(1-'Emission Factors'!$E$26),"--")</f>
        <v>--</v>
      </c>
      <c r="R25" s="280" t="str">
        <f ca="1">IFERROR(INDEX('Emission Factors'!Q$7:Q$24,MATCH(OFFSET(Usage!$D24,0,-2),'Emission Factors'!$B$7:$B$24,0))*INDEX(Usage!$G$5:$G$31,MATCH('Boiler Emissions'!$C25,Usage!$D$5:$D$31,0))*(1-'Emission Factors'!$E$26),"--")</f>
        <v>--</v>
      </c>
      <c r="S25" s="281">
        <f ca="1">IFERROR(INDEX('Emission Factors'!R$7:R$24,MATCH(OFFSET(Usage!$D24,0,-2),'Emission Factors'!$B$7:$B$24,0))*INDEX(Usage!$G$5:$G$31,MATCH('Boiler Emissions'!$C25,Usage!$D$5:$D$31,0))*(1-'Emission Factors'!$E$26),"--")</f>
        <v>1.5814800000000013E-5</v>
      </c>
      <c r="T25" s="281">
        <f ca="1">IFERROR(INDEX('Emission Factors'!S$7:S$24,MATCH(OFFSET(Usage!$D24,0,-2),'Emission Factors'!$B$7:$B$24,0))*INDEX(Usage!$G$5:$G$31,MATCH('Boiler Emissions'!$C25,Usage!$D$5:$D$31,0))*(1-'Emission Factors'!$E$26),"--")</f>
        <v>4.3495232642001074E-6</v>
      </c>
    </row>
    <row r="26" spans="2:20" x14ac:dyDescent="0.25">
      <c r="B26" s="190">
        <v>7018</v>
      </c>
      <c r="C26" s="226" t="s">
        <v>87</v>
      </c>
      <c r="D26" s="279" t="str">
        <f ca="1">IFERROR(INDEX('Emission Factors'!C$7:C$24,MATCH(OFFSET(Usage!$D25,0,-2),'Emission Factors'!$B$7:$B$24,0))*INDEX(Usage!$G$5:$G$31,MATCH('Boiler Emissions'!$C26,Usage!$D$5:$D$31,0))*(1-'Emission Factors'!$E$26),"--")</f>
        <v>--</v>
      </c>
      <c r="E26" s="279" t="str">
        <f ca="1">IFERROR(INDEX('Emission Factors'!D$7:D$24,MATCH(OFFSET(Usage!$D25,0,-2),'Emission Factors'!$B$7:$B$24,0))*INDEX(Usage!$G$5:$G$31,MATCH('Boiler Emissions'!$C26,Usage!$D$5:$D$31,0))*(1-'Emission Factors'!$E$26),"--")</f>
        <v>--</v>
      </c>
      <c r="F26" s="279" t="str">
        <f ca="1">IFERROR(INDEX('Emission Factors'!E$7:E$24,MATCH(OFFSET(Usage!$D25,0,-2),'Emission Factors'!$B$7:$B$24,0))*INDEX(Usage!$G$5:$G$31,MATCH('Boiler Emissions'!$C26,Usage!$D$5:$D$31,0))*(1-'Emission Factors'!$E$26),"--")</f>
        <v>--</v>
      </c>
      <c r="G26" s="279" t="str">
        <f ca="1">IFERROR(INDEX('Emission Factors'!F$7:F$24,MATCH(OFFSET(Usage!$D25,0,-2),'Emission Factors'!$B$7:$B$24,0))*INDEX(Usage!$G$5:$G$31,MATCH('Boiler Emissions'!$C26,Usage!$D$5:$D$31,0))*(1-'Emission Factors'!$E$26),"--")</f>
        <v>--</v>
      </c>
      <c r="H26" s="279">
        <f ca="1">IFERROR(INDEX('Emission Factors'!G$7:G$24,MATCH(OFFSET(Usage!$D25,0,-2),'Emission Factors'!$B$7:$B$24,0))*INDEX(Usage!$G$5:$G$31,MATCH('Boiler Emissions'!$C26,Usage!$D$5:$D$31,0))*(1-'Emission Factors'!$E$26),"--")</f>
        <v>5.0000000000000037E-8</v>
      </c>
      <c r="I26" s="279">
        <f ca="1">IFERROR(INDEX('Emission Factors'!H$7:H$24,MATCH(OFFSET(Usage!$D25,0,-2),'Emission Factors'!$B$7:$B$24,0))*INDEX(Usage!$G$5:$G$31,MATCH('Boiler Emissions'!$C26,Usage!$D$5:$D$31,0))*(1-'Emission Factors'!$E$26),"--")</f>
        <v>5.8500000000000054E-7</v>
      </c>
      <c r="J26" s="279">
        <f ca="1">IFERROR(INDEX('Emission Factors'!I$7:I$24,MATCH(OFFSET(Usage!$D25,0,-2),'Emission Factors'!$B$7:$B$24,0))*INDEX(Usage!$G$5:$G$31,MATCH('Boiler Emissions'!$C26,Usage!$D$5:$D$31,0))*(1-'Emission Factors'!$E$26),"--")</f>
        <v>3.2150000000000033E-7</v>
      </c>
      <c r="K26" s="279" t="str">
        <f ca="1">IFERROR(INDEX('Emission Factors'!J$7:J$24,MATCH(OFFSET(Usage!$D25,0,-2),'Emission Factors'!$B$7:$B$24,0))*INDEX(Usage!$G$5:$G$31,MATCH('Boiler Emissions'!$C26,Usage!$D$5:$D$31,0))*(1-'Emission Factors'!$E$26),"--")</f>
        <v>--</v>
      </c>
      <c r="L26" s="279">
        <f ca="1">IFERROR(INDEX('Emission Factors'!K$7:K$24,MATCH(OFFSET(Usage!$D25,0,-2),'Emission Factors'!$B$7:$B$24,0))*INDEX(Usage!$G$5:$G$31,MATCH('Boiler Emissions'!$C26,Usage!$D$5:$D$31,0))*(1-'Emission Factors'!$E$26),"--")</f>
        <v>5.1500000000000046E-5</v>
      </c>
      <c r="M26" s="279">
        <f ca="1">IFERROR(INDEX('Emission Factors'!L$7:L$24,MATCH(OFFSET(Usage!$D25,0,-2),'Emission Factors'!$B$7:$B$24,0))*INDEX(Usage!$G$5:$G$31,MATCH('Boiler Emissions'!$C26,Usage!$D$5:$D$31,0))*(1-'Emission Factors'!$E$26),"--")</f>
        <v>1.0000000000000007E-7</v>
      </c>
      <c r="N26" s="279" t="str">
        <f ca="1">IFERROR(INDEX('Emission Factors'!M$7:M$24,MATCH(OFFSET(Usage!$D25,0,-2),'Emission Factors'!$B$7:$B$24,0))*INDEX(Usage!$G$5:$G$31,MATCH('Boiler Emissions'!$C26,Usage!$D$5:$D$31,0))*(1-'Emission Factors'!$E$26),"--")</f>
        <v>--</v>
      </c>
      <c r="O26" s="279" t="str">
        <f ca="1">IFERROR(INDEX('Emission Factors'!N$7:N$24,MATCH(OFFSET(Usage!$D25,0,-2),'Emission Factors'!$B$7:$B$24,0))*INDEX(Usage!$G$5:$G$31,MATCH('Boiler Emissions'!$C26,Usage!$D$5:$D$31,0))*(1-'Emission Factors'!$E$26),"--")</f>
        <v>--</v>
      </c>
      <c r="P26" s="279">
        <f ca="1">IFERROR(INDEX('Emission Factors'!O$7:O$24,MATCH(OFFSET(Usage!$D25,0,-2),'Emission Factors'!$B$7:$B$24,0))*INDEX(Usage!$G$5:$G$31,MATCH('Boiler Emissions'!$C26,Usage!$D$5:$D$31,0))*(1-'Emission Factors'!$E$26),"--")</f>
        <v>1.4496900000000011E-6</v>
      </c>
      <c r="Q26" s="279" t="str">
        <f ca="1">IFERROR(INDEX('Emission Factors'!P$7:P$24,MATCH(OFFSET(Usage!$D25,0,-2),'Emission Factors'!$B$7:$B$24,0))*INDEX(Usage!$G$5:$G$31,MATCH('Boiler Emissions'!$C26,Usage!$D$5:$D$31,0))*(1-'Emission Factors'!$E$26),"--")</f>
        <v>--</v>
      </c>
      <c r="R26" s="280" t="str">
        <f ca="1">IFERROR(INDEX('Emission Factors'!Q$7:Q$24,MATCH(OFFSET(Usage!$D25,0,-2),'Emission Factors'!$B$7:$B$24,0))*INDEX(Usage!$G$5:$G$31,MATCH('Boiler Emissions'!$C26,Usage!$D$5:$D$31,0))*(1-'Emission Factors'!$E$26),"--")</f>
        <v>--</v>
      </c>
      <c r="S26" s="281">
        <f ca="1">IFERROR(INDEX('Emission Factors'!R$7:R$24,MATCH(OFFSET(Usage!$D25,0,-2),'Emission Factors'!$B$7:$B$24,0))*INDEX(Usage!$G$5:$G$31,MATCH('Boiler Emissions'!$C26,Usage!$D$5:$D$31,0))*(1-'Emission Factors'!$E$26),"--")</f>
        <v>7.9074000000000067E-6</v>
      </c>
      <c r="T26" s="281">
        <f ca="1">IFERROR(INDEX('Emission Factors'!S$7:S$24,MATCH(OFFSET(Usage!$D25,0,-2),'Emission Factors'!$B$7:$B$24,0))*INDEX(Usage!$G$5:$G$31,MATCH('Boiler Emissions'!$C26,Usage!$D$5:$D$31,0))*(1-'Emission Factors'!$E$26),"--")</f>
        <v>2.1747616321000537E-6</v>
      </c>
    </row>
    <row r="27" spans="2:20" x14ac:dyDescent="0.25">
      <c r="B27" s="190">
        <v>7018</v>
      </c>
      <c r="C27" s="226" t="s">
        <v>88</v>
      </c>
      <c r="D27" s="279" t="str">
        <f ca="1">IFERROR(INDEX('Emission Factors'!C$7:C$24,MATCH(OFFSET(Usage!$D26,0,-2),'Emission Factors'!$B$7:$B$24,0))*INDEX(Usage!$G$5:$G$31,MATCH('Boiler Emissions'!$C27,Usage!$D$5:$D$31,0))*(1-'Emission Factors'!$E$26),"--")</f>
        <v>--</v>
      </c>
      <c r="E27" s="279" t="str">
        <f ca="1">IFERROR(INDEX('Emission Factors'!D$7:D$24,MATCH(OFFSET(Usage!$D26,0,-2),'Emission Factors'!$B$7:$B$24,0))*INDEX(Usage!$G$5:$G$31,MATCH('Boiler Emissions'!$C27,Usage!$D$5:$D$31,0))*(1-'Emission Factors'!$E$26),"--")</f>
        <v>--</v>
      </c>
      <c r="F27" s="279" t="str">
        <f ca="1">IFERROR(INDEX('Emission Factors'!E$7:E$24,MATCH(OFFSET(Usage!$D26,0,-2),'Emission Factors'!$B$7:$B$24,0))*INDEX(Usage!$G$5:$G$31,MATCH('Boiler Emissions'!$C27,Usage!$D$5:$D$31,0))*(1-'Emission Factors'!$E$26),"--")</f>
        <v>--</v>
      </c>
      <c r="G27" s="279" t="str">
        <f ca="1">IFERROR(INDEX('Emission Factors'!F$7:F$24,MATCH(OFFSET(Usage!$D26,0,-2),'Emission Factors'!$B$7:$B$24,0))*INDEX(Usage!$G$5:$G$31,MATCH('Boiler Emissions'!$C27,Usage!$D$5:$D$31,0))*(1-'Emission Factors'!$E$26),"--")</f>
        <v>--</v>
      </c>
      <c r="H27" s="279">
        <f ca="1">IFERROR(INDEX('Emission Factors'!G$7:G$24,MATCH(OFFSET(Usage!$D26,0,-2),'Emission Factors'!$B$7:$B$24,0))*INDEX(Usage!$G$5:$G$31,MATCH('Boiler Emissions'!$C27,Usage!$D$5:$D$31,0))*(1-'Emission Factors'!$E$26),"--")</f>
        <v>1.0000000000000007E-7</v>
      </c>
      <c r="I27" s="279">
        <f ca="1">IFERROR(INDEX('Emission Factors'!H$7:H$24,MATCH(OFFSET(Usage!$D26,0,-2),'Emission Factors'!$B$7:$B$24,0))*INDEX(Usage!$G$5:$G$31,MATCH('Boiler Emissions'!$C27,Usage!$D$5:$D$31,0))*(1-'Emission Factors'!$E$26),"--")</f>
        <v>1.1700000000000011E-6</v>
      </c>
      <c r="J27" s="279">
        <f ca="1">IFERROR(INDEX('Emission Factors'!I$7:I$24,MATCH(OFFSET(Usage!$D26,0,-2),'Emission Factors'!$B$7:$B$24,0))*INDEX(Usage!$G$5:$G$31,MATCH('Boiler Emissions'!$C27,Usage!$D$5:$D$31,0))*(1-'Emission Factors'!$E$26),"--")</f>
        <v>6.4300000000000066E-7</v>
      </c>
      <c r="K27" s="279" t="str">
        <f ca="1">IFERROR(INDEX('Emission Factors'!J$7:J$24,MATCH(OFFSET(Usage!$D26,0,-2),'Emission Factors'!$B$7:$B$24,0))*INDEX(Usage!$G$5:$G$31,MATCH('Boiler Emissions'!$C27,Usage!$D$5:$D$31,0))*(1-'Emission Factors'!$E$26),"--")</f>
        <v>--</v>
      </c>
      <c r="L27" s="279">
        <f ca="1">IFERROR(INDEX('Emission Factors'!K$7:K$24,MATCH(OFFSET(Usage!$D26,0,-2),'Emission Factors'!$B$7:$B$24,0))*INDEX(Usage!$G$5:$G$31,MATCH('Boiler Emissions'!$C27,Usage!$D$5:$D$31,0))*(1-'Emission Factors'!$E$26),"--")</f>
        <v>1.0300000000000009E-4</v>
      </c>
      <c r="M27" s="279">
        <f ca="1">IFERROR(INDEX('Emission Factors'!L$7:L$24,MATCH(OFFSET(Usage!$D26,0,-2),'Emission Factors'!$B$7:$B$24,0))*INDEX(Usage!$G$5:$G$31,MATCH('Boiler Emissions'!$C27,Usage!$D$5:$D$31,0))*(1-'Emission Factors'!$E$26),"--")</f>
        <v>2.0000000000000015E-7</v>
      </c>
      <c r="N27" s="279" t="str">
        <f ca="1">IFERROR(INDEX('Emission Factors'!M$7:M$24,MATCH(OFFSET(Usage!$D26,0,-2),'Emission Factors'!$B$7:$B$24,0))*INDEX(Usage!$G$5:$G$31,MATCH('Boiler Emissions'!$C27,Usage!$D$5:$D$31,0))*(1-'Emission Factors'!$E$26),"--")</f>
        <v>--</v>
      </c>
      <c r="O27" s="279" t="str">
        <f ca="1">IFERROR(INDEX('Emission Factors'!N$7:N$24,MATCH(OFFSET(Usage!$D26,0,-2),'Emission Factors'!$B$7:$B$24,0))*INDEX(Usage!$G$5:$G$31,MATCH('Boiler Emissions'!$C27,Usage!$D$5:$D$31,0))*(1-'Emission Factors'!$E$26),"--")</f>
        <v>--</v>
      </c>
      <c r="P27" s="279">
        <f ca="1">IFERROR(INDEX('Emission Factors'!O$7:O$24,MATCH(OFFSET(Usage!$D26,0,-2),'Emission Factors'!$B$7:$B$24,0))*INDEX(Usage!$G$5:$G$31,MATCH('Boiler Emissions'!$C27,Usage!$D$5:$D$31,0))*(1-'Emission Factors'!$E$26),"--")</f>
        <v>2.8993800000000021E-6</v>
      </c>
      <c r="Q27" s="279" t="str">
        <f ca="1">IFERROR(INDEX('Emission Factors'!P$7:P$24,MATCH(OFFSET(Usage!$D26,0,-2),'Emission Factors'!$B$7:$B$24,0))*INDEX(Usage!$G$5:$G$31,MATCH('Boiler Emissions'!$C27,Usage!$D$5:$D$31,0))*(1-'Emission Factors'!$E$26),"--")</f>
        <v>--</v>
      </c>
      <c r="R27" s="280" t="str">
        <f ca="1">IFERROR(INDEX('Emission Factors'!Q$7:Q$24,MATCH(OFFSET(Usage!$D26,0,-2),'Emission Factors'!$B$7:$B$24,0))*INDEX(Usage!$G$5:$G$31,MATCH('Boiler Emissions'!$C27,Usage!$D$5:$D$31,0))*(1-'Emission Factors'!$E$26),"--")</f>
        <v>--</v>
      </c>
      <c r="S27" s="281">
        <f ca="1">IFERROR(INDEX('Emission Factors'!R$7:R$24,MATCH(OFFSET(Usage!$D26,0,-2),'Emission Factors'!$B$7:$B$24,0))*INDEX(Usage!$G$5:$G$31,MATCH('Boiler Emissions'!$C27,Usage!$D$5:$D$31,0))*(1-'Emission Factors'!$E$26),"--")</f>
        <v>1.5814800000000013E-5</v>
      </c>
      <c r="T27" s="281">
        <f ca="1">IFERROR(INDEX('Emission Factors'!S$7:S$24,MATCH(OFFSET(Usage!$D26,0,-2),'Emission Factors'!$B$7:$B$24,0))*INDEX(Usage!$G$5:$G$31,MATCH('Boiler Emissions'!$C27,Usage!$D$5:$D$31,0))*(1-'Emission Factors'!$E$26),"--")</f>
        <v>4.3495232642001074E-6</v>
      </c>
    </row>
    <row r="28" spans="2:20" x14ac:dyDescent="0.25">
      <c r="B28" s="190" t="s">
        <v>48</v>
      </c>
      <c r="C28" s="226" t="s">
        <v>89</v>
      </c>
      <c r="D28" s="279" t="str">
        <f ca="1">IFERROR(INDEX('Emission Factors'!C$7:C$24,MATCH(OFFSET(Usage!$D27,0,-2),'Emission Factors'!$B$7:$B$24,0))*INDEX(Usage!$G$5:$G$31,MATCH('Boiler Emissions'!$C28,Usage!$D$5:$D$31,0))*(1-'Emission Factors'!$E$26),"--")</f>
        <v>--</v>
      </c>
      <c r="E28" s="279">
        <f ca="1">IFERROR(INDEX('Emission Factors'!D$7:D$24,MATCH(OFFSET(Usage!$D27,0,-2),'Emission Factors'!$B$7:$B$24,0))*INDEX(Usage!$G$5:$G$31,MATCH('Boiler Emissions'!$C28,Usage!$D$5:$D$31,0))*(1-'Emission Factors'!$E$26),"--")</f>
        <v>3.7905894468419027E-7</v>
      </c>
      <c r="F28" s="279" t="str">
        <f ca="1">IFERROR(INDEX('Emission Factors'!E$7:E$24,MATCH(OFFSET(Usage!$D27,0,-2),'Emission Factors'!$B$7:$B$24,0))*INDEX(Usage!$G$5:$G$31,MATCH('Boiler Emissions'!$C28,Usage!$D$5:$D$31,0))*(1-'Emission Factors'!$E$26),"--")</f>
        <v>--</v>
      </c>
      <c r="G28" s="279" t="str">
        <f ca="1">IFERROR(INDEX('Emission Factors'!F$7:F$24,MATCH(OFFSET(Usage!$D27,0,-2),'Emission Factors'!$B$7:$B$24,0))*INDEX(Usage!$G$5:$G$31,MATCH('Boiler Emissions'!$C28,Usage!$D$5:$D$31,0))*(1-'Emission Factors'!$E$26),"--")</f>
        <v>--</v>
      </c>
      <c r="H28" s="279" t="str">
        <f ca="1">IFERROR(INDEX('Emission Factors'!G$7:G$24,MATCH(OFFSET(Usage!$D27,0,-2),'Emission Factors'!$B$7:$B$24,0))*INDEX(Usage!$G$5:$G$31,MATCH('Boiler Emissions'!$C28,Usage!$D$5:$D$31,0))*(1-'Emission Factors'!$E$26),"--")</f>
        <v>--</v>
      </c>
      <c r="I28" s="279">
        <f ca="1">IFERROR(INDEX('Emission Factors'!H$7:H$24,MATCH(OFFSET(Usage!$D27,0,-2),'Emission Factors'!$B$7:$B$24,0))*INDEX(Usage!$G$5:$G$31,MATCH('Boiler Emissions'!$C28,Usage!$D$5:$D$31,0))*(1-'Emission Factors'!$E$26),"--")</f>
        <v>8.8300000000000086E-6</v>
      </c>
      <c r="J28" s="279">
        <f ca="1">IFERROR(INDEX('Emission Factors'!I$7:I$24,MATCH(OFFSET(Usage!$D27,0,-2),'Emission Factors'!$B$7:$B$24,0))*INDEX(Usage!$G$5:$G$31,MATCH('Boiler Emissions'!$C28,Usage!$D$5:$D$31,0))*(1-'Emission Factors'!$E$26),"--")</f>
        <v>2.000000000000002E-6</v>
      </c>
      <c r="K28" s="279" t="str">
        <f ca="1">IFERROR(INDEX('Emission Factors'!J$7:J$24,MATCH(OFFSET(Usage!$D27,0,-2),'Emission Factors'!$B$7:$B$24,0))*INDEX(Usage!$G$5:$G$31,MATCH('Boiler Emissions'!$C28,Usage!$D$5:$D$31,0))*(1-'Emission Factors'!$E$26),"--")</f>
        <v>--</v>
      </c>
      <c r="L28" s="279">
        <f ca="1">IFERROR(INDEX('Emission Factors'!K$7:K$24,MATCH(OFFSET(Usage!$D27,0,-2),'Emission Factors'!$B$7:$B$24,0))*INDEX(Usage!$G$5:$G$31,MATCH('Boiler Emissions'!$C28,Usage!$D$5:$D$31,0))*(1-'Emission Factors'!$E$26),"--")</f>
        <v>5.4400000000000047E-6</v>
      </c>
      <c r="M28" s="279">
        <f ca="1">IFERROR(INDEX('Emission Factors'!L$7:L$24,MATCH(OFFSET(Usage!$D27,0,-2),'Emission Factors'!$B$7:$B$24,0))*INDEX(Usage!$G$5:$G$31,MATCH('Boiler Emissions'!$C28,Usage!$D$5:$D$31,0))*(1-'Emission Factors'!$E$26),"--")</f>
        <v>5.5000000000000056E-7</v>
      </c>
      <c r="N28" s="279" t="str">
        <f ca="1">IFERROR(INDEX('Emission Factors'!M$7:M$24,MATCH(OFFSET(Usage!$D27,0,-2),'Emission Factors'!$B$7:$B$24,0))*INDEX(Usage!$G$5:$G$31,MATCH('Boiler Emissions'!$C28,Usage!$D$5:$D$31,0))*(1-'Emission Factors'!$E$26),"--")</f>
        <v>--</v>
      </c>
      <c r="O28" s="279" t="str">
        <f ca="1">IFERROR(INDEX('Emission Factors'!N$7:N$24,MATCH(OFFSET(Usage!$D27,0,-2),'Emission Factors'!$B$7:$B$24,0))*INDEX(Usage!$G$5:$G$31,MATCH('Boiler Emissions'!$C28,Usage!$D$5:$D$31,0))*(1-'Emission Factors'!$E$26),"--")</f>
        <v>--</v>
      </c>
      <c r="P28" s="279">
        <f ca="1">IFERROR(INDEX('Emission Factors'!O$7:O$24,MATCH(OFFSET(Usage!$D27,0,-2),'Emission Factors'!$B$7:$B$24,0))*INDEX(Usage!$G$5:$G$31,MATCH('Boiler Emissions'!$C28,Usage!$D$5:$D$31,0))*(1-'Emission Factors'!$E$26),"--")</f>
        <v>3.0638875044499844E-7</v>
      </c>
      <c r="Q28" s="279" t="str">
        <f ca="1">IFERROR(INDEX('Emission Factors'!P$7:P$24,MATCH(OFFSET(Usage!$D27,0,-2),'Emission Factors'!$B$7:$B$24,0))*INDEX(Usage!$G$5:$G$31,MATCH('Boiler Emissions'!$C28,Usage!$D$5:$D$31,0))*(1-'Emission Factors'!$E$26),"--")</f>
        <v>--</v>
      </c>
      <c r="R28" s="280" t="str">
        <f ca="1">IFERROR(INDEX('Emission Factors'!Q$7:Q$24,MATCH(OFFSET(Usage!$D27,0,-2),'Emission Factors'!$B$7:$B$24,0))*INDEX(Usage!$G$5:$G$31,MATCH('Boiler Emissions'!$C28,Usage!$D$5:$D$31,0))*(1-'Emission Factors'!$E$26),"--")</f>
        <v>--</v>
      </c>
      <c r="S28" s="281">
        <f ca="1">IFERROR(INDEX('Emission Factors'!R$7:R$24,MATCH(OFFSET(Usage!$D27,0,-2),'Emission Factors'!$B$7:$B$24,0))*INDEX(Usage!$G$5:$G$31,MATCH('Boiler Emissions'!$C28,Usage!$D$5:$D$31,0))*(1-'Emission Factors'!$E$26),"--")</f>
        <v>1.4325000000000013E-6</v>
      </c>
      <c r="T28" s="281">
        <f ca="1">IFERROR(INDEX('Emission Factors'!S$7:S$24,MATCH(OFFSET(Usage!$D27,0,-2),'Emission Factors'!$B$7:$B$24,0))*INDEX(Usage!$G$5:$G$31,MATCH('Boiler Emissions'!$C28,Usage!$D$5:$D$31,0))*(1-'Emission Factors'!$E$26),"--")</f>
        <v>2.1489739447628993E-6</v>
      </c>
    </row>
    <row r="29" spans="2:20" x14ac:dyDescent="0.25">
      <c r="B29" s="190" t="s">
        <v>47</v>
      </c>
      <c r="C29" s="226" t="s">
        <v>90</v>
      </c>
      <c r="D29" s="279" t="str">
        <f ca="1">IFERROR(INDEX('Emission Factors'!C$7:C$24,MATCH(OFFSET(Usage!$D28,0,-2),'Emission Factors'!$B$7:$B$24,0))*INDEX(Usage!$G$5:$G$31,MATCH('Boiler Emissions'!$C29,Usage!$D$5:$D$31,0))*(1-'Emission Factors'!$E$26),"--")</f>
        <v>--</v>
      </c>
      <c r="E29" s="279">
        <f ca="1">IFERROR(INDEX('Emission Factors'!D$7:D$24,MATCH(OFFSET(Usage!$D28,0,-2),'Emission Factors'!$B$7:$B$24,0))*INDEX(Usage!$G$5:$G$31,MATCH('Boiler Emissions'!$C29,Usage!$D$5:$D$31,0))*(1-'Emission Factors'!$E$26),"--")</f>
        <v>3.335718713220874E-7</v>
      </c>
      <c r="F29" s="279" t="str">
        <f ca="1">IFERROR(INDEX('Emission Factors'!E$7:E$24,MATCH(OFFSET(Usage!$D28,0,-2),'Emission Factors'!$B$7:$B$24,0))*INDEX(Usage!$G$5:$G$31,MATCH('Boiler Emissions'!$C29,Usage!$D$5:$D$31,0))*(1-'Emission Factors'!$E$26),"--")</f>
        <v>--</v>
      </c>
      <c r="G29" s="279" t="str">
        <f ca="1">IFERROR(INDEX('Emission Factors'!F$7:F$24,MATCH(OFFSET(Usage!$D28,0,-2),'Emission Factors'!$B$7:$B$24,0))*INDEX(Usage!$G$5:$G$31,MATCH('Boiler Emissions'!$C29,Usage!$D$5:$D$31,0))*(1-'Emission Factors'!$E$26),"--")</f>
        <v>--</v>
      </c>
      <c r="H29" s="279" t="str">
        <f ca="1">IFERROR(INDEX('Emission Factors'!G$7:G$24,MATCH(OFFSET(Usage!$D28,0,-2),'Emission Factors'!$B$7:$B$24,0))*INDEX(Usage!$G$5:$G$31,MATCH('Boiler Emissions'!$C29,Usage!$D$5:$D$31,0))*(1-'Emission Factors'!$E$26),"--")</f>
        <v>--</v>
      </c>
      <c r="I29" s="279">
        <f ca="1">IFERROR(INDEX('Emission Factors'!H$7:H$24,MATCH(OFFSET(Usage!$D28,0,-2),'Emission Factors'!$B$7:$B$24,0))*INDEX(Usage!$G$5:$G$31,MATCH('Boiler Emissions'!$C29,Usage!$D$5:$D$31,0))*(1-'Emission Factors'!$E$26),"--")</f>
        <v>1.6060000000000016E-5</v>
      </c>
      <c r="J29" s="279">
        <f ca="1">IFERROR(INDEX('Emission Factors'!I$7:I$24,MATCH(OFFSET(Usage!$D28,0,-2),'Emission Factors'!$B$7:$B$24,0))*INDEX(Usage!$G$5:$G$31,MATCH('Boiler Emissions'!$C29,Usage!$D$5:$D$31,0))*(1-'Emission Factors'!$E$26),"--")</f>
        <v>2.8200000000000026E-6</v>
      </c>
      <c r="K29" s="279">
        <f ca="1">IFERROR(INDEX('Emission Factors'!J$7:J$24,MATCH(OFFSET(Usage!$D28,0,-2),'Emission Factors'!$B$7:$B$24,0))*INDEX(Usage!$G$5:$G$31,MATCH('Boiler Emissions'!$C29,Usage!$D$5:$D$31,0))*(1-'Emission Factors'!$E$26),"--")</f>
        <v>6.3030000000000056E-7</v>
      </c>
      <c r="L29" s="279">
        <f ca="1">IFERROR(INDEX('Emission Factors'!K$7:K$24,MATCH(OFFSET(Usage!$D28,0,-2),'Emission Factors'!$B$7:$B$24,0))*INDEX(Usage!$G$5:$G$31,MATCH('Boiler Emissions'!$C29,Usage!$D$5:$D$31,0))*(1-'Emission Factors'!$E$26),"--")</f>
        <v>3.4380000000000033E-6</v>
      </c>
      <c r="M29" s="279">
        <f ca="1">IFERROR(INDEX('Emission Factors'!L$7:L$24,MATCH(OFFSET(Usage!$D28,0,-2),'Emission Factors'!$B$7:$B$24,0))*INDEX(Usage!$G$5:$G$31,MATCH('Boiler Emissions'!$C29,Usage!$D$5:$D$31,0))*(1-'Emission Factors'!$E$26),"--")</f>
        <v>8.5950000000000083E-6</v>
      </c>
      <c r="N29" s="279">
        <f ca="1">IFERROR(INDEX('Emission Factors'!M$7:M$24,MATCH(OFFSET(Usage!$D28,0,-2),'Emission Factors'!$B$7:$B$24,0))*INDEX(Usage!$G$5:$G$31,MATCH('Boiler Emissions'!$C29,Usage!$D$5:$D$31,0))*(1-'Emission Factors'!$E$26),"--")</f>
        <v>0</v>
      </c>
      <c r="O29" s="279" t="str">
        <f ca="1">IFERROR(INDEX('Emission Factors'!N$7:N$24,MATCH(OFFSET(Usage!$D28,0,-2),'Emission Factors'!$B$7:$B$24,0))*INDEX(Usage!$G$5:$G$31,MATCH('Boiler Emissions'!$C29,Usage!$D$5:$D$31,0))*(1-'Emission Factors'!$E$26),"--")</f>
        <v>--</v>
      </c>
      <c r="P29" s="279">
        <f ca="1">IFERROR(INDEX('Emission Factors'!O$7:O$24,MATCH(OFFSET(Usage!$D28,0,-2),'Emission Factors'!$B$7:$B$24,0))*INDEX(Usage!$G$5:$G$31,MATCH('Boiler Emissions'!$C29,Usage!$D$5:$D$31,0))*(1-'Emission Factors'!$E$26),"--")</f>
        <v>3.4380000000000033E-6</v>
      </c>
      <c r="Q29" s="279" t="str">
        <f ca="1">IFERROR(INDEX('Emission Factors'!P$7:P$24,MATCH(OFFSET(Usage!$D28,0,-2),'Emission Factors'!$B$7:$B$24,0))*INDEX(Usage!$G$5:$G$31,MATCH('Boiler Emissions'!$C29,Usage!$D$5:$D$31,0))*(1-'Emission Factors'!$E$26),"--")</f>
        <v>--</v>
      </c>
      <c r="R29" s="280" t="str">
        <f ca="1">IFERROR(INDEX('Emission Factors'!Q$7:Q$24,MATCH(OFFSET(Usage!$D28,0,-2),'Emission Factors'!$B$7:$B$24,0))*INDEX(Usage!$G$5:$G$31,MATCH('Boiler Emissions'!$C29,Usage!$D$5:$D$31,0))*(1-'Emission Factors'!$E$26),"--")</f>
        <v>--</v>
      </c>
      <c r="S29" s="281">
        <f ca="1">IFERROR(INDEX('Emission Factors'!R$7:R$24,MATCH(OFFSET(Usage!$D28,0,-2),'Emission Factors'!$B$7:$B$24,0))*INDEX(Usage!$G$5:$G$31,MATCH('Boiler Emissions'!$C29,Usage!$D$5:$D$31,0))*(1-'Emission Factors'!$E$26),"--")</f>
        <v>6.3030000000000056E-7</v>
      </c>
      <c r="T29" s="281">
        <f ca="1">IFERROR(INDEX('Emission Factors'!S$7:S$24,MATCH(OFFSET(Usage!$D28,0,-2),'Emission Factors'!$B$7:$B$24,0))*INDEX(Usage!$G$5:$G$31,MATCH('Boiler Emissions'!$C29,Usage!$D$5:$D$31,0))*(1-'Emission Factors'!$E$26),"--")</f>
        <v>9.4554853569567554E-7</v>
      </c>
    </row>
    <row r="30" spans="2:20" x14ac:dyDescent="0.25">
      <c r="B30" s="190" t="s">
        <v>66</v>
      </c>
      <c r="C30" s="226" t="s">
        <v>91</v>
      </c>
      <c r="D30" s="279">
        <f ca="1">IFERROR(INDEX('Emission Factors'!C$7:C$24,MATCH(OFFSET(Usage!$D29,0,-2),'Emission Factors'!$B$7:$B$24,0))*INDEX(Usage!$G$5:$G$31,MATCH('Boiler Emissions'!$C30,Usage!$D$5:$D$31,0))*(1-'Emission Factors'!$E$26),"--")</f>
        <v>3.278400000000003E-5</v>
      </c>
      <c r="E30" s="279" t="str">
        <f ca="1">IFERROR(INDEX('Emission Factors'!D$7:D$24,MATCH(OFFSET(Usage!$D29,0,-2),'Emission Factors'!$B$7:$B$24,0))*INDEX(Usage!$G$5:$G$31,MATCH('Boiler Emissions'!$C30,Usage!$D$5:$D$31,0))*(1-'Emission Factors'!$E$26),"--")</f>
        <v>--</v>
      </c>
      <c r="F30" s="279" t="str">
        <f ca="1">IFERROR(INDEX('Emission Factors'!E$7:E$24,MATCH(OFFSET(Usage!$D29,0,-2),'Emission Factors'!$B$7:$B$24,0))*INDEX(Usage!$G$5:$G$31,MATCH('Boiler Emissions'!$C30,Usage!$D$5:$D$31,0))*(1-'Emission Factors'!$E$26),"--")</f>
        <v>--</v>
      </c>
      <c r="G30" s="279" t="str">
        <f ca="1">IFERROR(INDEX('Emission Factors'!F$7:F$24,MATCH(OFFSET(Usage!$D29,0,-2),'Emission Factors'!$B$7:$B$24,0))*INDEX(Usage!$G$5:$G$31,MATCH('Boiler Emissions'!$C30,Usage!$D$5:$D$31,0))*(1-'Emission Factors'!$E$26),"--")</f>
        <v>--</v>
      </c>
      <c r="H30" s="279">
        <f ca="1">IFERROR(INDEX('Emission Factors'!G$7:G$24,MATCH(OFFSET(Usage!$D29,0,-2),'Emission Factors'!$B$7:$B$24,0))*INDEX(Usage!$G$5:$G$31,MATCH('Boiler Emissions'!$C30,Usage!$D$5:$D$31,0))*(1-'Emission Factors'!$E$26),"--")</f>
        <v>3.6062400000000036E-4</v>
      </c>
      <c r="I30" s="279">
        <f ca="1">IFERROR(INDEX('Emission Factors'!H$7:H$24,MATCH(OFFSET(Usage!$D29,0,-2),'Emission Factors'!$B$7:$B$24,0))*INDEX(Usage!$G$5:$G$31,MATCH('Boiler Emissions'!$C30,Usage!$D$5:$D$31,0))*(1-'Emission Factors'!$E$26),"--")</f>
        <v>1.8031200000000018E-4</v>
      </c>
      <c r="J30" s="279">
        <f ca="1">IFERROR(INDEX('Emission Factors'!I$7:I$24,MATCH(OFFSET(Usage!$D29,0,-2),'Emission Factors'!$B$7:$B$24,0))*INDEX(Usage!$G$5:$G$31,MATCH('Boiler Emissions'!$C30,Usage!$D$5:$D$31,0))*(1-'Emission Factors'!$E$26),"--")</f>
        <v>9.015600000000009E-6</v>
      </c>
      <c r="K30" s="279">
        <f ca="1">IFERROR(INDEX('Emission Factors'!J$7:J$24,MATCH(OFFSET(Usage!$D29,0,-2),'Emission Factors'!$B$7:$B$24,0))*INDEX(Usage!$G$5:$G$31,MATCH('Boiler Emissions'!$C30,Usage!$D$5:$D$31,0))*(1-'Emission Factors'!$E$26),"--")</f>
        <v>1.8577600000000021E-4</v>
      </c>
      <c r="L30" s="279">
        <f ca="1">IFERROR(INDEX('Emission Factors'!K$7:K$24,MATCH(OFFSET(Usage!$D29,0,-2),'Emission Factors'!$B$7:$B$24,0))*INDEX(Usage!$G$5:$G$31,MATCH('Boiler Emissions'!$C30,Usage!$D$5:$D$31,0))*(1-'Emission Factors'!$E$26),"--")</f>
        <v>8.742400000000009E-5</v>
      </c>
      <c r="M30" s="279">
        <f ca="1">IFERROR(INDEX('Emission Factors'!L$7:L$24,MATCH(OFFSET(Usage!$D29,0,-2),'Emission Factors'!$B$7:$B$24,0))*INDEX(Usage!$G$5:$G$31,MATCH('Boiler Emissions'!$C30,Usage!$D$5:$D$31,0))*(1-'Emission Factors'!$E$26),"--")</f>
        <v>5.4093600000000054E-4</v>
      </c>
      <c r="N30" s="279">
        <f ca="1">IFERROR(INDEX('Emission Factors'!M$7:M$24,MATCH(OFFSET(Usage!$D29,0,-2),'Emission Factors'!$B$7:$B$24,0))*INDEX(Usage!$G$5:$G$31,MATCH('Boiler Emissions'!$C30,Usage!$D$5:$D$31,0))*(1-'Emission Factors'!$E$26),"--")</f>
        <v>0</v>
      </c>
      <c r="O30" s="279" t="str">
        <f ca="1">IFERROR(INDEX('Emission Factors'!N$7:N$24,MATCH(OFFSET(Usage!$D29,0,-2),'Emission Factors'!$B$7:$B$24,0))*INDEX(Usage!$G$5:$G$31,MATCH('Boiler Emissions'!$C30,Usage!$D$5:$D$31,0))*(1-'Emission Factors'!$E$26),"--")</f>
        <v>--</v>
      </c>
      <c r="P30" s="279">
        <f ca="1">IFERROR(INDEX('Emission Factors'!O$7:O$24,MATCH(OFFSET(Usage!$D29,0,-2),'Emission Factors'!$B$7:$B$24,0))*INDEX(Usage!$G$5:$G$31,MATCH('Boiler Emissions'!$C30,Usage!$D$5:$D$31,0))*(1-'Emission Factors'!$E$26),"--")</f>
        <v>2.1856000000000022E-5</v>
      </c>
      <c r="Q30" s="279">
        <f ca="1">IFERROR(INDEX('Emission Factors'!P$7:P$24,MATCH(OFFSET(Usage!$D29,0,-2),'Emission Factors'!$B$7:$B$24,0))*INDEX(Usage!$G$5:$G$31,MATCH('Boiler Emissions'!$C30,Usage!$D$5:$D$31,0))*(1-'Emission Factors'!$E$26),"--")</f>
        <v>2.1856000000000022E-5</v>
      </c>
      <c r="R30" s="280" t="str">
        <f ca="1">IFERROR(INDEX('Emission Factors'!Q$7:Q$24,MATCH(OFFSET(Usage!$D29,0,-2),'Emission Factors'!$B$7:$B$24,0))*INDEX(Usage!$G$5:$G$31,MATCH('Boiler Emissions'!$C30,Usage!$D$5:$D$31,0))*(1-'Emission Factors'!$E$26),"--")</f>
        <v>--</v>
      </c>
      <c r="S30" s="281" t="str">
        <f ca="1">IFERROR(INDEX('Emission Factors'!R$7:R$24,MATCH(OFFSET(Usage!$D29,0,-2),'Emission Factors'!$B$7:$B$24,0))*INDEX(Usage!$G$5:$G$31,MATCH('Boiler Emissions'!$C30,Usage!$D$5:$D$31,0))*(1-'Emission Factors'!$E$26),"--")</f>
        <v>--</v>
      </c>
      <c r="T30" s="281">
        <f ca="1">IFERROR(INDEX('Emission Factors'!S$7:S$24,MATCH(OFFSET(Usage!$D29,0,-2),'Emission Factors'!$B$7:$B$24,0))*INDEX(Usage!$G$5:$G$31,MATCH('Boiler Emissions'!$C30,Usage!$D$5:$D$31,0))*(1-'Emission Factors'!$E$26),"--")</f>
        <v>2.4590562584679538E-4</v>
      </c>
    </row>
    <row r="31" spans="2:20" x14ac:dyDescent="0.25">
      <c r="B31" s="190" t="s">
        <v>46</v>
      </c>
      <c r="C31" s="226" t="s">
        <v>168</v>
      </c>
      <c r="D31" s="279">
        <f ca="1">IFERROR(INDEX('Emission Factors'!C$7:C$24,MATCH(OFFSET(Usage!$D30,0,-2),'Emission Factors'!$B$7:$B$24,0))*INDEX(Usage!$G$5:$G$31,MATCH('Boiler Emissions'!$C31,Usage!$D$5:$D$31,0))*(1-'Emission Factors'!$E$26),"--")</f>
        <v>7.8787500000000069E-7</v>
      </c>
      <c r="E31" s="279" t="str">
        <f ca="1">IFERROR(INDEX('Emission Factors'!D$7:D$24,MATCH(OFFSET(Usage!$D30,0,-2),'Emission Factors'!$B$7:$B$24,0))*INDEX(Usage!$G$5:$G$31,MATCH('Boiler Emissions'!$C31,Usage!$D$5:$D$31,0))*(1-'Emission Factors'!$E$26),"--")</f>
        <v>--</v>
      </c>
      <c r="F31" s="279" t="str">
        <f ca="1">IFERROR(INDEX('Emission Factors'!E$7:E$24,MATCH(OFFSET(Usage!$D30,0,-2),'Emission Factors'!$B$7:$B$24,0))*INDEX(Usage!$G$5:$G$31,MATCH('Boiler Emissions'!$C31,Usage!$D$5:$D$31,0))*(1-'Emission Factors'!$E$26),"--")</f>
        <v>--</v>
      </c>
      <c r="G31" s="279" t="str">
        <f ca="1">IFERROR(INDEX('Emission Factors'!F$7:F$24,MATCH(OFFSET(Usage!$D30,0,-2),'Emission Factors'!$B$7:$B$24,0))*INDEX(Usage!$G$5:$G$31,MATCH('Boiler Emissions'!$C31,Usage!$D$5:$D$31,0))*(1-'Emission Factors'!$E$26),"--")</f>
        <v>--</v>
      </c>
      <c r="H31" s="279">
        <f ca="1">IFERROR(INDEX('Emission Factors'!G$7:G$24,MATCH(OFFSET(Usage!$D30,0,-2),'Emission Factors'!$B$7:$B$24,0))*INDEX(Usage!$G$5:$G$31,MATCH('Boiler Emissions'!$C31,Usage!$D$5:$D$31,0))*(1-'Emission Factors'!$E$26),"--")</f>
        <v>7.8787500000000069E-7</v>
      </c>
      <c r="I31" s="279">
        <f ca="1">IFERROR(INDEX('Emission Factors'!H$7:H$24,MATCH(OFFSET(Usage!$D30,0,-2),'Emission Factors'!$B$7:$B$24,0))*INDEX(Usage!$G$5:$G$31,MATCH('Boiler Emissions'!$C31,Usage!$D$5:$D$31,0))*(1-'Emission Factors'!$E$26),"--")</f>
        <v>2.1487500000000024E-5</v>
      </c>
      <c r="J31" s="279">
        <f ca="1">IFERROR(INDEX('Emission Factors'!I$7:I$24,MATCH(OFFSET(Usage!$D30,0,-2),'Emission Factors'!$B$7:$B$24,0))*INDEX(Usage!$G$5:$G$31,MATCH('Boiler Emissions'!$C31,Usage!$D$5:$D$31,0))*(1-'Emission Factors'!$E$26),"--")</f>
        <v>1.1818125000000015E-5</v>
      </c>
      <c r="K31" s="279">
        <f ca="1">IFERROR(INDEX('Emission Factors'!J$7:J$24,MATCH(OFFSET(Usage!$D30,0,-2),'Emission Factors'!$B$7:$B$24,0))*INDEX(Usage!$G$5:$G$31,MATCH('Boiler Emissions'!$C31,Usage!$D$5:$D$31,0))*(1-'Emission Factors'!$E$26),"--")</f>
        <v>7.8787500000000069E-7</v>
      </c>
      <c r="L31" s="279">
        <f ca="1">IFERROR(INDEX('Emission Factors'!K$7:K$24,MATCH(OFFSET(Usage!$D30,0,-2),'Emission Factors'!$B$7:$B$24,0))*INDEX(Usage!$G$5:$G$31,MATCH('Boiler Emissions'!$C31,Usage!$D$5:$D$31,0))*(1-'Emission Factors'!$E$26),"--")</f>
        <v>7.8787500000000069E-7</v>
      </c>
      <c r="M31" s="279">
        <f ca="1">IFERROR(INDEX('Emission Factors'!L$7:L$24,MATCH(OFFSET(Usage!$D30,0,-2),'Emission Factors'!$B$7:$B$24,0))*INDEX(Usage!$G$5:$G$31,MATCH('Boiler Emissions'!$C31,Usage!$D$5:$D$31,0))*(1-'Emission Factors'!$E$26),"--")</f>
        <v>5.0137500000000046E-5</v>
      </c>
      <c r="N31" s="279" t="str">
        <f ca="1">IFERROR(INDEX('Emission Factors'!M$7:M$24,MATCH(OFFSET(Usage!$D30,0,-2),'Emission Factors'!$B$7:$B$24,0))*INDEX(Usage!$G$5:$G$31,MATCH('Boiler Emissions'!$C31,Usage!$D$5:$D$31,0))*(1-'Emission Factors'!$E$26),"--")</f>
        <v>--</v>
      </c>
      <c r="O31" s="279" t="str">
        <f ca="1">IFERROR(INDEX('Emission Factors'!N$7:N$24,MATCH(OFFSET(Usage!$D30,0,-2),'Emission Factors'!$B$7:$B$24,0))*INDEX(Usage!$G$5:$G$31,MATCH('Boiler Emissions'!$C31,Usage!$D$5:$D$31,0))*(1-'Emission Factors'!$E$26),"--")</f>
        <v>--</v>
      </c>
      <c r="P31" s="279">
        <f ca="1">IFERROR(INDEX('Emission Factors'!O$7:O$24,MATCH(OFFSET(Usage!$D30,0,-2),'Emission Factors'!$B$7:$B$24,0))*INDEX(Usage!$G$5:$G$31,MATCH('Boiler Emissions'!$C31,Usage!$D$5:$D$31,0))*(1-'Emission Factors'!$E$26),"--")</f>
        <v>7.8787500000000069E-7</v>
      </c>
      <c r="Q31" s="279">
        <f ca="1">IFERROR(INDEX('Emission Factors'!P$7:P$24,MATCH(OFFSET(Usage!$D30,0,-2),'Emission Factors'!$B$7:$B$24,0))*INDEX(Usage!$G$5:$G$31,MATCH('Boiler Emissions'!$C31,Usage!$D$5:$D$31,0))*(1-'Emission Factors'!$E$26),"--")</f>
        <v>7.8787500000000069E-7</v>
      </c>
      <c r="R31" s="280">
        <f ca="1">IFERROR(INDEX('Emission Factors'!Q$7:Q$24,MATCH(OFFSET(Usage!$D30,0,-2),'Emission Factors'!$B$7:$B$24,0))*INDEX(Usage!$G$5:$G$31,MATCH('Boiler Emissions'!$C31,Usage!$D$5:$D$31,0))*(1-'Emission Factors'!$E$26),"--")</f>
        <v>7.8787500000000069E-7</v>
      </c>
      <c r="S31" s="281">
        <f ca="1">IFERROR(INDEX('Emission Factors'!R$7:R$24,MATCH(OFFSET(Usage!$D30,0,-2),'Emission Factors'!$B$7:$B$24,0))*INDEX(Usage!$G$5:$G$31,MATCH('Boiler Emissions'!$C31,Usage!$D$5:$D$31,0))*(1-'Emission Factors'!$E$26),"--")</f>
        <v>4.4250131304523444E-6</v>
      </c>
      <c r="T31" s="281">
        <f ca="1">IFERROR(INDEX('Emission Factors'!S$7:S$24,MATCH(OFFSET(Usage!$D30,0,-2),'Emission Factors'!$B$7:$B$24,0))*INDEX(Usage!$G$5:$G$31,MATCH('Boiler Emissions'!$C31,Usage!$D$5:$D$31,0))*(1-'Emission Factors'!$E$26),"--")</f>
        <v>1.6117304585721748E-5</v>
      </c>
    </row>
    <row r="32" spans="2:20" ht="13" thickBot="1" x14ac:dyDescent="0.3">
      <c r="B32" s="190" t="s">
        <v>51</v>
      </c>
      <c r="C32" s="282" t="s">
        <v>165</v>
      </c>
      <c r="D32" s="283" t="str">
        <f ca="1">IFERROR(INDEX('Emission Factors'!C$7:C$24,MATCH(OFFSET(Usage!$D31,0,-2),'Emission Factors'!$B$7:$B$24,0))*INDEX(Usage!$G$5:$G$31,MATCH('Boiler Emissions'!$C32,Usage!$D$5:$D$31,0))*(1-'Emission Factors'!$E$26),"--")</f>
        <v>--</v>
      </c>
      <c r="E32" s="283" t="str">
        <f ca="1">IFERROR(INDEX('Emission Factors'!D$7:D$24,MATCH(OFFSET(Usage!$D31,0,-2),'Emission Factors'!$B$7:$B$24,0))*INDEX(Usage!$G$5:$G$31,MATCH('Boiler Emissions'!$C32,Usage!$D$5:$D$31,0))*(1-'Emission Factors'!$E$26),"--")</f>
        <v>--</v>
      </c>
      <c r="F32" s="283" t="str">
        <f ca="1">IFERROR(INDEX('Emission Factors'!E$7:E$24,MATCH(OFFSET(Usage!$D31,0,-2),'Emission Factors'!$B$7:$B$24,0))*INDEX(Usage!$G$5:$G$31,MATCH('Boiler Emissions'!$C32,Usage!$D$5:$D$31,0))*(1-'Emission Factors'!$E$26),"--")</f>
        <v>--</v>
      </c>
      <c r="G32" s="283" t="str">
        <f ca="1">IFERROR(INDEX('Emission Factors'!F$7:F$24,MATCH(OFFSET(Usage!$D31,0,-2),'Emission Factors'!$B$7:$B$24,0))*INDEX(Usage!$G$5:$G$31,MATCH('Boiler Emissions'!$C32,Usage!$D$5:$D$31,0))*(1-'Emission Factors'!$E$26),"--")</f>
        <v>--</v>
      </c>
      <c r="H32" s="283" t="str">
        <f ca="1">IFERROR(INDEX('Emission Factors'!G$7:G$24,MATCH(OFFSET(Usage!$D31,0,-2),'Emission Factors'!$B$7:$B$24,0))*INDEX(Usage!$G$5:$G$31,MATCH('Boiler Emissions'!$C32,Usage!$D$5:$D$31,0))*(1-'Emission Factors'!$E$26),"--")</f>
        <v>--</v>
      </c>
      <c r="I32" s="283" t="str">
        <f ca="1">IFERROR(INDEX('Emission Factors'!H$7:H$24,MATCH(OFFSET(Usage!$D31,0,-2),'Emission Factors'!$B$7:$B$24,0))*INDEX(Usage!$G$5:$G$31,MATCH('Boiler Emissions'!$C32,Usage!$D$5:$D$31,0))*(1-'Emission Factors'!$E$26),"--")</f>
        <v>--</v>
      </c>
      <c r="J32" s="283" t="str">
        <f ca="1">IFERROR(INDEX('Emission Factors'!I$7:I$24,MATCH(OFFSET(Usage!$D31,0,-2),'Emission Factors'!$B$7:$B$24,0))*INDEX(Usage!$G$5:$G$31,MATCH('Boiler Emissions'!$C32,Usage!$D$5:$D$31,0))*(1-'Emission Factors'!$E$26),"--")</f>
        <v>--</v>
      </c>
      <c r="K32" s="283">
        <f ca="1">IFERROR(INDEX('Emission Factors'!J$7:J$24,MATCH(OFFSET(Usage!$D31,0,-2),'Emission Factors'!$B$7:$B$24,0))*INDEX(Usage!$G$5:$G$31,MATCH('Boiler Emissions'!$C32,Usage!$D$5:$D$31,0))*(1-'Emission Factors'!$E$26),"--")</f>
        <v>1.0000000000000011E-2</v>
      </c>
      <c r="L32" s="283" t="str">
        <f ca="1">IFERROR(INDEX('Emission Factors'!K$7:K$24,MATCH(OFFSET(Usage!$D31,0,-2),'Emission Factors'!$B$7:$B$24,0))*INDEX(Usage!$G$5:$G$31,MATCH('Boiler Emissions'!$C32,Usage!$D$5:$D$31,0))*(1-'Emission Factors'!$E$26),"--")</f>
        <v>--</v>
      </c>
      <c r="M32" s="283" t="str">
        <f ca="1">IFERROR(INDEX('Emission Factors'!L$7:L$24,MATCH(OFFSET(Usage!$D31,0,-2),'Emission Factors'!$B$7:$B$24,0))*INDEX(Usage!$G$5:$G$31,MATCH('Boiler Emissions'!$C32,Usage!$D$5:$D$31,0))*(1-'Emission Factors'!$E$26),"--")</f>
        <v>--</v>
      </c>
      <c r="N32" s="283" t="str">
        <f ca="1">IFERROR(INDEX('Emission Factors'!M$7:M$24,MATCH(OFFSET(Usage!$D31,0,-2),'Emission Factors'!$B$7:$B$24,0))*INDEX(Usage!$G$5:$G$31,MATCH('Boiler Emissions'!$C32,Usage!$D$5:$D$31,0))*(1-'Emission Factors'!$E$26),"--")</f>
        <v>--</v>
      </c>
      <c r="O32" s="283" t="str">
        <f ca="1">IFERROR(INDEX('Emission Factors'!N$7:N$24,MATCH(OFFSET(Usage!$D31,0,-2),'Emission Factors'!$B$7:$B$24,0))*INDEX(Usage!$G$5:$G$31,MATCH('Boiler Emissions'!$C32,Usage!$D$5:$D$31,0))*(1-'Emission Factors'!$E$26),"--")</f>
        <v>--</v>
      </c>
      <c r="P32" s="283">
        <f ca="1">IFERROR(INDEX('Emission Factors'!O$7:O$24,MATCH(OFFSET(Usage!$D31,0,-2),'Emission Factors'!$B$7:$B$24,0))*INDEX(Usage!$G$5:$G$31,MATCH('Boiler Emissions'!$C32,Usage!$D$5:$D$31,0))*(1-'Emission Factors'!$E$26),"--")</f>
        <v>2.7500000000000023E-4</v>
      </c>
      <c r="Q32" s="283" t="str">
        <f ca="1">IFERROR(INDEX('Emission Factors'!P$7:P$24,MATCH(OFFSET(Usage!$D31,0,-2),'Emission Factors'!$B$7:$B$24,0))*INDEX(Usage!$G$5:$G$31,MATCH('Boiler Emissions'!$C32,Usage!$D$5:$D$31,0))*(1-'Emission Factors'!$E$26),"--")</f>
        <v>--</v>
      </c>
      <c r="R32" s="284" t="str">
        <f ca="1">IFERROR(INDEX('Emission Factors'!Q$7:Q$24,MATCH(OFFSET(Usage!$D31,0,-2),'Emission Factors'!$B$7:$B$24,0))*INDEX(Usage!$G$5:$G$31,MATCH('Boiler Emissions'!$C32,Usage!$D$5:$D$31,0))*(1-'Emission Factors'!$E$26),"--")</f>
        <v>--</v>
      </c>
      <c r="S32" s="285" t="str">
        <f ca="1">IFERROR(INDEX('Emission Factors'!R$7:R$24,MATCH(OFFSET(Usage!$D31,0,-2),'Emission Factors'!$B$7:$B$24,0))*INDEX(Usage!$G$5:$G$31,MATCH('Boiler Emissions'!$C32,Usage!$D$5:$D$31,0))*(1-'Emission Factors'!$E$26),"--")</f>
        <v>--</v>
      </c>
      <c r="T32" s="285" t="str">
        <f ca="1">IFERROR(INDEX('Emission Factors'!S$7:S$24,MATCH(OFFSET(Usage!$D31,0,-2),'Emission Factors'!$B$7:$B$24,0))*INDEX(Usage!$G$5:$G$31,MATCH('Boiler Emissions'!$C32,Usage!$D$5:$D$31,0))*(1-'Emission Factors'!$E$26),"--")</f>
        <v>--</v>
      </c>
    </row>
    <row r="33" spans="3:20" ht="13" thickBot="1" x14ac:dyDescent="0.3">
      <c r="C33" s="286" t="s">
        <v>158</v>
      </c>
      <c r="D33" s="524">
        <f ca="1">SUM(D6:D32,E6:E32)</f>
        <v>1.4284005485813414E-3</v>
      </c>
      <c r="E33" s="524"/>
      <c r="F33" s="287">
        <f t="shared" ref="F33:S33" ca="1" si="0">SUM(F6:F32)</f>
        <v>0</v>
      </c>
      <c r="G33" s="287">
        <f t="shared" ca="1" si="0"/>
        <v>0</v>
      </c>
      <c r="H33" s="518">
        <f t="shared" ca="1" si="0"/>
        <v>1.5652169475000016E-2</v>
      </c>
      <c r="I33" s="287">
        <f t="shared" ca="1" si="0"/>
        <v>8.5861843800000073E-3</v>
      </c>
      <c r="J33" s="287">
        <f t="shared" ca="1" si="0"/>
        <v>4.6240707900000052E-4</v>
      </c>
      <c r="K33" s="518">
        <f t="shared" ca="1" si="0"/>
        <v>1.8082632648600019E-2</v>
      </c>
      <c r="L33" s="287">
        <f t="shared" ca="1" si="0"/>
        <v>5.2174466550000062E-3</v>
      </c>
      <c r="M33" s="518">
        <f t="shared" ca="1" si="0"/>
        <v>2.3618292360000022E-2</v>
      </c>
      <c r="N33" s="287">
        <f t="shared" ca="1" si="0"/>
        <v>1.7273889600000014E-6</v>
      </c>
      <c r="O33" s="287">
        <f t="shared" ca="1" si="0"/>
        <v>0</v>
      </c>
      <c r="P33" s="287">
        <f t="shared" ca="1" si="0"/>
        <v>1.4023396646846765E-3</v>
      </c>
      <c r="Q33" s="287">
        <f t="shared" ca="1" si="0"/>
        <v>9.5090108309600098E-4</v>
      </c>
      <c r="R33" s="288">
        <f t="shared" ca="1" si="0"/>
        <v>7.8787500000000069E-7</v>
      </c>
      <c r="S33" s="289">
        <f t="shared" ca="1" si="0"/>
        <v>4.9370370108685415E-5</v>
      </c>
      <c r="T33" s="522">
        <f t="shared" ref="T33" ca="1" si="1">SUM(T6:T32)</f>
        <v>1.0721839984603358E-2</v>
      </c>
    </row>
  </sheetData>
  <mergeCells count="1">
    <mergeCell ref="D4:S4"/>
  </mergeCells>
  <pageMargins left="0.7" right="0.7" top="0.75" bottom="0.75" header="0.3" footer="0.3"/>
  <pageSetup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DEE4B-4AE7-4FFE-96E1-456DB5BEAC6E}">
  <sheetPr>
    <tabColor rgb="FFFFFF00"/>
  </sheetPr>
  <dimension ref="B1:T33"/>
  <sheetViews>
    <sheetView zoomScale="60" zoomScaleNormal="60" workbookViewId="0">
      <selection activeCell="M41" sqref="M41"/>
    </sheetView>
  </sheetViews>
  <sheetFormatPr defaultColWidth="9.1796875" defaultRowHeight="12.5" x14ac:dyDescent="0.25"/>
  <cols>
    <col min="1" max="1" width="9.1796875" style="290"/>
    <col min="2" max="2" width="18.1796875" style="290" hidden="1" customWidth="1"/>
    <col min="3" max="3" width="23.1796875" style="290" bestFit="1" customWidth="1"/>
    <col min="4" max="5" width="11.1796875" style="290" bestFit="1" customWidth="1"/>
    <col min="6" max="7" width="9.1796875" style="290" bestFit="1" customWidth="1"/>
    <col min="8" max="8" width="11.1796875" style="290" bestFit="1" customWidth="1"/>
    <col min="9" max="9" width="9.54296875" style="290" bestFit="1" customWidth="1"/>
    <col min="10" max="10" width="11.1796875" style="290" bestFit="1" customWidth="1"/>
    <col min="11" max="13" width="9.54296875" style="290" bestFit="1" customWidth="1"/>
    <col min="14" max="14" width="11.1796875" style="290" bestFit="1" customWidth="1"/>
    <col min="15" max="15" width="9.1796875" style="290" bestFit="1" customWidth="1"/>
    <col min="16" max="16" width="12.1796875" style="290" customWidth="1"/>
    <col min="17" max="18" width="11.1796875" style="290" bestFit="1" customWidth="1"/>
    <col min="19" max="19" width="11.81640625" style="294" customWidth="1"/>
    <col min="20" max="20" width="12.81640625" style="290" customWidth="1"/>
    <col min="21" max="16384" width="9.1796875" style="290"/>
  </cols>
  <sheetData>
    <row r="1" spans="2:20" x14ac:dyDescent="0.25">
      <c r="B1" s="101"/>
      <c r="C1" s="101"/>
      <c r="D1" s="101"/>
      <c r="E1" s="101"/>
      <c r="F1" s="101"/>
      <c r="G1" s="101"/>
      <c r="H1" s="101"/>
      <c r="I1" s="101"/>
      <c r="J1" s="101"/>
      <c r="K1" s="101"/>
      <c r="L1" s="101"/>
      <c r="M1" s="101"/>
      <c r="N1" s="101"/>
      <c r="O1" s="101"/>
      <c r="P1" s="101"/>
      <c r="Q1" s="101"/>
      <c r="R1" s="101"/>
      <c r="S1" s="101"/>
      <c r="T1" s="101"/>
    </row>
    <row r="2" spans="2:20" x14ac:dyDescent="0.25">
      <c r="B2" s="101"/>
      <c r="C2" s="100" t="s">
        <v>169</v>
      </c>
      <c r="D2" s="101"/>
      <c r="E2" s="101"/>
      <c r="F2" s="101"/>
      <c r="G2" s="101"/>
      <c r="H2" s="101"/>
      <c r="I2" s="101"/>
      <c r="J2" s="101"/>
      <c r="K2" s="101"/>
      <c r="L2" s="101"/>
      <c r="M2" s="101"/>
      <c r="N2" s="101"/>
      <c r="O2" s="101"/>
      <c r="P2" s="101"/>
      <c r="Q2" s="101"/>
      <c r="R2" s="101"/>
      <c r="S2" s="101"/>
      <c r="T2" s="101"/>
    </row>
    <row r="3" spans="2:20" ht="7" customHeight="1" thickBot="1" x14ac:dyDescent="0.3">
      <c r="B3" s="101"/>
      <c r="C3" s="101"/>
      <c r="D3" s="101"/>
      <c r="E3" s="101"/>
      <c r="F3" s="101"/>
      <c r="G3" s="101"/>
      <c r="H3" s="101"/>
      <c r="I3" s="101"/>
      <c r="J3" s="101"/>
      <c r="K3" s="101"/>
      <c r="L3" s="101"/>
      <c r="M3" s="101"/>
      <c r="N3" s="101"/>
      <c r="O3" s="101"/>
      <c r="P3" s="101"/>
      <c r="Q3" s="101"/>
      <c r="R3" s="101"/>
      <c r="S3" s="101"/>
      <c r="T3" s="101"/>
    </row>
    <row r="4" spans="2:20" ht="13" thickBot="1" x14ac:dyDescent="0.3">
      <c r="B4" s="101"/>
      <c r="C4" s="101"/>
      <c r="D4" s="611" t="s">
        <v>1</v>
      </c>
      <c r="E4" s="612"/>
      <c r="F4" s="612"/>
      <c r="G4" s="612"/>
      <c r="H4" s="612"/>
      <c r="I4" s="612"/>
      <c r="J4" s="612"/>
      <c r="K4" s="612"/>
      <c r="L4" s="612"/>
      <c r="M4" s="612"/>
      <c r="N4" s="612"/>
      <c r="O4" s="612"/>
      <c r="P4" s="612"/>
      <c r="Q4" s="612"/>
      <c r="R4" s="612"/>
      <c r="S4" s="613"/>
      <c r="T4" s="101"/>
    </row>
    <row r="5" spans="2:20" ht="25.5" thickBot="1" x14ac:dyDescent="0.3">
      <c r="B5" s="101"/>
      <c r="C5" s="101"/>
      <c r="D5" s="242" t="s">
        <v>2</v>
      </c>
      <c r="E5" s="243" t="s">
        <v>3</v>
      </c>
      <c r="F5" s="243" t="s">
        <v>4</v>
      </c>
      <c r="G5" s="243" t="s">
        <v>5</v>
      </c>
      <c r="H5" s="243" t="s">
        <v>6</v>
      </c>
      <c r="I5" s="243" t="s">
        <v>7</v>
      </c>
      <c r="J5" s="243" t="s">
        <v>8</v>
      </c>
      <c r="K5" s="243" t="s">
        <v>9</v>
      </c>
      <c r="L5" s="243" t="s">
        <v>10</v>
      </c>
      <c r="M5" s="243" t="s">
        <v>11</v>
      </c>
      <c r="N5" s="243" t="s">
        <v>12</v>
      </c>
      <c r="O5" s="243" t="s">
        <v>13</v>
      </c>
      <c r="P5" s="244" t="s">
        <v>14</v>
      </c>
      <c r="Q5" s="243" t="s">
        <v>15</v>
      </c>
      <c r="R5" s="273" t="s">
        <v>16</v>
      </c>
      <c r="S5" s="306" t="s">
        <v>17</v>
      </c>
      <c r="T5" s="523" t="s">
        <v>417</v>
      </c>
    </row>
    <row r="6" spans="2:20" x14ac:dyDescent="0.25">
      <c r="B6" s="224" t="s">
        <v>36</v>
      </c>
      <c r="C6" s="275" t="s">
        <v>64</v>
      </c>
      <c r="D6" s="276" t="str">
        <f ca="1">IFERROR(INDEX('Emission Factors'!C$7:C$24,MATCH(OFFSET(Usage!$D5,0,-2),'Emission Factors'!$B$7:$B$24,0))*INDEX(Usage!$K$5:$K$31,MATCH('Boiler Building Emissions'!$C6,Usage!$D$5:$D$31,0))*(1-'Emission Factors'!$E$27),"--")</f>
        <v>--</v>
      </c>
      <c r="E6" s="276" t="str">
        <f ca="1">IFERROR(INDEX('Emission Factors'!D$7:D$24,MATCH(OFFSET(Usage!$D5,0,-2),'Emission Factors'!$B$7:$B$24,0))*INDEX(Usage!$K$5:$K$31,MATCH('Boiler Building Emissions'!$C6,Usage!$D$5:$D$31,0))*(1-'Emission Factors'!$E$27),"--")</f>
        <v>--</v>
      </c>
      <c r="F6" s="276" t="str">
        <f ca="1">IFERROR(INDEX('Emission Factors'!E$7:E$24,MATCH(OFFSET(Usage!$D5,0,-2),'Emission Factors'!$B$7:$B$24,0))*INDEX(Usage!$K$5:$K$31,MATCH('Boiler Building Emissions'!$C6,Usage!$D$5:$D$31,0))*(1-'Emission Factors'!$E$27),"--")</f>
        <v>--</v>
      </c>
      <c r="G6" s="276" t="str">
        <f ca="1">IFERROR(INDEX('Emission Factors'!F$7:F$24,MATCH(OFFSET(Usage!$D5,0,-2),'Emission Factors'!$B$7:$B$24,0))*INDEX(Usage!$K$5:$K$31,MATCH('Boiler Building Emissions'!$C6,Usage!$D$5:$D$31,0))*(1-'Emission Factors'!$E$27),"--")</f>
        <v>--</v>
      </c>
      <c r="H6" s="276" t="str">
        <f ca="1">IFERROR(INDEX('Emission Factors'!G$7:G$24,MATCH(OFFSET(Usage!$D5,0,-2),'Emission Factors'!$B$7:$B$24,0))*INDEX(Usage!$K$5:$K$31,MATCH('Boiler Building Emissions'!$C6,Usage!$D$5:$D$31,0))*(1-'Emission Factors'!$E$27),"--")</f>
        <v>--</v>
      </c>
      <c r="I6" s="276">
        <f ca="1">IFERROR(INDEX('Emission Factors'!H$7:H$24,MATCH(OFFSET(Usage!$D5,0,-2),'Emission Factors'!$B$7:$B$24,0))*INDEX(Usage!$K$5:$K$31,MATCH('Boiler Building Emissions'!$C6,Usage!$D$5:$D$31,0))*(1-'Emission Factors'!$E$27),"--")</f>
        <v>7.9299000000000004E-4</v>
      </c>
      <c r="J6" s="276">
        <f ca="1">IFERROR(INDEX('Emission Factors'!I$7:I$24,MATCH(OFFSET(Usage!$D5,0,-2),'Emission Factors'!$B$7:$B$24,0))*INDEX(Usage!$K$5:$K$31,MATCH('Boiler Building Emissions'!$C6,Usage!$D$5:$D$31,0))*(1-'Emission Factors'!$E$27),"--")</f>
        <v>4.0589999999999996E-5</v>
      </c>
      <c r="K6" s="276">
        <f ca="1">IFERROR(INDEX('Emission Factors'!J$7:J$24,MATCH(OFFSET(Usage!$D5,0,-2),'Emission Factors'!$B$7:$B$24,0))*INDEX(Usage!$K$5:$K$31,MATCH('Boiler Building Emissions'!$C6,Usage!$D$5:$D$31,0))*(1-'Emission Factors'!$E$27),"--")</f>
        <v>7.032168E-5</v>
      </c>
      <c r="L6" s="276">
        <f ca="1">IFERROR(INDEX('Emission Factors'!K$7:K$24,MATCH(OFFSET(Usage!$D5,0,-2),'Emission Factors'!$B$7:$B$24,0))*INDEX(Usage!$K$5:$K$31,MATCH('Boiler Building Emissions'!$C6,Usage!$D$5:$D$31,0))*(1-'Emission Factors'!$E$27),"--")</f>
        <v>3.1481999999999999E-3</v>
      </c>
      <c r="M6" s="276">
        <f ca="1">IFERROR(INDEX('Emission Factors'!L$7:L$24,MATCH(OFFSET(Usage!$D5,0,-2),'Emission Factors'!$B$7:$B$24,0))*INDEX(Usage!$K$5:$K$31,MATCH('Boiler Building Emissions'!$C6,Usage!$D$5:$D$31,0))*(1-'Emission Factors'!$E$27),"--")</f>
        <v>9.9000000000000001E-6</v>
      </c>
      <c r="N6" s="276">
        <f ca="1">IFERROR(INDEX('Emission Factors'!M$7:M$24,MATCH(OFFSET(Usage!$D5,0,-2),'Emission Factors'!$B$7:$B$24,0))*INDEX(Usage!$K$5:$K$31,MATCH('Boiler Building Emissions'!$C6,Usage!$D$5:$D$31,0))*(1-'Emission Factors'!$E$27),"--")</f>
        <v>3.5160840000000001E-6</v>
      </c>
      <c r="O6" s="276" t="str">
        <f ca="1">IFERROR(INDEX('Emission Factors'!N$7:N$24,MATCH(OFFSET(Usage!$D5,0,-2),'Emission Factors'!$B$7:$B$24,0))*INDEX(Usage!$K$5:$K$31,MATCH('Boiler Building Emissions'!$C6,Usage!$D$5:$D$31,0))*(1-'Emission Factors'!$E$27),"--")</f>
        <v>--</v>
      </c>
      <c r="P6" s="276">
        <f ca="1">IFERROR(INDEX('Emission Factors'!O$7:O$24,MATCH(OFFSET(Usage!$D5,0,-2),'Emission Factors'!$B$7:$B$24,0))*INDEX(Usage!$K$5:$K$31,MATCH('Boiler Building Emissions'!$C6,Usage!$D$5:$D$31,0))*(1-'Emission Factors'!$E$27),"--")</f>
        <v>5.1138306219152723E-4</v>
      </c>
      <c r="Q6" s="276">
        <f ca="1">IFERROR(INDEX('Emission Factors'!P$7:P$24,MATCH(OFFSET(Usage!$D5,0,-2),'Emission Factors'!$B$7:$B$24,0))*INDEX(Usage!$K$5:$K$31,MATCH('Boiler Building Emissions'!$C6,Usage!$D$5:$D$31,0))*(1-'Emission Factors'!$E$27),"--")</f>
        <v>4.2193007999999991E-6</v>
      </c>
      <c r="R6" s="277" t="str">
        <f ca="1">IFERROR(INDEX('Emission Factors'!Q$7:Q$24,MATCH(OFFSET(Usage!$D5,0,-2),'Emission Factors'!$B$7:$B$24,0))*INDEX(Usage!$K$5:$K$31,MATCH('Boiler Building Emissions'!$C6,Usage!$D$5:$D$31,0))*(1-'Emission Factors'!$E$27),"--")</f>
        <v>--</v>
      </c>
      <c r="S6" s="291" t="str">
        <f ca="1">IFERROR(INDEX('Emission Factors'!R$7:R$24,MATCH(OFFSET(Usage!$D5,0,-2),'Emission Factors'!$B$7:$B$24,0))*INDEX(Usage!$K$5:$K$31,MATCH('Boiler Building Emissions'!$C6,Usage!$D$5:$D$31,0))*(1-'Emission Factors'!$E$27),"--")</f>
        <v>--</v>
      </c>
      <c r="T6" s="291">
        <f ca="1">IFERROR(INDEX('Emission Factors'!S$7:S$24,MATCH(OFFSET(Usage!$D5,0,-2),'Emission Factors'!$B$7:$B$24,0))*INDEX(Usage!$K$5:$K$31,MATCH('Boiler Building Emissions'!$C6,Usage!$D$5:$D$31,0))*(1-'Emission Factors'!$E$27),"--")</f>
        <v>3.1648054046482539E-5</v>
      </c>
    </row>
    <row r="7" spans="2:20" x14ac:dyDescent="0.25">
      <c r="B7" s="190" t="s">
        <v>66</v>
      </c>
      <c r="C7" s="226" t="s">
        <v>67</v>
      </c>
      <c r="D7" s="519">
        <f ca="1">IFERROR(INDEX('Emission Factors'!C$7:C$24,MATCH(OFFSET(Usage!$D6,0,-2),'Emission Factors'!$B$7:$B$24,0))*INDEX(Usage!$K$5:$K$31,MATCH('Boiler Building Emissions'!$C7,Usage!$D$5:$D$31,0))*(1-'Emission Factors'!$E$27),"--")</f>
        <v>0</v>
      </c>
      <c r="E7" s="279" t="str">
        <f ca="1">IFERROR(INDEX('Emission Factors'!D$7:D$24,MATCH(OFFSET(Usage!$D6,0,-2),'Emission Factors'!$B$7:$B$24,0))*INDEX(Usage!$K$5:$K$31,MATCH('Boiler Building Emissions'!$C7,Usage!$D$5:$D$31,0))*(1-'Emission Factors'!$E$27),"--")</f>
        <v>--</v>
      </c>
      <c r="F7" s="279" t="str">
        <f ca="1">IFERROR(INDEX('Emission Factors'!E$7:E$24,MATCH(OFFSET(Usage!$D6,0,-2),'Emission Factors'!$B$7:$B$24,0))*INDEX(Usage!$K$5:$K$31,MATCH('Boiler Building Emissions'!$C7,Usage!$D$5:$D$31,0))*(1-'Emission Factors'!$E$27),"--")</f>
        <v>--</v>
      </c>
      <c r="G7" s="279" t="str">
        <f ca="1">IFERROR(INDEX('Emission Factors'!F$7:F$24,MATCH(OFFSET(Usage!$D6,0,-2),'Emission Factors'!$B$7:$B$24,0))*INDEX(Usage!$K$5:$K$31,MATCH('Boiler Building Emissions'!$C7,Usage!$D$5:$D$31,0))*(1-'Emission Factors'!$E$27),"--")</f>
        <v>--</v>
      </c>
      <c r="H7" s="279">
        <f ca="1">IFERROR(INDEX('Emission Factors'!G$7:G$24,MATCH(OFFSET(Usage!$D6,0,-2),'Emission Factors'!$B$7:$B$24,0))*INDEX(Usage!$K$5:$K$31,MATCH('Boiler Building Emissions'!$C7,Usage!$D$5:$D$31,0))*(1-'Emission Factors'!$E$27),"--")</f>
        <v>0</v>
      </c>
      <c r="I7" s="279">
        <f ca="1">IFERROR(INDEX('Emission Factors'!H$7:H$24,MATCH(OFFSET(Usage!$D6,0,-2),'Emission Factors'!$B$7:$B$24,0))*INDEX(Usage!$K$5:$K$31,MATCH('Boiler Building Emissions'!$C7,Usage!$D$5:$D$31,0))*(1-'Emission Factors'!$E$27),"--")</f>
        <v>0</v>
      </c>
      <c r="J7" s="279">
        <f ca="1">IFERROR(INDEX('Emission Factors'!I$7:I$24,MATCH(OFFSET(Usage!$D6,0,-2),'Emission Factors'!$B$7:$B$24,0))*INDEX(Usage!$K$5:$K$31,MATCH('Boiler Building Emissions'!$C7,Usage!$D$5:$D$31,0))*(1-'Emission Factors'!$E$27),"--")</f>
        <v>0</v>
      </c>
      <c r="K7" s="279">
        <f ca="1">IFERROR(INDEX('Emission Factors'!J$7:J$24,MATCH(OFFSET(Usage!$D6,0,-2),'Emission Factors'!$B$7:$B$24,0))*INDEX(Usage!$K$5:$K$31,MATCH('Boiler Building Emissions'!$C7,Usage!$D$5:$D$31,0))*(1-'Emission Factors'!$E$27),"--")</f>
        <v>0</v>
      </c>
      <c r="L7" s="279">
        <f ca="1">IFERROR(INDEX('Emission Factors'!K$7:K$24,MATCH(OFFSET(Usage!$D6,0,-2),'Emission Factors'!$B$7:$B$24,0))*INDEX(Usage!$K$5:$K$31,MATCH('Boiler Building Emissions'!$C7,Usage!$D$5:$D$31,0))*(1-'Emission Factors'!$E$27),"--")</f>
        <v>0</v>
      </c>
      <c r="M7" s="279">
        <f ca="1">IFERROR(INDEX('Emission Factors'!L$7:L$24,MATCH(OFFSET(Usage!$D6,0,-2),'Emission Factors'!$B$7:$B$24,0))*INDEX(Usage!$K$5:$K$31,MATCH('Boiler Building Emissions'!$C7,Usage!$D$5:$D$31,0))*(1-'Emission Factors'!$E$27),"--")</f>
        <v>0</v>
      </c>
      <c r="N7" s="279">
        <f ca="1">IFERROR(INDEX('Emission Factors'!M$7:M$24,MATCH(OFFSET(Usage!$D6,0,-2),'Emission Factors'!$B$7:$B$24,0))*INDEX(Usage!$K$5:$K$31,MATCH('Boiler Building Emissions'!$C7,Usage!$D$5:$D$31,0))*(1-'Emission Factors'!$E$27),"--")</f>
        <v>0</v>
      </c>
      <c r="O7" s="279" t="str">
        <f ca="1">IFERROR(INDEX('Emission Factors'!N$7:N$24,MATCH(OFFSET(Usage!$D6,0,-2),'Emission Factors'!$B$7:$B$24,0))*INDEX(Usage!$K$5:$K$31,MATCH('Boiler Building Emissions'!$C7,Usage!$D$5:$D$31,0))*(1-'Emission Factors'!$E$27),"--")</f>
        <v>--</v>
      </c>
      <c r="P7" s="279">
        <f ca="1">IFERROR(INDEX('Emission Factors'!O$7:O$24,MATCH(OFFSET(Usage!$D6,0,-2),'Emission Factors'!$B$7:$B$24,0))*INDEX(Usage!$K$5:$K$31,MATCH('Boiler Building Emissions'!$C7,Usage!$D$5:$D$31,0))*(1-'Emission Factors'!$E$27),"--")</f>
        <v>0</v>
      </c>
      <c r="Q7" s="279">
        <f ca="1">IFERROR(INDEX('Emission Factors'!P$7:P$24,MATCH(OFFSET(Usage!$D6,0,-2),'Emission Factors'!$B$7:$B$24,0))*INDEX(Usage!$K$5:$K$31,MATCH('Boiler Building Emissions'!$C7,Usage!$D$5:$D$31,0))*(1-'Emission Factors'!$E$27),"--")</f>
        <v>0</v>
      </c>
      <c r="R7" s="280" t="str">
        <f ca="1">IFERROR(INDEX('Emission Factors'!Q$7:Q$24,MATCH(OFFSET(Usage!$D6,0,-2),'Emission Factors'!$B$7:$B$24,0))*INDEX(Usage!$K$5:$K$31,MATCH('Boiler Building Emissions'!$C7,Usage!$D$5:$D$31,0))*(1-'Emission Factors'!$E$27),"--")</f>
        <v>--</v>
      </c>
      <c r="S7" s="292" t="str">
        <f ca="1">IFERROR(INDEX('Emission Factors'!R$7:R$24,MATCH(OFFSET(Usage!$D6,0,-2),'Emission Factors'!$B$7:$B$24,0))*INDEX(Usage!$K$5:$K$31,MATCH('Boiler Building Emissions'!$C7,Usage!$D$5:$D$31,0))*(1-'Emission Factors'!$E$27),"--")</f>
        <v>--</v>
      </c>
      <c r="T7" s="292">
        <f ca="1">IFERROR(INDEX('Emission Factors'!S$7:S$24,MATCH(OFFSET(Usage!$D6,0,-2),'Emission Factors'!$B$7:$B$24,0))*INDEX(Usage!$K$5:$K$31,MATCH('Boiler Building Emissions'!$C7,Usage!$D$5:$D$31,0))*(1-'Emission Factors'!$E$27),"--")</f>
        <v>0</v>
      </c>
    </row>
    <row r="8" spans="2:20" x14ac:dyDescent="0.25">
      <c r="B8" s="190" t="s">
        <v>36</v>
      </c>
      <c r="C8" s="226" t="s">
        <v>68</v>
      </c>
      <c r="D8" s="279" t="str">
        <f ca="1">IFERROR(INDEX('Emission Factors'!C$7:C$24,MATCH(OFFSET(Usage!$D7,0,-2),'Emission Factors'!$B$7:$B$24,0))*INDEX(Usage!$K$5:$K$31,MATCH('Boiler Building Emissions'!$C8,Usage!$D$5:$D$31,0))*(1-'Emission Factors'!$E$27),"--")</f>
        <v>--</v>
      </c>
      <c r="E8" s="279" t="str">
        <f ca="1">IFERROR(INDEX('Emission Factors'!D$7:D$24,MATCH(OFFSET(Usage!$D7,0,-2),'Emission Factors'!$B$7:$B$24,0))*INDEX(Usage!$K$5:$K$31,MATCH('Boiler Building Emissions'!$C8,Usage!$D$5:$D$31,0))*(1-'Emission Factors'!$E$27),"--")</f>
        <v>--</v>
      </c>
      <c r="F8" s="279" t="str">
        <f ca="1">IFERROR(INDEX('Emission Factors'!E$7:E$24,MATCH(OFFSET(Usage!$D7,0,-2),'Emission Factors'!$B$7:$B$24,0))*INDEX(Usage!$K$5:$K$31,MATCH('Boiler Building Emissions'!$C8,Usage!$D$5:$D$31,0))*(1-'Emission Factors'!$E$27),"--")</f>
        <v>--</v>
      </c>
      <c r="G8" s="279" t="str">
        <f ca="1">IFERROR(INDEX('Emission Factors'!F$7:F$24,MATCH(OFFSET(Usage!$D7,0,-2),'Emission Factors'!$B$7:$B$24,0))*INDEX(Usage!$K$5:$K$31,MATCH('Boiler Building Emissions'!$C8,Usage!$D$5:$D$31,0))*(1-'Emission Factors'!$E$27),"--")</f>
        <v>--</v>
      </c>
      <c r="H8" s="279" t="str">
        <f ca="1">IFERROR(INDEX('Emission Factors'!G$7:G$24,MATCH(OFFSET(Usage!$D7,0,-2),'Emission Factors'!$B$7:$B$24,0))*INDEX(Usage!$K$5:$K$31,MATCH('Boiler Building Emissions'!$C8,Usage!$D$5:$D$31,0))*(1-'Emission Factors'!$E$27),"--")</f>
        <v>--</v>
      </c>
      <c r="I8" s="279">
        <f ca="1">IFERROR(INDEX('Emission Factors'!H$7:H$24,MATCH(OFFSET(Usage!$D7,0,-2),'Emission Factors'!$B$7:$B$24,0))*INDEX(Usage!$K$5:$K$31,MATCH('Boiler Building Emissions'!$C8,Usage!$D$5:$D$31,0))*(1-'Emission Factors'!$E$27),"--")</f>
        <v>1.0467467999999999E-3</v>
      </c>
      <c r="J8" s="279">
        <f ca="1">IFERROR(INDEX('Emission Factors'!I$7:I$24,MATCH(OFFSET(Usage!$D7,0,-2),'Emission Factors'!$B$7:$B$24,0))*INDEX(Usage!$K$5:$K$31,MATCH('Boiler Building Emissions'!$C8,Usage!$D$5:$D$31,0))*(1-'Emission Factors'!$E$27),"--")</f>
        <v>5.3578799999999996E-5</v>
      </c>
      <c r="K8" s="279">
        <f ca="1">IFERROR(INDEX('Emission Factors'!J$7:J$24,MATCH(OFFSET(Usage!$D7,0,-2),'Emission Factors'!$B$7:$B$24,0))*INDEX(Usage!$K$5:$K$31,MATCH('Boiler Building Emissions'!$C8,Usage!$D$5:$D$31,0))*(1-'Emission Factors'!$E$27),"--")</f>
        <v>9.2824617599999995E-5</v>
      </c>
      <c r="L8" s="279">
        <f ca="1">IFERROR(INDEX('Emission Factors'!K$7:K$24,MATCH(OFFSET(Usage!$D7,0,-2),'Emission Factors'!$B$7:$B$24,0))*INDEX(Usage!$K$5:$K$31,MATCH('Boiler Building Emissions'!$C8,Usage!$D$5:$D$31,0))*(1-'Emission Factors'!$E$27),"--")</f>
        <v>4.1556239999999993E-3</v>
      </c>
      <c r="M8" s="279">
        <f ca="1">IFERROR(INDEX('Emission Factors'!L$7:L$24,MATCH(OFFSET(Usage!$D7,0,-2),'Emission Factors'!$B$7:$B$24,0))*INDEX(Usage!$K$5:$K$31,MATCH('Boiler Building Emissions'!$C8,Usage!$D$5:$D$31,0))*(1-'Emission Factors'!$E$27),"--")</f>
        <v>1.3067999999999999E-5</v>
      </c>
      <c r="N8" s="279">
        <f ca="1">IFERROR(INDEX('Emission Factors'!M$7:M$24,MATCH(OFFSET(Usage!$D7,0,-2),'Emission Factors'!$B$7:$B$24,0))*INDEX(Usage!$K$5:$K$31,MATCH('Boiler Building Emissions'!$C8,Usage!$D$5:$D$31,0))*(1-'Emission Factors'!$E$27),"--")</f>
        <v>4.6412308799999999E-6</v>
      </c>
      <c r="O8" s="279" t="str">
        <f ca="1">IFERROR(INDEX('Emission Factors'!N$7:N$24,MATCH(OFFSET(Usage!$D7,0,-2),'Emission Factors'!$B$7:$B$24,0))*INDEX(Usage!$K$5:$K$31,MATCH('Boiler Building Emissions'!$C8,Usage!$D$5:$D$31,0))*(1-'Emission Factors'!$E$27),"--")</f>
        <v>--</v>
      </c>
      <c r="P8" s="279">
        <f ca="1">IFERROR(INDEX('Emission Factors'!O$7:O$24,MATCH(OFFSET(Usage!$D7,0,-2),'Emission Factors'!$B$7:$B$24,0))*INDEX(Usage!$K$5:$K$31,MATCH('Boiler Building Emissions'!$C8,Usage!$D$5:$D$31,0))*(1-'Emission Factors'!$E$27),"--")</f>
        <v>6.7502564209281598E-4</v>
      </c>
      <c r="Q8" s="279">
        <f ca="1">IFERROR(INDEX('Emission Factors'!P$7:P$24,MATCH(OFFSET(Usage!$D7,0,-2),'Emission Factors'!$B$7:$B$24,0))*INDEX(Usage!$K$5:$K$31,MATCH('Boiler Building Emissions'!$C8,Usage!$D$5:$D$31,0))*(1-'Emission Factors'!$E$27),"--")</f>
        <v>5.5694770559999987E-6</v>
      </c>
      <c r="R8" s="280" t="str">
        <f ca="1">IFERROR(INDEX('Emission Factors'!Q$7:Q$24,MATCH(OFFSET(Usage!$D7,0,-2),'Emission Factors'!$B$7:$B$24,0))*INDEX(Usage!$K$5:$K$31,MATCH('Boiler Building Emissions'!$C8,Usage!$D$5:$D$31,0))*(1-'Emission Factors'!$E$27),"--")</f>
        <v>--</v>
      </c>
      <c r="S8" s="292" t="str">
        <f ca="1">IFERROR(INDEX('Emission Factors'!R$7:R$24,MATCH(OFFSET(Usage!$D7,0,-2),'Emission Factors'!$B$7:$B$24,0))*INDEX(Usage!$K$5:$K$31,MATCH('Boiler Building Emissions'!$C8,Usage!$D$5:$D$31,0))*(1-'Emission Factors'!$E$27),"--")</f>
        <v>--</v>
      </c>
      <c r="T8" s="292">
        <f ca="1">IFERROR(INDEX('Emission Factors'!S$7:S$24,MATCH(OFFSET(Usage!$D7,0,-2),'Emission Factors'!$B$7:$B$24,0))*INDEX(Usage!$K$5:$K$31,MATCH('Boiler Building Emissions'!$C8,Usage!$D$5:$D$31,0))*(1-'Emission Factors'!$E$27),"--")</f>
        <v>4.1775431341356946E-5</v>
      </c>
    </row>
    <row r="9" spans="2:20" x14ac:dyDescent="0.25">
      <c r="B9" s="190" t="s">
        <v>41</v>
      </c>
      <c r="C9" s="226" t="s">
        <v>69</v>
      </c>
      <c r="D9" s="279" t="str">
        <f ca="1">IFERROR(INDEX('Emission Factors'!C$7:C$24,MATCH(OFFSET(Usage!$D8,0,-2),'Emission Factors'!$B$7:$B$24,0))*INDEX(Usage!$K$5:$K$31,MATCH('Boiler Building Emissions'!$C9,Usage!$D$5:$D$31,0))*(1-'Emission Factors'!$E$27),"--")</f>
        <v>--</v>
      </c>
      <c r="E9" s="279">
        <f ca="1">IFERROR(INDEX('Emission Factors'!D$7:D$24,MATCH(OFFSET(Usage!$D8,0,-2),'Emission Factors'!$B$7:$B$24,0))*INDEX(Usage!$K$5:$K$31,MATCH('Boiler Building Emissions'!$C9,Usage!$D$5:$D$31,0))*(1-'Emission Factors'!$E$27),"--")</f>
        <v>0</v>
      </c>
      <c r="F9" s="279" t="str">
        <f ca="1">IFERROR(INDEX('Emission Factors'!E$7:E$24,MATCH(OFFSET(Usage!$D8,0,-2),'Emission Factors'!$B$7:$B$24,0))*INDEX(Usage!$K$5:$K$31,MATCH('Boiler Building Emissions'!$C9,Usage!$D$5:$D$31,0))*(1-'Emission Factors'!$E$27),"--")</f>
        <v>--</v>
      </c>
      <c r="G9" s="279" t="str">
        <f ca="1">IFERROR(INDEX('Emission Factors'!F$7:F$24,MATCH(OFFSET(Usage!$D8,0,-2),'Emission Factors'!$B$7:$B$24,0))*INDEX(Usage!$K$5:$K$31,MATCH('Boiler Building Emissions'!$C9,Usage!$D$5:$D$31,0))*(1-'Emission Factors'!$E$27),"--")</f>
        <v>--</v>
      </c>
      <c r="H9" s="279" t="str">
        <f ca="1">IFERROR(INDEX('Emission Factors'!G$7:G$24,MATCH(OFFSET(Usage!$D8,0,-2),'Emission Factors'!$B$7:$B$24,0))*INDEX(Usage!$K$5:$K$31,MATCH('Boiler Building Emissions'!$C9,Usage!$D$5:$D$31,0))*(1-'Emission Factors'!$E$27),"--")</f>
        <v>--</v>
      </c>
      <c r="I9" s="279">
        <f ca="1">IFERROR(INDEX('Emission Factors'!H$7:H$24,MATCH(OFFSET(Usage!$D8,0,-2),'Emission Factors'!$B$7:$B$24,0))*INDEX(Usage!$K$5:$K$31,MATCH('Boiler Building Emissions'!$C9,Usage!$D$5:$D$31,0))*(1-'Emission Factors'!$E$27),"--")</f>
        <v>7.6427999999999999E-3</v>
      </c>
      <c r="J9" s="279">
        <f ca="1">IFERROR(INDEX('Emission Factors'!I$7:I$24,MATCH(OFFSET(Usage!$D8,0,-2),'Emission Factors'!$B$7:$B$24,0))*INDEX(Usage!$K$5:$K$31,MATCH('Boiler Building Emissions'!$C9,Usage!$D$5:$D$31,0))*(1-'Emission Factors'!$E$27),"--")</f>
        <v>2.8116E-5</v>
      </c>
      <c r="K9" s="279">
        <f ca="1">IFERROR(INDEX('Emission Factors'!J$7:J$24,MATCH(OFFSET(Usage!$D8,0,-2),'Emission Factors'!$B$7:$B$24,0))*INDEX(Usage!$K$5:$K$31,MATCH('Boiler Building Emissions'!$C9,Usage!$D$5:$D$31,0))*(1-'Emission Factors'!$E$27),"--")</f>
        <v>1.2982464000000001E-5</v>
      </c>
      <c r="L9" s="279">
        <f ca="1">IFERROR(INDEX('Emission Factors'!K$7:K$24,MATCH(OFFSET(Usage!$D8,0,-2),'Emission Factors'!$B$7:$B$24,0))*INDEX(Usage!$K$5:$K$31,MATCH('Boiler Building Emissions'!$C9,Usage!$D$5:$D$31,0))*(1-'Emission Factors'!$E$27),"--")</f>
        <v>2.4254999999999999E-4</v>
      </c>
      <c r="M9" s="279">
        <f ca="1">IFERROR(INDEX('Emission Factors'!L$7:L$24,MATCH(OFFSET(Usage!$D8,0,-2),'Emission Factors'!$B$7:$B$24,0))*INDEX(Usage!$K$5:$K$31,MATCH('Boiler Building Emissions'!$C9,Usage!$D$5:$D$31,0))*(1-'Emission Factors'!$E$27),"--")</f>
        <v>2.2374E-4</v>
      </c>
      <c r="N9" s="279">
        <f ca="1">IFERROR(INDEX('Emission Factors'!M$7:M$24,MATCH(OFFSET(Usage!$D8,0,-2),'Emission Factors'!$B$7:$B$24,0))*INDEX(Usage!$K$5:$K$31,MATCH('Boiler Building Emissions'!$C9,Usage!$D$5:$D$31,0))*(1-'Emission Factors'!$E$27),"--")</f>
        <v>5.1929855999999991E-7</v>
      </c>
      <c r="O9" s="279" t="str">
        <f ca="1">IFERROR(INDEX('Emission Factors'!N$7:N$24,MATCH(OFFSET(Usage!$D8,0,-2),'Emission Factors'!$B$7:$B$24,0))*INDEX(Usage!$K$5:$K$31,MATCH('Boiler Building Emissions'!$C9,Usage!$D$5:$D$31,0))*(1-'Emission Factors'!$E$27),"--")</f>
        <v>--</v>
      </c>
      <c r="P9" s="279">
        <f ca="1">IFERROR(INDEX('Emission Factors'!O$7:O$24,MATCH(OFFSET(Usage!$D8,0,-2),'Emission Factors'!$B$7:$B$24,0))*INDEX(Usage!$K$5:$K$31,MATCH('Boiler Building Emissions'!$C9,Usage!$D$5:$D$31,0))*(1-'Emission Factors'!$E$27),"--")</f>
        <v>1.758602385817017E-5</v>
      </c>
      <c r="Q9" s="279" t="str">
        <f ca="1">IFERROR(INDEX('Emission Factors'!P$7:P$24,MATCH(OFFSET(Usage!$D8,0,-2),'Emission Factors'!$B$7:$B$24,0))*INDEX(Usage!$K$5:$K$31,MATCH('Boiler Building Emissions'!$C9,Usage!$D$5:$D$31,0))*(1-'Emission Factors'!$E$27),"--")</f>
        <v>--</v>
      </c>
      <c r="R9" s="280" t="str">
        <f ca="1">IFERROR(INDEX('Emission Factors'!Q$7:Q$24,MATCH(OFFSET(Usage!$D8,0,-2),'Emission Factors'!$B$7:$B$24,0))*INDEX(Usage!$K$5:$K$31,MATCH('Boiler Building Emissions'!$C9,Usage!$D$5:$D$31,0))*(1-'Emission Factors'!$E$27),"--")</f>
        <v>--</v>
      </c>
      <c r="S9" s="292" t="str">
        <f ca="1">IFERROR(INDEX('Emission Factors'!R$7:R$24,MATCH(OFFSET(Usage!$D8,0,-2),'Emission Factors'!$B$7:$B$24,0))*INDEX(Usage!$K$5:$K$31,MATCH('Boiler Building Emissions'!$C9,Usage!$D$5:$D$31,0))*(1-'Emission Factors'!$E$27),"--")</f>
        <v>--</v>
      </c>
      <c r="T9" s="292">
        <f ca="1">IFERROR(INDEX('Emission Factors'!S$7:S$24,MATCH(OFFSET(Usage!$D8,0,-2),'Emission Factors'!$B$7:$B$24,0))*INDEX(Usage!$K$5:$K$31,MATCH('Boiler Building Emissions'!$C9,Usage!$D$5:$D$31,0))*(1-'Emission Factors'!$E$27),"--")</f>
        <v>6.4919085223553942E-5</v>
      </c>
    </row>
    <row r="10" spans="2:20" x14ac:dyDescent="0.25">
      <c r="B10" s="190" t="s">
        <v>41</v>
      </c>
      <c r="C10" s="226" t="s">
        <v>70</v>
      </c>
      <c r="D10" s="279" t="str">
        <f ca="1">IFERROR(INDEX('Emission Factors'!C$7:C$24,MATCH(OFFSET(Usage!$D9,0,-2),'Emission Factors'!$B$7:$B$24,0))*INDEX(Usage!$K$5:$K$31,MATCH('Boiler Building Emissions'!$C10,Usage!$D$5:$D$31,0))*(1-'Emission Factors'!$E$27),"--")</f>
        <v>--</v>
      </c>
      <c r="E10" s="279">
        <f ca="1">IFERROR(INDEX('Emission Factors'!D$7:D$24,MATCH(OFFSET(Usage!$D9,0,-2),'Emission Factors'!$B$7:$B$24,0))*INDEX(Usage!$K$5:$K$31,MATCH('Boiler Building Emissions'!$C10,Usage!$D$5:$D$31,0))*(1-'Emission Factors'!$E$27),"--")</f>
        <v>0</v>
      </c>
      <c r="F10" s="279" t="str">
        <f ca="1">IFERROR(INDEX('Emission Factors'!E$7:E$24,MATCH(OFFSET(Usage!$D9,0,-2),'Emission Factors'!$B$7:$B$24,0))*INDEX(Usage!$K$5:$K$31,MATCH('Boiler Building Emissions'!$C10,Usage!$D$5:$D$31,0))*(1-'Emission Factors'!$E$27),"--")</f>
        <v>--</v>
      </c>
      <c r="G10" s="279" t="str">
        <f ca="1">IFERROR(INDEX('Emission Factors'!F$7:F$24,MATCH(OFFSET(Usage!$D9,0,-2),'Emission Factors'!$B$7:$B$24,0))*INDEX(Usage!$K$5:$K$31,MATCH('Boiler Building Emissions'!$C10,Usage!$D$5:$D$31,0))*(1-'Emission Factors'!$E$27),"--")</f>
        <v>--</v>
      </c>
      <c r="H10" s="279" t="str">
        <f ca="1">IFERROR(INDEX('Emission Factors'!G$7:G$24,MATCH(OFFSET(Usage!$D9,0,-2),'Emission Factors'!$B$7:$B$24,0))*INDEX(Usage!$K$5:$K$31,MATCH('Boiler Building Emissions'!$C10,Usage!$D$5:$D$31,0))*(1-'Emission Factors'!$E$27),"--")</f>
        <v>--</v>
      </c>
      <c r="I10" s="279">
        <f ca="1">IFERROR(INDEX('Emission Factors'!H$7:H$24,MATCH(OFFSET(Usage!$D9,0,-2),'Emission Factors'!$B$7:$B$24,0))*INDEX(Usage!$K$5:$K$31,MATCH('Boiler Building Emissions'!$C10,Usage!$D$5:$D$31,0))*(1-'Emission Factors'!$E$27),"--")</f>
        <v>7.6427999999999999E-3</v>
      </c>
      <c r="J10" s="279">
        <f ca="1">IFERROR(INDEX('Emission Factors'!I$7:I$24,MATCH(OFFSET(Usage!$D9,0,-2),'Emission Factors'!$B$7:$B$24,0))*INDEX(Usage!$K$5:$K$31,MATCH('Boiler Building Emissions'!$C10,Usage!$D$5:$D$31,0))*(1-'Emission Factors'!$E$27),"--")</f>
        <v>2.8116E-5</v>
      </c>
      <c r="K10" s="279">
        <f ca="1">IFERROR(INDEX('Emission Factors'!J$7:J$24,MATCH(OFFSET(Usage!$D9,0,-2),'Emission Factors'!$B$7:$B$24,0))*INDEX(Usage!$K$5:$K$31,MATCH('Boiler Building Emissions'!$C10,Usage!$D$5:$D$31,0))*(1-'Emission Factors'!$E$27),"--")</f>
        <v>1.2982464000000001E-5</v>
      </c>
      <c r="L10" s="279">
        <f ca="1">IFERROR(INDEX('Emission Factors'!K$7:K$24,MATCH(OFFSET(Usage!$D9,0,-2),'Emission Factors'!$B$7:$B$24,0))*INDEX(Usage!$K$5:$K$31,MATCH('Boiler Building Emissions'!$C10,Usage!$D$5:$D$31,0))*(1-'Emission Factors'!$E$27),"--")</f>
        <v>2.4254999999999999E-4</v>
      </c>
      <c r="M10" s="279">
        <f ca="1">IFERROR(INDEX('Emission Factors'!L$7:L$24,MATCH(OFFSET(Usage!$D9,0,-2),'Emission Factors'!$B$7:$B$24,0))*INDEX(Usage!$K$5:$K$31,MATCH('Boiler Building Emissions'!$C10,Usage!$D$5:$D$31,0))*(1-'Emission Factors'!$E$27),"--")</f>
        <v>2.2374E-4</v>
      </c>
      <c r="N10" s="279">
        <f ca="1">IFERROR(INDEX('Emission Factors'!M$7:M$24,MATCH(OFFSET(Usage!$D9,0,-2),'Emission Factors'!$B$7:$B$24,0))*INDEX(Usage!$K$5:$K$31,MATCH('Boiler Building Emissions'!$C10,Usage!$D$5:$D$31,0))*(1-'Emission Factors'!$E$27),"--")</f>
        <v>5.1929855999999991E-7</v>
      </c>
      <c r="O10" s="279" t="str">
        <f ca="1">IFERROR(INDEX('Emission Factors'!N$7:N$24,MATCH(OFFSET(Usage!$D9,0,-2),'Emission Factors'!$B$7:$B$24,0))*INDEX(Usage!$K$5:$K$31,MATCH('Boiler Building Emissions'!$C10,Usage!$D$5:$D$31,0))*(1-'Emission Factors'!$E$27),"--")</f>
        <v>--</v>
      </c>
      <c r="P10" s="279">
        <f ca="1">IFERROR(INDEX('Emission Factors'!O$7:O$24,MATCH(OFFSET(Usage!$D9,0,-2),'Emission Factors'!$B$7:$B$24,0))*INDEX(Usage!$K$5:$K$31,MATCH('Boiler Building Emissions'!$C10,Usage!$D$5:$D$31,0))*(1-'Emission Factors'!$E$27),"--")</f>
        <v>1.758602385817017E-5</v>
      </c>
      <c r="Q10" s="279" t="str">
        <f ca="1">IFERROR(INDEX('Emission Factors'!P$7:P$24,MATCH(OFFSET(Usage!$D9,0,-2),'Emission Factors'!$B$7:$B$24,0))*INDEX(Usage!$K$5:$K$31,MATCH('Boiler Building Emissions'!$C10,Usage!$D$5:$D$31,0))*(1-'Emission Factors'!$E$27),"--")</f>
        <v>--</v>
      </c>
      <c r="R10" s="280" t="str">
        <f ca="1">IFERROR(INDEX('Emission Factors'!Q$7:Q$24,MATCH(OFFSET(Usage!$D9,0,-2),'Emission Factors'!$B$7:$B$24,0))*INDEX(Usage!$K$5:$K$31,MATCH('Boiler Building Emissions'!$C10,Usage!$D$5:$D$31,0))*(1-'Emission Factors'!$E$27),"--")</f>
        <v>--</v>
      </c>
      <c r="S10" s="292" t="str">
        <f ca="1">IFERROR(INDEX('Emission Factors'!R$7:R$24,MATCH(OFFSET(Usage!$D9,0,-2),'Emission Factors'!$B$7:$B$24,0))*INDEX(Usage!$K$5:$K$31,MATCH('Boiler Building Emissions'!$C10,Usage!$D$5:$D$31,0))*(1-'Emission Factors'!$E$27),"--")</f>
        <v>--</v>
      </c>
      <c r="T10" s="292">
        <f ca="1">IFERROR(INDEX('Emission Factors'!S$7:S$24,MATCH(OFFSET(Usage!$D9,0,-2),'Emission Factors'!$B$7:$B$24,0))*INDEX(Usage!$K$5:$K$31,MATCH('Boiler Building Emissions'!$C10,Usage!$D$5:$D$31,0))*(1-'Emission Factors'!$E$27),"--")</f>
        <v>6.4919085223553942E-5</v>
      </c>
    </row>
    <row r="11" spans="2:20" x14ac:dyDescent="0.25">
      <c r="B11" s="190" t="s">
        <v>40</v>
      </c>
      <c r="C11" s="226" t="s">
        <v>71</v>
      </c>
      <c r="D11" s="279" t="str">
        <f ca="1">IFERROR(INDEX('Emission Factors'!C$7:C$24,MATCH(OFFSET(Usage!$D10,0,-2),'Emission Factors'!$B$7:$B$24,0))*INDEX(Usage!$K$5:$K$31,MATCH('Boiler Building Emissions'!$C11,Usage!$D$5:$D$31,0))*(1-'Emission Factors'!$E$27),"--")</f>
        <v>--</v>
      </c>
      <c r="E11" s="279" t="str">
        <f ca="1">IFERROR(INDEX('Emission Factors'!D$7:D$24,MATCH(OFFSET(Usage!$D10,0,-2),'Emission Factors'!$B$7:$B$24,0))*INDEX(Usage!$K$5:$K$31,MATCH('Boiler Building Emissions'!$C11,Usage!$D$5:$D$31,0))*(1-'Emission Factors'!$E$27),"--")</f>
        <v>--</v>
      </c>
      <c r="F11" s="279" t="str">
        <f ca="1">IFERROR(INDEX('Emission Factors'!E$7:E$24,MATCH(OFFSET(Usage!$D10,0,-2),'Emission Factors'!$B$7:$B$24,0))*INDEX(Usage!$K$5:$K$31,MATCH('Boiler Building Emissions'!$C11,Usage!$D$5:$D$31,0))*(1-'Emission Factors'!$E$27),"--")</f>
        <v>--</v>
      </c>
      <c r="G11" s="279" t="str">
        <f ca="1">IFERROR(INDEX('Emission Factors'!F$7:F$24,MATCH(OFFSET(Usage!$D10,0,-2),'Emission Factors'!$B$7:$B$24,0))*INDEX(Usage!$K$5:$K$31,MATCH('Boiler Building Emissions'!$C11,Usage!$D$5:$D$31,0))*(1-'Emission Factors'!$E$27),"--")</f>
        <v>--</v>
      </c>
      <c r="H11" s="279" t="str">
        <f ca="1">IFERROR(INDEX('Emission Factors'!G$7:G$24,MATCH(OFFSET(Usage!$D10,0,-2),'Emission Factors'!$B$7:$B$24,0))*INDEX(Usage!$K$5:$K$31,MATCH('Boiler Building Emissions'!$C11,Usage!$D$5:$D$31,0))*(1-'Emission Factors'!$E$27),"--")</f>
        <v>--</v>
      </c>
      <c r="I11" s="279">
        <f ca="1">IFERROR(INDEX('Emission Factors'!H$7:H$24,MATCH(OFFSET(Usage!$D10,0,-2),'Emission Factors'!$B$7:$B$24,0))*INDEX(Usage!$K$5:$K$31,MATCH('Boiler Building Emissions'!$C11,Usage!$D$5:$D$31,0))*(1-'Emission Factors'!$E$27),"--")</f>
        <v>1.5067799999999999E-2</v>
      </c>
      <c r="J11" s="279">
        <f ca="1">IFERROR(INDEX('Emission Factors'!I$7:I$24,MATCH(OFFSET(Usage!$D10,0,-2),'Emission Factors'!$B$7:$B$24,0))*INDEX(Usage!$K$5:$K$31,MATCH('Boiler Building Emissions'!$C11,Usage!$D$5:$D$31,0))*(1-'Emission Factors'!$E$27),"--")</f>
        <v>1.58598E-4</v>
      </c>
      <c r="K11" s="279">
        <f ca="1">IFERROR(INDEX('Emission Factors'!J$7:J$24,MATCH(OFFSET(Usage!$D10,0,-2),'Emission Factors'!$B$7:$B$24,0))*INDEX(Usage!$K$5:$K$31,MATCH('Boiler Building Emissions'!$C11,Usage!$D$5:$D$31,0))*(1-'Emission Factors'!$E$27),"--")</f>
        <v>8.11404E-5</v>
      </c>
      <c r="L11" s="279">
        <f ca="1">IFERROR(INDEX('Emission Factors'!K$7:K$24,MATCH(OFFSET(Usage!$D10,0,-2),'Emission Factors'!$B$7:$B$24,0))*INDEX(Usage!$K$5:$K$31,MATCH('Boiler Building Emissions'!$C11,Usage!$D$5:$D$31,0))*(1-'Emission Factors'!$E$27),"--")</f>
        <v>1.8932760000000003E-4</v>
      </c>
      <c r="M11" s="279">
        <f ca="1">IFERROR(INDEX('Emission Factors'!L$7:L$24,MATCH(OFFSET(Usage!$D10,0,-2),'Emission Factors'!$B$7:$B$24,0))*INDEX(Usage!$K$5:$K$31,MATCH('Boiler Building Emissions'!$C11,Usage!$D$5:$D$31,0))*(1-'Emission Factors'!$E$27),"--")</f>
        <v>1.4064336000000001E-3</v>
      </c>
      <c r="N11" s="279">
        <f ca="1">IFERROR(INDEX('Emission Factors'!M$7:M$24,MATCH(OFFSET(Usage!$D10,0,-2),'Emission Factors'!$B$7:$B$24,0))*INDEX(Usage!$K$5:$K$31,MATCH('Boiler Building Emissions'!$C11,Usage!$D$5:$D$31,0))*(1-'Emission Factors'!$E$27),"--")</f>
        <v>3.2456159999999999E-6</v>
      </c>
      <c r="O11" s="279" t="str">
        <f ca="1">IFERROR(INDEX('Emission Factors'!N$7:N$24,MATCH(OFFSET(Usage!$D10,0,-2),'Emission Factors'!$B$7:$B$24,0))*INDEX(Usage!$K$5:$K$31,MATCH('Boiler Building Emissions'!$C11,Usage!$D$5:$D$31,0))*(1-'Emission Factors'!$E$27),"--")</f>
        <v>--</v>
      </c>
      <c r="P11" s="279">
        <f ca="1">IFERROR(INDEX('Emission Factors'!O$7:O$24,MATCH(OFFSET(Usage!$D10,0,-2),'Emission Factors'!$B$7:$B$24,0))*INDEX(Usage!$K$5:$K$31,MATCH('Boiler Building Emissions'!$C11,Usage!$D$5:$D$31,0))*(1-'Emission Factors'!$E$27),"--")</f>
        <v>1.0991264911356356E-4</v>
      </c>
      <c r="Q11" s="279" t="str">
        <f ca="1">IFERROR(INDEX('Emission Factors'!P$7:P$24,MATCH(OFFSET(Usage!$D10,0,-2),'Emission Factors'!$B$7:$B$24,0))*INDEX(Usage!$K$5:$K$31,MATCH('Boiler Building Emissions'!$C11,Usage!$D$5:$D$31,0))*(1-'Emission Factors'!$E$27),"--")</f>
        <v>--</v>
      </c>
      <c r="R11" s="280" t="str">
        <f ca="1">IFERROR(INDEX('Emission Factors'!Q$7:Q$24,MATCH(OFFSET(Usage!$D10,0,-2),'Emission Factors'!$B$7:$B$24,0))*INDEX(Usage!$K$5:$K$31,MATCH('Boiler Building Emissions'!$C11,Usage!$D$5:$D$31,0))*(1-'Emission Factors'!$E$27),"--")</f>
        <v>--</v>
      </c>
      <c r="S11" s="292" t="str">
        <f ca="1">IFERROR(INDEX('Emission Factors'!R$7:R$24,MATCH(OFFSET(Usage!$D10,0,-2),'Emission Factors'!$B$7:$B$24,0))*INDEX(Usage!$K$5:$K$31,MATCH('Boiler Building Emissions'!$C11,Usage!$D$5:$D$31,0))*(1-'Emission Factors'!$E$27),"--")</f>
        <v>--</v>
      </c>
      <c r="T11" s="292">
        <f ca="1">IFERROR(INDEX('Emission Factors'!S$7:S$24,MATCH(OFFSET(Usage!$D10,0,-2),'Emission Factors'!$B$7:$B$24,0))*INDEX(Usage!$K$5:$K$31,MATCH('Boiler Building Emissions'!$C11,Usage!$D$5:$D$31,0))*(1-'Emission Factors'!$E$27),"--")</f>
        <v>1.2172328479416361E-4</v>
      </c>
    </row>
    <row r="12" spans="2:20" x14ac:dyDescent="0.25">
      <c r="B12" s="190" t="s">
        <v>40</v>
      </c>
      <c r="C12" s="226" t="s">
        <v>72</v>
      </c>
      <c r="D12" s="279" t="str">
        <f ca="1">IFERROR(INDEX('Emission Factors'!C$7:C$24,MATCH(OFFSET(Usage!$D11,0,-2),'Emission Factors'!$B$7:$B$24,0))*INDEX(Usage!$K$5:$K$31,MATCH('Boiler Building Emissions'!$C12,Usage!$D$5:$D$31,0))*(1-'Emission Factors'!$E$27),"--")</f>
        <v>--</v>
      </c>
      <c r="E12" s="279" t="str">
        <f ca="1">IFERROR(INDEX('Emission Factors'!D$7:D$24,MATCH(OFFSET(Usage!$D11,0,-2),'Emission Factors'!$B$7:$B$24,0))*INDEX(Usage!$K$5:$K$31,MATCH('Boiler Building Emissions'!$C12,Usage!$D$5:$D$31,0))*(1-'Emission Factors'!$E$27),"--")</f>
        <v>--</v>
      </c>
      <c r="F12" s="279" t="str">
        <f ca="1">IFERROR(INDEX('Emission Factors'!E$7:E$24,MATCH(OFFSET(Usage!$D11,0,-2),'Emission Factors'!$B$7:$B$24,0))*INDEX(Usage!$K$5:$K$31,MATCH('Boiler Building Emissions'!$C12,Usage!$D$5:$D$31,0))*(1-'Emission Factors'!$E$27),"--")</f>
        <v>--</v>
      </c>
      <c r="G12" s="279" t="str">
        <f ca="1">IFERROR(INDEX('Emission Factors'!F$7:F$24,MATCH(OFFSET(Usage!$D11,0,-2),'Emission Factors'!$B$7:$B$24,0))*INDEX(Usage!$K$5:$K$31,MATCH('Boiler Building Emissions'!$C12,Usage!$D$5:$D$31,0))*(1-'Emission Factors'!$E$27),"--")</f>
        <v>--</v>
      </c>
      <c r="H12" s="279" t="str">
        <f ca="1">IFERROR(INDEX('Emission Factors'!G$7:G$24,MATCH(OFFSET(Usage!$D11,0,-2),'Emission Factors'!$B$7:$B$24,0))*INDEX(Usage!$K$5:$K$31,MATCH('Boiler Building Emissions'!$C12,Usage!$D$5:$D$31,0))*(1-'Emission Factors'!$E$27),"--")</f>
        <v>--</v>
      </c>
      <c r="I12" s="279">
        <f ca="1">IFERROR(INDEX('Emission Factors'!H$7:H$24,MATCH(OFFSET(Usage!$D11,0,-2),'Emission Factors'!$B$7:$B$24,0))*INDEX(Usage!$K$5:$K$31,MATCH('Boiler Building Emissions'!$C12,Usage!$D$5:$D$31,0))*(1-'Emission Factors'!$E$27),"--")</f>
        <v>1.5067799999999999E-2</v>
      </c>
      <c r="J12" s="279">
        <f ca="1">IFERROR(INDEX('Emission Factors'!I$7:I$24,MATCH(OFFSET(Usage!$D11,0,-2),'Emission Factors'!$B$7:$B$24,0))*INDEX(Usage!$K$5:$K$31,MATCH('Boiler Building Emissions'!$C12,Usage!$D$5:$D$31,0))*(1-'Emission Factors'!$E$27),"--")</f>
        <v>1.58598E-4</v>
      </c>
      <c r="K12" s="279">
        <f ca="1">IFERROR(INDEX('Emission Factors'!J$7:J$24,MATCH(OFFSET(Usage!$D11,0,-2),'Emission Factors'!$B$7:$B$24,0))*INDEX(Usage!$K$5:$K$31,MATCH('Boiler Building Emissions'!$C12,Usage!$D$5:$D$31,0))*(1-'Emission Factors'!$E$27),"--")</f>
        <v>8.11404E-5</v>
      </c>
      <c r="L12" s="279">
        <f ca="1">IFERROR(INDEX('Emission Factors'!K$7:K$24,MATCH(OFFSET(Usage!$D11,0,-2),'Emission Factors'!$B$7:$B$24,0))*INDEX(Usage!$K$5:$K$31,MATCH('Boiler Building Emissions'!$C12,Usage!$D$5:$D$31,0))*(1-'Emission Factors'!$E$27),"--")</f>
        <v>1.8932760000000003E-4</v>
      </c>
      <c r="M12" s="279">
        <f ca="1">IFERROR(INDEX('Emission Factors'!L$7:L$24,MATCH(OFFSET(Usage!$D11,0,-2),'Emission Factors'!$B$7:$B$24,0))*INDEX(Usage!$K$5:$K$31,MATCH('Boiler Building Emissions'!$C12,Usage!$D$5:$D$31,0))*(1-'Emission Factors'!$E$27),"--")</f>
        <v>1.4064336000000001E-3</v>
      </c>
      <c r="N12" s="279">
        <f ca="1">IFERROR(INDEX('Emission Factors'!M$7:M$24,MATCH(OFFSET(Usage!$D11,0,-2),'Emission Factors'!$B$7:$B$24,0))*INDEX(Usage!$K$5:$K$31,MATCH('Boiler Building Emissions'!$C12,Usage!$D$5:$D$31,0))*(1-'Emission Factors'!$E$27),"--")</f>
        <v>3.2456159999999999E-6</v>
      </c>
      <c r="O12" s="279" t="str">
        <f ca="1">IFERROR(INDEX('Emission Factors'!N$7:N$24,MATCH(OFFSET(Usage!$D11,0,-2),'Emission Factors'!$B$7:$B$24,0))*INDEX(Usage!$K$5:$K$31,MATCH('Boiler Building Emissions'!$C12,Usage!$D$5:$D$31,0))*(1-'Emission Factors'!$E$27),"--")</f>
        <v>--</v>
      </c>
      <c r="P12" s="279">
        <f ca="1">IFERROR(INDEX('Emission Factors'!O$7:O$24,MATCH(OFFSET(Usage!$D11,0,-2),'Emission Factors'!$B$7:$B$24,0))*INDEX(Usage!$K$5:$K$31,MATCH('Boiler Building Emissions'!$C12,Usage!$D$5:$D$31,0))*(1-'Emission Factors'!$E$27),"--")</f>
        <v>1.0991264911356356E-4</v>
      </c>
      <c r="Q12" s="279" t="str">
        <f ca="1">IFERROR(INDEX('Emission Factors'!P$7:P$24,MATCH(OFFSET(Usage!$D11,0,-2),'Emission Factors'!$B$7:$B$24,0))*INDEX(Usage!$K$5:$K$31,MATCH('Boiler Building Emissions'!$C12,Usage!$D$5:$D$31,0))*(1-'Emission Factors'!$E$27),"--")</f>
        <v>--</v>
      </c>
      <c r="R12" s="280" t="str">
        <f ca="1">IFERROR(INDEX('Emission Factors'!Q$7:Q$24,MATCH(OFFSET(Usage!$D11,0,-2),'Emission Factors'!$B$7:$B$24,0))*INDEX(Usage!$K$5:$K$31,MATCH('Boiler Building Emissions'!$C12,Usage!$D$5:$D$31,0))*(1-'Emission Factors'!$E$27),"--")</f>
        <v>--</v>
      </c>
      <c r="S12" s="292" t="str">
        <f ca="1">IFERROR(INDEX('Emission Factors'!R$7:R$24,MATCH(OFFSET(Usage!$D11,0,-2),'Emission Factors'!$B$7:$B$24,0))*INDEX(Usage!$K$5:$K$31,MATCH('Boiler Building Emissions'!$C12,Usage!$D$5:$D$31,0))*(1-'Emission Factors'!$E$27),"--")</f>
        <v>--</v>
      </c>
      <c r="T12" s="292">
        <f ca="1">IFERROR(INDEX('Emission Factors'!S$7:S$24,MATCH(OFFSET(Usage!$D11,0,-2),'Emission Factors'!$B$7:$B$24,0))*INDEX(Usage!$K$5:$K$31,MATCH('Boiler Building Emissions'!$C12,Usage!$D$5:$D$31,0))*(1-'Emission Factors'!$E$27),"--")</f>
        <v>1.2172328479416361E-4</v>
      </c>
    </row>
    <row r="13" spans="2:20" x14ac:dyDescent="0.25">
      <c r="B13" s="190">
        <v>6010</v>
      </c>
      <c r="C13" s="226" t="s">
        <v>73</v>
      </c>
      <c r="D13" s="279" t="str">
        <f ca="1">IFERROR(INDEX('Emission Factors'!C$7:C$24,MATCH(OFFSET(Usage!$D12,0,-2),'Emission Factors'!$B$7:$B$24,0))*INDEX(Usage!$K$5:$K$31,MATCH('Boiler Building Emissions'!$C13,Usage!$D$5:$D$31,0))*(1-'Emission Factors'!$E$27),"--")</f>
        <v>--</v>
      </c>
      <c r="E13" s="279" t="str">
        <f ca="1">IFERROR(INDEX('Emission Factors'!D$7:D$24,MATCH(OFFSET(Usage!$D12,0,-2),'Emission Factors'!$B$7:$B$24,0))*INDEX(Usage!$K$5:$K$31,MATCH('Boiler Building Emissions'!$C13,Usage!$D$5:$D$31,0))*(1-'Emission Factors'!$E$27),"--")</f>
        <v>--</v>
      </c>
      <c r="F13" s="279" t="str">
        <f ca="1">IFERROR(INDEX('Emission Factors'!E$7:E$24,MATCH(OFFSET(Usage!$D12,0,-2),'Emission Factors'!$B$7:$B$24,0))*INDEX(Usage!$K$5:$K$31,MATCH('Boiler Building Emissions'!$C13,Usage!$D$5:$D$31,0))*(1-'Emission Factors'!$E$27),"--")</f>
        <v>--</v>
      </c>
      <c r="G13" s="279" t="str">
        <f ca="1">IFERROR(INDEX('Emission Factors'!F$7:F$24,MATCH(OFFSET(Usage!$D12,0,-2),'Emission Factors'!$B$7:$B$24,0))*INDEX(Usage!$K$5:$K$31,MATCH('Boiler Building Emissions'!$C13,Usage!$D$5:$D$31,0))*(1-'Emission Factors'!$E$27),"--")</f>
        <v>--</v>
      </c>
      <c r="H13" s="279" t="str">
        <f ca="1">IFERROR(INDEX('Emission Factors'!G$7:G$24,MATCH(OFFSET(Usage!$D12,0,-2),'Emission Factors'!$B$7:$B$24,0))*INDEX(Usage!$K$5:$K$31,MATCH('Boiler Building Emissions'!$C13,Usage!$D$5:$D$31,0))*(1-'Emission Factors'!$E$27),"--")</f>
        <v>--</v>
      </c>
      <c r="I13" s="279">
        <f ca="1">IFERROR(INDEX('Emission Factors'!H$7:H$24,MATCH(OFFSET(Usage!$D12,0,-2),'Emission Factors'!$B$7:$B$24,0))*INDEX(Usage!$K$5:$K$31,MATCH('Boiler Building Emissions'!$C13,Usage!$D$5:$D$31,0))*(1-'Emission Factors'!$E$27),"--")</f>
        <v>2.97E-5</v>
      </c>
      <c r="J13" s="279">
        <f ca="1">IFERROR(INDEX('Emission Factors'!I$7:I$24,MATCH(OFFSET(Usage!$D12,0,-2),'Emission Factors'!$B$7:$B$24,0))*INDEX(Usage!$K$5:$K$31,MATCH('Boiler Building Emissions'!$C13,Usage!$D$5:$D$31,0))*(1-'Emission Factors'!$E$27),"--")</f>
        <v>9.9000000000000001E-6</v>
      </c>
      <c r="K13" s="279" t="str">
        <f ca="1">IFERROR(INDEX('Emission Factors'!J$7:J$24,MATCH(OFFSET(Usage!$D12,0,-2),'Emission Factors'!$B$7:$B$24,0))*INDEX(Usage!$K$5:$K$31,MATCH('Boiler Building Emissions'!$C13,Usage!$D$5:$D$31,0))*(1-'Emission Factors'!$E$27),"--")</f>
        <v>--</v>
      </c>
      <c r="L13" s="279">
        <f ca="1">IFERROR(INDEX('Emission Factors'!K$7:K$24,MATCH(OFFSET(Usage!$D12,0,-2),'Emission Factors'!$B$7:$B$24,0))*INDEX(Usage!$K$5:$K$31,MATCH('Boiler Building Emissions'!$C13,Usage!$D$5:$D$31,0))*(1-'Emission Factors'!$E$27),"--")</f>
        <v>9.8108999999999991E-3</v>
      </c>
      <c r="M13" s="279">
        <f ca="1">IFERROR(INDEX('Emission Factors'!L$7:L$24,MATCH(OFFSET(Usage!$D12,0,-2),'Emission Factors'!$B$7:$B$24,0))*INDEX(Usage!$K$5:$K$31,MATCH('Boiler Building Emissions'!$C13,Usage!$D$5:$D$31,0))*(1-'Emission Factors'!$E$27),"--")</f>
        <v>3.96E-5</v>
      </c>
      <c r="N13" s="279" t="str">
        <f ca="1">IFERROR(INDEX('Emission Factors'!M$7:M$24,MATCH(OFFSET(Usage!$D12,0,-2),'Emission Factors'!$B$7:$B$24,0))*INDEX(Usage!$K$5:$K$31,MATCH('Boiler Building Emissions'!$C13,Usage!$D$5:$D$31,0))*(1-'Emission Factors'!$E$27),"--")</f>
        <v>--</v>
      </c>
      <c r="O13" s="279" t="str">
        <f ca="1">IFERROR(INDEX('Emission Factors'!N$7:N$24,MATCH(OFFSET(Usage!$D12,0,-2),'Emission Factors'!$B$7:$B$24,0))*INDEX(Usage!$K$5:$K$31,MATCH('Boiler Building Emissions'!$C13,Usage!$D$5:$D$31,0))*(1-'Emission Factors'!$E$27),"--")</f>
        <v>--</v>
      </c>
      <c r="P13" s="279">
        <f ca="1">IFERROR(INDEX('Emission Factors'!O$7:O$24,MATCH(OFFSET(Usage!$D12,0,-2),'Emission Factors'!$B$7:$B$24,0))*INDEX(Usage!$K$5:$K$31,MATCH('Boiler Building Emissions'!$C13,Usage!$D$5:$D$31,0))*(1-'Emission Factors'!$E$27),"--")</f>
        <v>1.0722044350647223E-3</v>
      </c>
      <c r="Q13" s="279" t="str">
        <f ca="1">IFERROR(INDEX('Emission Factors'!P$7:P$24,MATCH(OFFSET(Usage!$D12,0,-2),'Emission Factors'!$B$7:$B$24,0))*INDEX(Usage!$K$5:$K$31,MATCH('Boiler Building Emissions'!$C13,Usage!$D$5:$D$31,0))*(1-'Emission Factors'!$E$27),"--")</f>
        <v>--</v>
      </c>
      <c r="R13" s="280" t="str">
        <f ca="1">IFERROR(INDEX('Emission Factors'!Q$7:Q$24,MATCH(OFFSET(Usage!$D12,0,-2),'Emission Factors'!$B$7:$B$24,0))*INDEX(Usage!$K$5:$K$31,MATCH('Boiler Building Emissions'!$C13,Usage!$D$5:$D$31,0))*(1-'Emission Factors'!$E$27),"--")</f>
        <v>--</v>
      </c>
      <c r="S13" s="292" t="str">
        <f ca="1">IFERROR(INDEX('Emission Factors'!R$7:R$24,MATCH(OFFSET(Usage!$D12,0,-2),'Emission Factors'!$B$7:$B$24,0))*INDEX(Usage!$K$5:$K$31,MATCH('Boiler Building Emissions'!$C13,Usage!$D$5:$D$31,0))*(1-'Emission Factors'!$E$27),"--")</f>
        <v>--</v>
      </c>
      <c r="T13" s="292" t="str">
        <f ca="1">IFERROR(INDEX('Emission Factors'!S$7:S$24,MATCH(OFFSET(Usage!$D12,0,-2),'Emission Factors'!$B$7:$B$24,0))*INDEX(Usage!$K$5:$K$31,MATCH('Boiler Building Emissions'!$C13,Usage!$D$5:$D$31,0))*(1-'Emission Factors'!$E$27),"--")</f>
        <v>--</v>
      </c>
    </row>
    <row r="14" spans="2:20" x14ac:dyDescent="0.25">
      <c r="B14" s="190" t="s">
        <v>38</v>
      </c>
      <c r="C14" s="226" t="s">
        <v>75</v>
      </c>
      <c r="D14" s="279" t="str">
        <f ca="1">IFERROR(INDEX('Emission Factors'!C$7:C$24,MATCH(OFFSET(Usage!$D13,0,-2),'Emission Factors'!$B$7:$B$24,0))*INDEX(Usage!$K$5:$K$31,MATCH('Boiler Building Emissions'!$C14,Usage!$D$5:$D$31,0))*(1-'Emission Factors'!$E$27),"--")</f>
        <v>--</v>
      </c>
      <c r="E14" s="279" t="str">
        <f ca="1">IFERROR(INDEX('Emission Factors'!D$7:D$24,MATCH(OFFSET(Usage!$D13,0,-2),'Emission Factors'!$B$7:$B$24,0))*INDEX(Usage!$K$5:$K$31,MATCH('Boiler Building Emissions'!$C14,Usage!$D$5:$D$31,0))*(1-'Emission Factors'!$E$27),"--")</f>
        <v>--</v>
      </c>
      <c r="F14" s="279" t="str">
        <f ca="1">IFERROR(INDEX('Emission Factors'!E$7:E$24,MATCH(OFFSET(Usage!$D13,0,-2),'Emission Factors'!$B$7:$B$24,0))*INDEX(Usage!$K$5:$K$31,MATCH('Boiler Building Emissions'!$C14,Usage!$D$5:$D$31,0))*(1-'Emission Factors'!$E$27),"--")</f>
        <v>--</v>
      </c>
      <c r="G14" s="279" t="str">
        <f ca="1">IFERROR(INDEX('Emission Factors'!F$7:F$24,MATCH(OFFSET(Usage!$D13,0,-2),'Emission Factors'!$B$7:$B$24,0))*INDEX(Usage!$K$5:$K$31,MATCH('Boiler Building Emissions'!$C14,Usage!$D$5:$D$31,0))*(1-'Emission Factors'!$E$27),"--")</f>
        <v>--</v>
      </c>
      <c r="H14" s="279" t="str">
        <f ca="1">IFERROR(INDEX('Emission Factors'!G$7:G$24,MATCH(OFFSET(Usage!$D13,0,-2),'Emission Factors'!$B$7:$B$24,0))*INDEX(Usage!$K$5:$K$31,MATCH('Boiler Building Emissions'!$C14,Usage!$D$5:$D$31,0))*(1-'Emission Factors'!$E$27),"--")</f>
        <v>--</v>
      </c>
      <c r="I14" s="279">
        <f ca="1">IFERROR(INDEX('Emission Factors'!H$7:H$24,MATCH(OFFSET(Usage!$D13,0,-2),'Emission Factors'!$B$7:$B$24,0))*INDEX(Usage!$K$5:$K$31,MATCH('Boiler Building Emissions'!$C14,Usage!$D$5:$D$31,0))*(1-'Emission Factors'!$E$27),"--")</f>
        <v>1.4605272E-4</v>
      </c>
      <c r="J14" s="279">
        <f ca="1">IFERROR(INDEX('Emission Factors'!I$7:I$24,MATCH(OFFSET(Usage!$D13,0,-2),'Emission Factors'!$B$7:$B$24,0))*INDEX(Usage!$K$5:$K$31,MATCH('Boiler Building Emissions'!$C14,Usage!$D$5:$D$31,0))*(1-'Emission Factors'!$E$27),"--")</f>
        <v>7.3026360000000012E-6</v>
      </c>
      <c r="K14" s="279">
        <f ca="1">IFERROR(INDEX('Emission Factors'!J$7:J$24,MATCH(OFFSET(Usage!$D13,0,-2),'Emission Factors'!$B$7:$B$24,0))*INDEX(Usage!$K$5:$K$31,MATCH('Boiler Building Emissions'!$C14,Usage!$D$5:$D$31,0))*(1-'Emission Factors'!$E$27),"--")</f>
        <v>5.4093600000000007E-5</v>
      </c>
      <c r="L14" s="279">
        <f ca="1">IFERROR(INDEX('Emission Factors'!K$7:K$24,MATCH(OFFSET(Usage!$D13,0,-2),'Emission Factors'!$B$7:$B$24,0))*INDEX(Usage!$K$5:$K$31,MATCH('Boiler Building Emissions'!$C14,Usage!$D$5:$D$31,0))*(1-'Emission Factors'!$E$27),"--")</f>
        <v>5.950296E-5</v>
      </c>
      <c r="M14" s="279">
        <f ca="1">IFERROR(INDEX('Emission Factors'!L$7:L$24,MATCH(OFFSET(Usage!$D13,0,-2),'Emission Factors'!$B$7:$B$24,0))*INDEX(Usage!$K$5:$K$31,MATCH('Boiler Building Emissions'!$C14,Usage!$D$5:$D$31,0))*(1-'Emission Factors'!$E$27),"--")</f>
        <v>6.491232E-5</v>
      </c>
      <c r="N14" s="279">
        <f ca="1">IFERROR(INDEX('Emission Factors'!M$7:M$24,MATCH(OFFSET(Usage!$D13,0,-2),'Emission Factors'!$B$7:$B$24,0))*INDEX(Usage!$K$5:$K$31,MATCH('Boiler Building Emissions'!$C14,Usage!$D$5:$D$31,0))*(1-'Emission Factors'!$E$27),"--")</f>
        <v>4.3274880000000007E-5</v>
      </c>
      <c r="O14" s="279" t="str">
        <f ca="1">IFERROR(INDEX('Emission Factors'!N$7:N$24,MATCH(OFFSET(Usage!$D13,0,-2),'Emission Factors'!$B$7:$B$24,0))*INDEX(Usage!$K$5:$K$31,MATCH('Boiler Building Emissions'!$C14,Usage!$D$5:$D$31,0))*(1-'Emission Factors'!$E$27),"--")</f>
        <v>--</v>
      </c>
      <c r="P14" s="279">
        <f ca="1">IFERROR(INDEX('Emission Factors'!O$7:O$24,MATCH(OFFSET(Usage!$D13,0,-2),'Emission Factors'!$B$7:$B$24,0))*INDEX(Usage!$K$5:$K$31,MATCH('Boiler Building Emissions'!$C14,Usage!$D$5:$D$31,0))*(1-'Emission Factors'!$E$27),"--")</f>
        <v>1.272672779209683E-4</v>
      </c>
      <c r="Q14" s="279" t="str">
        <f ca="1">IFERROR(INDEX('Emission Factors'!P$7:P$24,MATCH(OFFSET(Usage!$D13,0,-2),'Emission Factors'!$B$7:$B$24,0))*INDEX(Usage!$K$5:$K$31,MATCH('Boiler Building Emissions'!$C14,Usage!$D$5:$D$31,0))*(1-'Emission Factors'!$E$27),"--")</f>
        <v>--</v>
      </c>
      <c r="R14" s="280" t="str">
        <f ca="1">IFERROR(INDEX('Emission Factors'!Q$7:Q$24,MATCH(OFFSET(Usage!$D13,0,-2),'Emission Factors'!$B$7:$B$24,0))*INDEX(Usage!$K$5:$K$31,MATCH('Boiler Building Emissions'!$C14,Usage!$D$5:$D$31,0))*(1-'Emission Factors'!$E$27),"--")</f>
        <v>--</v>
      </c>
      <c r="S14" s="292" t="str">
        <f ca="1">IFERROR(INDEX('Emission Factors'!R$7:R$24,MATCH(OFFSET(Usage!$D13,0,-2),'Emission Factors'!$B$7:$B$24,0))*INDEX(Usage!$K$5:$K$31,MATCH('Boiler Building Emissions'!$C14,Usage!$D$5:$D$31,0))*(1-'Emission Factors'!$E$27),"--")</f>
        <v>--</v>
      </c>
      <c r="T14" s="292">
        <f ca="1">IFERROR(INDEX('Emission Factors'!S$7:S$24,MATCH(OFFSET(Usage!$D13,0,-2),'Emission Factors'!$B$7:$B$24,0))*INDEX(Usage!$K$5:$K$31,MATCH('Boiler Building Emissions'!$C14,Usage!$D$5:$D$31,0))*(1-'Emission Factors'!$E$27),"--")</f>
        <v>8.5206299355914539E-5</v>
      </c>
    </row>
    <row r="15" spans="2:20" x14ac:dyDescent="0.25">
      <c r="B15" s="190" t="s">
        <v>36</v>
      </c>
      <c r="C15" s="226" t="s">
        <v>76</v>
      </c>
      <c r="D15" s="279" t="str">
        <f ca="1">IFERROR(INDEX('Emission Factors'!C$7:C$24,MATCH(OFFSET(Usage!$D14,0,-2),'Emission Factors'!$B$7:$B$24,0))*INDEX(Usage!$K$5:$K$31,MATCH('Boiler Building Emissions'!$C15,Usage!$D$5:$D$31,0))*(1-'Emission Factors'!$E$27),"--")</f>
        <v>--</v>
      </c>
      <c r="E15" s="279" t="str">
        <f ca="1">IFERROR(INDEX('Emission Factors'!D$7:D$24,MATCH(OFFSET(Usage!$D14,0,-2),'Emission Factors'!$B$7:$B$24,0))*INDEX(Usage!$K$5:$K$31,MATCH('Boiler Building Emissions'!$C15,Usage!$D$5:$D$31,0))*(1-'Emission Factors'!$E$27),"--")</f>
        <v>--</v>
      </c>
      <c r="F15" s="279" t="str">
        <f ca="1">IFERROR(INDEX('Emission Factors'!E$7:E$24,MATCH(OFFSET(Usage!$D14,0,-2),'Emission Factors'!$B$7:$B$24,0))*INDEX(Usage!$K$5:$K$31,MATCH('Boiler Building Emissions'!$C15,Usage!$D$5:$D$31,0))*(1-'Emission Factors'!$E$27),"--")</f>
        <v>--</v>
      </c>
      <c r="G15" s="279" t="str">
        <f ca="1">IFERROR(INDEX('Emission Factors'!F$7:F$24,MATCH(OFFSET(Usage!$D14,0,-2),'Emission Factors'!$B$7:$B$24,0))*INDEX(Usage!$K$5:$K$31,MATCH('Boiler Building Emissions'!$C15,Usage!$D$5:$D$31,0))*(1-'Emission Factors'!$E$27),"--")</f>
        <v>--</v>
      </c>
      <c r="H15" s="279" t="str">
        <f ca="1">IFERROR(INDEX('Emission Factors'!G$7:G$24,MATCH(OFFSET(Usage!$D14,0,-2),'Emission Factors'!$B$7:$B$24,0))*INDEX(Usage!$K$5:$K$31,MATCH('Boiler Building Emissions'!$C15,Usage!$D$5:$D$31,0))*(1-'Emission Factors'!$E$27),"--")</f>
        <v>--</v>
      </c>
      <c r="I15" s="279">
        <f ca="1">IFERROR(INDEX('Emission Factors'!H$7:H$24,MATCH(OFFSET(Usage!$D14,0,-2),'Emission Factors'!$B$7:$B$24,0))*INDEX(Usage!$K$5:$K$31,MATCH('Boiler Building Emissions'!$C15,Usage!$D$5:$D$31,0))*(1-'Emission Factors'!$E$27),"--")</f>
        <v>7.9299000000000004E-4</v>
      </c>
      <c r="J15" s="279">
        <f ca="1">IFERROR(INDEX('Emission Factors'!I$7:I$24,MATCH(OFFSET(Usage!$D14,0,-2),'Emission Factors'!$B$7:$B$24,0))*INDEX(Usage!$K$5:$K$31,MATCH('Boiler Building Emissions'!$C15,Usage!$D$5:$D$31,0))*(1-'Emission Factors'!$E$27),"--")</f>
        <v>4.0589999999999996E-5</v>
      </c>
      <c r="K15" s="279">
        <f ca="1">IFERROR(INDEX('Emission Factors'!J$7:J$24,MATCH(OFFSET(Usage!$D14,0,-2),'Emission Factors'!$B$7:$B$24,0))*INDEX(Usage!$K$5:$K$31,MATCH('Boiler Building Emissions'!$C15,Usage!$D$5:$D$31,0))*(1-'Emission Factors'!$E$27),"--")</f>
        <v>7.032168E-5</v>
      </c>
      <c r="L15" s="279">
        <f ca="1">IFERROR(INDEX('Emission Factors'!K$7:K$24,MATCH(OFFSET(Usage!$D14,0,-2),'Emission Factors'!$B$7:$B$24,0))*INDEX(Usage!$K$5:$K$31,MATCH('Boiler Building Emissions'!$C15,Usage!$D$5:$D$31,0))*(1-'Emission Factors'!$E$27),"--")</f>
        <v>3.1481999999999999E-3</v>
      </c>
      <c r="M15" s="279">
        <f ca="1">IFERROR(INDEX('Emission Factors'!L$7:L$24,MATCH(OFFSET(Usage!$D14,0,-2),'Emission Factors'!$B$7:$B$24,0))*INDEX(Usage!$K$5:$K$31,MATCH('Boiler Building Emissions'!$C15,Usage!$D$5:$D$31,0))*(1-'Emission Factors'!$E$27),"--")</f>
        <v>9.9000000000000001E-6</v>
      </c>
      <c r="N15" s="279">
        <f ca="1">IFERROR(INDEX('Emission Factors'!M$7:M$24,MATCH(OFFSET(Usage!$D14,0,-2),'Emission Factors'!$B$7:$B$24,0))*INDEX(Usage!$K$5:$K$31,MATCH('Boiler Building Emissions'!$C15,Usage!$D$5:$D$31,0))*(1-'Emission Factors'!$E$27),"--")</f>
        <v>3.5160840000000001E-6</v>
      </c>
      <c r="O15" s="279" t="str">
        <f ca="1">IFERROR(INDEX('Emission Factors'!N$7:N$24,MATCH(OFFSET(Usage!$D14,0,-2),'Emission Factors'!$B$7:$B$24,0))*INDEX(Usage!$K$5:$K$31,MATCH('Boiler Building Emissions'!$C15,Usage!$D$5:$D$31,0))*(1-'Emission Factors'!$E$27),"--")</f>
        <v>--</v>
      </c>
      <c r="P15" s="279">
        <f ca="1">IFERROR(INDEX('Emission Factors'!O$7:O$24,MATCH(OFFSET(Usage!$D14,0,-2),'Emission Factors'!$B$7:$B$24,0))*INDEX(Usage!$K$5:$K$31,MATCH('Boiler Building Emissions'!$C15,Usage!$D$5:$D$31,0))*(1-'Emission Factors'!$E$27),"--")</f>
        <v>5.1138306219152723E-4</v>
      </c>
      <c r="Q15" s="279">
        <f ca="1">IFERROR(INDEX('Emission Factors'!P$7:P$24,MATCH(OFFSET(Usage!$D14,0,-2),'Emission Factors'!$B$7:$B$24,0))*INDEX(Usage!$K$5:$K$31,MATCH('Boiler Building Emissions'!$C15,Usage!$D$5:$D$31,0))*(1-'Emission Factors'!$E$27),"--")</f>
        <v>4.2193007999999991E-6</v>
      </c>
      <c r="R15" s="280" t="str">
        <f ca="1">IFERROR(INDEX('Emission Factors'!Q$7:Q$24,MATCH(OFFSET(Usage!$D14,0,-2),'Emission Factors'!$B$7:$B$24,0))*INDEX(Usage!$K$5:$K$31,MATCH('Boiler Building Emissions'!$C15,Usage!$D$5:$D$31,0))*(1-'Emission Factors'!$E$27),"--")</f>
        <v>--</v>
      </c>
      <c r="S15" s="292" t="str">
        <f ca="1">IFERROR(INDEX('Emission Factors'!R$7:R$24,MATCH(OFFSET(Usage!$D14,0,-2),'Emission Factors'!$B$7:$B$24,0))*INDEX(Usage!$K$5:$K$31,MATCH('Boiler Building Emissions'!$C15,Usage!$D$5:$D$31,0))*(1-'Emission Factors'!$E$27),"--")</f>
        <v>--</v>
      </c>
      <c r="T15" s="292">
        <f ca="1">IFERROR(INDEX('Emission Factors'!S$7:S$24,MATCH(OFFSET(Usage!$D14,0,-2),'Emission Factors'!$B$7:$B$24,0))*INDEX(Usage!$K$5:$K$31,MATCH('Boiler Building Emissions'!$C15,Usage!$D$5:$D$31,0))*(1-'Emission Factors'!$E$27),"--")</f>
        <v>3.1648054046482539E-5</v>
      </c>
    </row>
    <row r="16" spans="2:20" x14ac:dyDescent="0.25">
      <c r="B16" s="190" t="s">
        <v>39</v>
      </c>
      <c r="C16" s="226" t="s">
        <v>77</v>
      </c>
      <c r="D16" s="279" t="str">
        <f ca="1">IFERROR(INDEX('Emission Factors'!C$7:C$24,MATCH(OFFSET(Usage!$D15,0,-2),'Emission Factors'!$B$7:$B$24,0))*INDEX(Usage!$K$5:$K$31,MATCH('Boiler Building Emissions'!$C16,Usage!$D$5:$D$31,0))*(1-'Emission Factors'!$E$27),"--")</f>
        <v>--</v>
      </c>
      <c r="E16" s="279" t="str">
        <f ca="1">IFERROR(INDEX('Emission Factors'!D$7:D$24,MATCH(OFFSET(Usage!$D15,0,-2),'Emission Factors'!$B$7:$B$24,0))*INDEX(Usage!$K$5:$K$31,MATCH('Boiler Building Emissions'!$C16,Usage!$D$5:$D$31,0))*(1-'Emission Factors'!$E$27),"--")</f>
        <v>--</v>
      </c>
      <c r="F16" s="279" t="str">
        <f ca="1">IFERROR(INDEX('Emission Factors'!E$7:E$24,MATCH(OFFSET(Usage!$D15,0,-2),'Emission Factors'!$B$7:$B$24,0))*INDEX(Usage!$K$5:$K$31,MATCH('Boiler Building Emissions'!$C16,Usage!$D$5:$D$31,0))*(1-'Emission Factors'!$E$27),"--")</f>
        <v>--</v>
      </c>
      <c r="G16" s="279" t="str">
        <f ca="1">IFERROR(INDEX('Emission Factors'!F$7:F$24,MATCH(OFFSET(Usage!$D15,0,-2),'Emission Factors'!$B$7:$B$24,0))*INDEX(Usage!$K$5:$K$31,MATCH('Boiler Building Emissions'!$C16,Usage!$D$5:$D$31,0))*(1-'Emission Factors'!$E$27),"--")</f>
        <v>--</v>
      </c>
      <c r="H16" s="279" t="str">
        <f ca="1">IFERROR(INDEX('Emission Factors'!G$7:G$24,MATCH(OFFSET(Usage!$D15,0,-2),'Emission Factors'!$B$7:$B$24,0))*INDEX(Usage!$K$5:$K$31,MATCH('Boiler Building Emissions'!$C16,Usage!$D$5:$D$31,0))*(1-'Emission Factors'!$E$27),"--")</f>
        <v>--</v>
      </c>
      <c r="I16" s="279">
        <f ca="1">IFERROR(INDEX('Emission Factors'!H$7:H$24,MATCH(OFFSET(Usage!$D15,0,-2),'Emission Factors'!$B$7:$B$24,0))*INDEX(Usage!$K$5:$K$31,MATCH('Boiler Building Emissions'!$C16,Usage!$D$5:$D$31,0))*(1-'Emission Factors'!$E$27),"--")</f>
        <v>2.70468E-4</v>
      </c>
      <c r="J16" s="279">
        <f ca="1">IFERROR(INDEX('Emission Factors'!I$7:I$24,MATCH(OFFSET(Usage!$D15,0,-2),'Emission Factors'!$B$7:$B$24,0))*INDEX(Usage!$K$5:$K$31,MATCH('Boiler Building Emissions'!$C16,Usage!$D$5:$D$31,0))*(1-'Emission Factors'!$E$27),"--")</f>
        <v>1.3523400000000002E-5</v>
      </c>
      <c r="K16" s="279">
        <f ca="1">IFERROR(INDEX('Emission Factors'!J$7:J$24,MATCH(OFFSET(Usage!$D15,0,-2),'Emission Factors'!$B$7:$B$24,0))*INDEX(Usage!$K$5:$K$31,MATCH('Boiler Building Emissions'!$C16,Usage!$D$5:$D$31,0))*(1-'Emission Factors'!$E$27),"--")</f>
        <v>5.4093600000000007E-5</v>
      </c>
      <c r="L16" s="279">
        <f ca="1">IFERROR(INDEX('Emission Factors'!K$7:K$24,MATCH(OFFSET(Usage!$D15,0,-2),'Emission Factors'!$B$7:$B$24,0))*INDEX(Usage!$K$5:$K$31,MATCH('Boiler Building Emissions'!$C16,Usage!$D$5:$D$31,0))*(1-'Emission Factors'!$E$27),"--")</f>
        <v>5.950296E-5</v>
      </c>
      <c r="M16" s="279">
        <f ca="1">IFERROR(INDEX('Emission Factors'!L$7:L$24,MATCH(OFFSET(Usage!$D15,0,-2),'Emission Factors'!$B$7:$B$24,0))*INDEX(Usage!$K$5:$K$31,MATCH('Boiler Building Emissions'!$C16,Usage!$D$5:$D$31,0))*(1-'Emission Factors'!$E$27),"--")</f>
        <v>6.491232E-5</v>
      </c>
      <c r="N16" s="279">
        <f ca="1">IFERROR(INDEX('Emission Factors'!M$7:M$24,MATCH(OFFSET(Usage!$D15,0,-2),'Emission Factors'!$B$7:$B$24,0))*INDEX(Usage!$K$5:$K$31,MATCH('Boiler Building Emissions'!$C16,Usage!$D$5:$D$31,0))*(1-'Emission Factors'!$E$27),"--")</f>
        <v>4.3274880000000007E-5</v>
      </c>
      <c r="O16" s="279" t="str">
        <f ca="1">IFERROR(INDEX('Emission Factors'!N$7:N$24,MATCH(OFFSET(Usage!$D15,0,-2),'Emission Factors'!$B$7:$B$24,0))*INDEX(Usage!$K$5:$K$31,MATCH('Boiler Building Emissions'!$C16,Usage!$D$5:$D$31,0))*(1-'Emission Factors'!$E$27),"--")</f>
        <v>--</v>
      </c>
      <c r="P16" s="279">
        <f ca="1">IFERROR(INDEX('Emission Factors'!O$7:O$24,MATCH(OFFSET(Usage!$D15,0,-2),'Emission Factors'!$B$7:$B$24,0))*INDEX(Usage!$K$5:$K$31,MATCH('Boiler Building Emissions'!$C16,Usage!$D$5:$D$31,0))*(1-'Emission Factors'!$E$27),"--")</f>
        <v>1.272672779209683E-4</v>
      </c>
      <c r="Q16" s="279" t="str">
        <f ca="1">IFERROR(INDEX('Emission Factors'!P$7:P$24,MATCH(OFFSET(Usage!$D15,0,-2),'Emission Factors'!$B$7:$B$24,0))*INDEX(Usage!$K$5:$K$31,MATCH('Boiler Building Emissions'!$C16,Usage!$D$5:$D$31,0))*(1-'Emission Factors'!$E$27),"--")</f>
        <v>--</v>
      </c>
      <c r="R16" s="280" t="str">
        <f ca="1">IFERROR(INDEX('Emission Factors'!Q$7:Q$24,MATCH(OFFSET(Usage!$D15,0,-2),'Emission Factors'!$B$7:$B$24,0))*INDEX(Usage!$K$5:$K$31,MATCH('Boiler Building Emissions'!$C16,Usage!$D$5:$D$31,0))*(1-'Emission Factors'!$E$27),"--")</f>
        <v>--</v>
      </c>
      <c r="S16" s="292" t="str">
        <f ca="1">IFERROR(INDEX('Emission Factors'!R$7:R$24,MATCH(OFFSET(Usage!$D15,0,-2),'Emission Factors'!$B$7:$B$24,0))*INDEX(Usage!$K$5:$K$31,MATCH('Boiler Building Emissions'!$C16,Usage!$D$5:$D$31,0))*(1-'Emission Factors'!$E$27),"--")</f>
        <v>--</v>
      </c>
      <c r="T16" s="292">
        <f ca="1">IFERROR(INDEX('Emission Factors'!S$7:S$24,MATCH(OFFSET(Usage!$D15,0,-2),'Emission Factors'!$B$7:$B$24,0))*INDEX(Usage!$K$5:$K$31,MATCH('Boiler Building Emissions'!$C16,Usage!$D$5:$D$31,0))*(1-'Emission Factors'!$E$27),"--")</f>
        <v>1.7041259871182908E-4</v>
      </c>
    </row>
    <row r="17" spans="2:20" x14ac:dyDescent="0.25">
      <c r="B17" s="190">
        <v>6010</v>
      </c>
      <c r="C17" s="226" t="s">
        <v>78</v>
      </c>
      <c r="D17" s="279" t="str">
        <f ca="1">IFERROR(INDEX('Emission Factors'!C$7:C$24,MATCH(OFFSET(Usage!$D16,0,-2),'Emission Factors'!$B$7:$B$24,0))*INDEX(Usage!$K$5:$K$31,MATCH('Boiler Building Emissions'!$C17,Usage!$D$5:$D$31,0))*(1-'Emission Factors'!$E$27),"--")</f>
        <v>--</v>
      </c>
      <c r="E17" s="279" t="str">
        <f ca="1">IFERROR(INDEX('Emission Factors'!D$7:D$24,MATCH(OFFSET(Usage!$D16,0,-2),'Emission Factors'!$B$7:$B$24,0))*INDEX(Usage!$K$5:$K$31,MATCH('Boiler Building Emissions'!$C17,Usage!$D$5:$D$31,0))*(1-'Emission Factors'!$E$27),"--")</f>
        <v>--</v>
      </c>
      <c r="F17" s="279" t="str">
        <f ca="1">IFERROR(INDEX('Emission Factors'!E$7:E$24,MATCH(OFFSET(Usage!$D16,0,-2),'Emission Factors'!$B$7:$B$24,0))*INDEX(Usage!$K$5:$K$31,MATCH('Boiler Building Emissions'!$C17,Usage!$D$5:$D$31,0))*(1-'Emission Factors'!$E$27),"--")</f>
        <v>--</v>
      </c>
      <c r="G17" s="279" t="str">
        <f ca="1">IFERROR(INDEX('Emission Factors'!F$7:F$24,MATCH(OFFSET(Usage!$D16,0,-2),'Emission Factors'!$B$7:$B$24,0))*INDEX(Usage!$K$5:$K$31,MATCH('Boiler Building Emissions'!$C17,Usage!$D$5:$D$31,0))*(1-'Emission Factors'!$E$27),"--")</f>
        <v>--</v>
      </c>
      <c r="H17" s="279" t="str">
        <f ca="1">IFERROR(INDEX('Emission Factors'!G$7:G$24,MATCH(OFFSET(Usage!$D16,0,-2),'Emission Factors'!$B$7:$B$24,0))*INDEX(Usage!$K$5:$K$31,MATCH('Boiler Building Emissions'!$C17,Usage!$D$5:$D$31,0))*(1-'Emission Factors'!$E$27),"--")</f>
        <v>--</v>
      </c>
      <c r="I17" s="279">
        <f ca="1">IFERROR(INDEX('Emission Factors'!H$7:H$24,MATCH(OFFSET(Usage!$D16,0,-2),'Emission Factors'!$B$7:$B$24,0))*INDEX(Usage!$K$5:$K$31,MATCH('Boiler Building Emissions'!$C17,Usage!$D$5:$D$31,0))*(1-'Emission Factors'!$E$27),"--")</f>
        <v>2.97E-5</v>
      </c>
      <c r="J17" s="279">
        <f ca="1">IFERROR(INDEX('Emission Factors'!I$7:I$24,MATCH(OFFSET(Usage!$D16,0,-2),'Emission Factors'!$B$7:$B$24,0))*INDEX(Usage!$K$5:$K$31,MATCH('Boiler Building Emissions'!$C17,Usage!$D$5:$D$31,0))*(1-'Emission Factors'!$E$27),"--")</f>
        <v>9.9000000000000001E-6</v>
      </c>
      <c r="K17" s="279" t="str">
        <f ca="1">IFERROR(INDEX('Emission Factors'!J$7:J$24,MATCH(OFFSET(Usage!$D16,0,-2),'Emission Factors'!$B$7:$B$24,0))*INDEX(Usage!$K$5:$K$31,MATCH('Boiler Building Emissions'!$C17,Usage!$D$5:$D$31,0))*(1-'Emission Factors'!$E$27),"--")</f>
        <v>--</v>
      </c>
      <c r="L17" s="279">
        <f ca="1">IFERROR(INDEX('Emission Factors'!K$7:K$24,MATCH(OFFSET(Usage!$D16,0,-2),'Emission Factors'!$B$7:$B$24,0))*INDEX(Usage!$K$5:$K$31,MATCH('Boiler Building Emissions'!$C17,Usage!$D$5:$D$31,0))*(1-'Emission Factors'!$E$27),"--")</f>
        <v>9.8108999999999991E-3</v>
      </c>
      <c r="M17" s="279">
        <f ca="1">IFERROR(INDEX('Emission Factors'!L$7:L$24,MATCH(OFFSET(Usage!$D16,0,-2),'Emission Factors'!$B$7:$B$24,0))*INDEX(Usage!$K$5:$K$31,MATCH('Boiler Building Emissions'!$C17,Usage!$D$5:$D$31,0))*(1-'Emission Factors'!$E$27),"--")</f>
        <v>3.96E-5</v>
      </c>
      <c r="N17" s="279" t="str">
        <f ca="1">IFERROR(INDEX('Emission Factors'!M$7:M$24,MATCH(OFFSET(Usage!$D16,0,-2),'Emission Factors'!$B$7:$B$24,0))*INDEX(Usage!$K$5:$K$31,MATCH('Boiler Building Emissions'!$C17,Usage!$D$5:$D$31,0))*(1-'Emission Factors'!$E$27),"--")</f>
        <v>--</v>
      </c>
      <c r="O17" s="279" t="str">
        <f ca="1">IFERROR(INDEX('Emission Factors'!N$7:N$24,MATCH(OFFSET(Usage!$D16,0,-2),'Emission Factors'!$B$7:$B$24,0))*INDEX(Usage!$K$5:$K$31,MATCH('Boiler Building Emissions'!$C17,Usage!$D$5:$D$31,0))*(1-'Emission Factors'!$E$27),"--")</f>
        <v>--</v>
      </c>
      <c r="P17" s="279">
        <f ca="1">IFERROR(INDEX('Emission Factors'!O$7:O$24,MATCH(OFFSET(Usage!$D16,0,-2),'Emission Factors'!$B$7:$B$24,0))*INDEX(Usage!$K$5:$K$31,MATCH('Boiler Building Emissions'!$C17,Usage!$D$5:$D$31,0))*(1-'Emission Factors'!$E$27),"--")</f>
        <v>1.0722044350647223E-3</v>
      </c>
      <c r="Q17" s="279" t="str">
        <f ca="1">IFERROR(INDEX('Emission Factors'!P$7:P$24,MATCH(OFFSET(Usage!$D16,0,-2),'Emission Factors'!$B$7:$B$24,0))*INDEX(Usage!$K$5:$K$31,MATCH('Boiler Building Emissions'!$C17,Usage!$D$5:$D$31,0))*(1-'Emission Factors'!$E$27),"--")</f>
        <v>--</v>
      </c>
      <c r="R17" s="280" t="str">
        <f ca="1">IFERROR(INDEX('Emission Factors'!Q$7:Q$24,MATCH(OFFSET(Usage!$D16,0,-2),'Emission Factors'!$B$7:$B$24,0))*INDEX(Usage!$K$5:$K$31,MATCH('Boiler Building Emissions'!$C17,Usage!$D$5:$D$31,0))*(1-'Emission Factors'!$E$27),"--")</f>
        <v>--</v>
      </c>
      <c r="S17" s="292" t="str">
        <f ca="1">IFERROR(INDEX('Emission Factors'!R$7:R$24,MATCH(OFFSET(Usage!$D16,0,-2),'Emission Factors'!$B$7:$B$24,0))*INDEX(Usage!$K$5:$K$31,MATCH('Boiler Building Emissions'!$C17,Usage!$D$5:$D$31,0))*(1-'Emission Factors'!$E$27),"--")</f>
        <v>--</v>
      </c>
      <c r="T17" s="292" t="str">
        <f ca="1">IFERROR(INDEX('Emission Factors'!S$7:S$24,MATCH(OFFSET(Usage!$D16,0,-2),'Emission Factors'!$B$7:$B$24,0))*INDEX(Usage!$K$5:$K$31,MATCH('Boiler Building Emissions'!$C17,Usage!$D$5:$D$31,0))*(1-'Emission Factors'!$E$27),"--")</f>
        <v>--</v>
      </c>
    </row>
    <row r="18" spans="2:20" x14ac:dyDescent="0.25">
      <c r="B18" s="190">
        <v>6010</v>
      </c>
      <c r="C18" s="226" t="s">
        <v>79</v>
      </c>
      <c r="D18" s="279" t="str">
        <f ca="1">IFERROR(INDEX('Emission Factors'!C$7:C$24,MATCH(OFFSET(Usage!$D17,0,-2),'Emission Factors'!$B$7:$B$24,0))*INDEX(Usage!$K$5:$K$31,MATCH('Boiler Building Emissions'!$C18,Usage!$D$5:$D$31,0))*(1-'Emission Factors'!$E$27),"--")</f>
        <v>--</v>
      </c>
      <c r="E18" s="279" t="str">
        <f ca="1">IFERROR(INDEX('Emission Factors'!D$7:D$24,MATCH(OFFSET(Usage!$D17,0,-2),'Emission Factors'!$B$7:$B$24,0))*INDEX(Usage!$K$5:$K$31,MATCH('Boiler Building Emissions'!$C18,Usage!$D$5:$D$31,0))*(1-'Emission Factors'!$E$27),"--")</f>
        <v>--</v>
      </c>
      <c r="F18" s="279" t="str">
        <f ca="1">IFERROR(INDEX('Emission Factors'!E$7:E$24,MATCH(OFFSET(Usage!$D17,0,-2),'Emission Factors'!$B$7:$B$24,0))*INDEX(Usage!$K$5:$K$31,MATCH('Boiler Building Emissions'!$C18,Usage!$D$5:$D$31,0))*(1-'Emission Factors'!$E$27),"--")</f>
        <v>--</v>
      </c>
      <c r="G18" s="279" t="str">
        <f ca="1">IFERROR(INDEX('Emission Factors'!F$7:F$24,MATCH(OFFSET(Usage!$D17,0,-2),'Emission Factors'!$B$7:$B$24,0))*INDEX(Usage!$K$5:$K$31,MATCH('Boiler Building Emissions'!$C18,Usage!$D$5:$D$31,0))*(1-'Emission Factors'!$E$27),"--")</f>
        <v>--</v>
      </c>
      <c r="H18" s="279" t="str">
        <f ca="1">IFERROR(INDEX('Emission Factors'!G$7:G$24,MATCH(OFFSET(Usage!$D17,0,-2),'Emission Factors'!$B$7:$B$24,0))*INDEX(Usage!$K$5:$K$31,MATCH('Boiler Building Emissions'!$C18,Usage!$D$5:$D$31,0))*(1-'Emission Factors'!$E$27),"--")</f>
        <v>--</v>
      </c>
      <c r="I18" s="279">
        <f ca="1">IFERROR(INDEX('Emission Factors'!H$7:H$24,MATCH(OFFSET(Usage!$D17,0,-2),'Emission Factors'!$B$7:$B$24,0))*INDEX(Usage!$K$5:$K$31,MATCH('Boiler Building Emissions'!$C18,Usage!$D$5:$D$31,0))*(1-'Emission Factors'!$E$27),"--")</f>
        <v>2.97E-5</v>
      </c>
      <c r="J18" s="279">
        <f ca="1">IFERROR(INDEX('Emission Factors'!I$7:I$24,MATCH(OFFSET(Usage!$D17,0,-2),'Emission Factors'!$B$7:$B$24,0))*INDEX(Usage!$K$5:$K$31,MATCH('Boiler Building Emissions'!$C18,Usage!$D$5:$D$31,0))*(1-'Emission Factors'!$E$27),"--")</f>
        <v>9.9000000000000001E-6</v>
      </c>
      <c r="K18" s="279" t="str">
        <f ca="1">IFERROR(INDEX('Emission Factors'!J$7:J$24,MATCH(OFFSET(Usage!$D17,0,-2),'Emission Factors'!$B$7:$B$24,0))*INDEX(Usage!$K$5:$K$31,MATCH('Boiler Building Emissions'!$C18,Usage!$D$5:$D$31,0))*(1-'Emission Factors'!$E$27),"--")</f>
        <v>--</v>
      </c>
      <c r="L18" s="279">
        <f ca="1">IFERROR(INDEX('Emission Factors'!K$7:K$24,MATCH(OFFSET(Usage!$D17,0,-2),'Emission Factors'!$B$7:$B$24,0))*INDEX(Usage!$K$5:$K$31,MATCH('Boiler Building Emissions'!$C18,Usage!$D$5:$D$31,0))*(1-'Emission Factors'!$E$27),"--")</f>
        <v>9.8108999999999991E-3</v>
      </c>
      <c r="M18" s="279">
        <f ca="1">IFERROR(INDEX('Emission Factors'!L$7:L$24,MATCH(OFFSET(Usage!$D17,0,-2),'Emission Factors'!$B$7:$B$24,0))*INDEX(Usage!$K$5:$K$31,MATCH('Boiler Building Emissions'!$C18,Usage!$D$5:$D$31,0))*(1-'Emission Factors'!$E$27),"--")</f>
        <v>3.96E-5</v>
      </c>
      <c r="N18" s="279" t="str">
        <f ca="1">IFERROR(INDEX('Emission Factors'!M$7:M$24,MATCH(OFFSET(Usage!$D17,0,-2),'Emission Factors'!$B$7:$B$24,0))*INDEX(Usage!$K$5:$K$31,MATCH('Boiler Building Emissions'!$C18,Usage!$D$5:$D$31,0))*(1-'Emission Factors'!$E$27),"--")</f>
        <v>--</v>
      </c>
      <c r="O18" s="279" t="str">
        <f ca="1">IFERROR(INDEX('Emission Factors'!N$7:N$24,MATCH(OFFSET(Usage!$D17,0,-2),'Emission Factors'!$B$7:$B$24,0))*INDEX(Usage!$K$5:$K$31,MATCH('Boiler Building Emissions'!$C18,Usage!$D$5:$D$31,0))*(1-'Emission Factors'!$E$27),"--")</f>
        <v>--</v>
      </c>
      <c r="P18" s="279">
        <f ca="1">IFERROR(INDEX('Emission Factors'!O$7:O$24,MATCH(OFFSET(Usage!$D17,0,-2),'Emission Factors'!$B$7:$B$24,0))*INDEX(Usage!$K$5:$K$31,MATCH('Boiler Building Emissions'!$C18,Usage!$D$5:$D$31,0))*(1-'Emission Factors'!$E$27),"--")</f>
        <v>1.0722044350647223E-3</v>
      </c>
      <c r="Q18" s="279" t="str">
        <f ca="1">IFERROR(INDEX('Emission Factors'!P$7:P$24,MATCH(OFFSET(Usage!$D17,0,-2),'Emission Factors'!$B$7:$B$24,0))*INDEX(Usage!$K$5:$K$31,MATCH('Boiler Building Emissions'!$C18,Usage!$D$5:$D$31,0))*(1-'Emission Factors'!$E$27),"--")</f>
        <v>--</v>
      </c>
      <c r="R18" s="280" t="str">
        <f ca="1">IFERROR(INDEX('Emission Factors'!Q$7:Q$24,MATCH(OFFSET(Usage!$D17,0,-2),'Emission Factors'!$B$7:$B$24,0))*INDEX(Usage!$K$5:$K$31,MATCH('Boiler Building Emissions'!$C18,Usage!$D$5:$D$31,0))*(1-'Emission Factors'!$E$27),"--")</f>
        <v>--</v>
      </c>
      <c r="S18" s="292" t="str">
        <f ca="1">IFERROR(INDEX('Emission Factors'!R$7:R$24,MATCH(OFFSET(Usage!$D17,0,-2),'Emission Factors'!$B$7:$B$24,0))*INDEX(Usage!$K$5:$K$31,MATCH('Boiler Building Emissions'!$C18,Usage!$D$5:$D$31,0))*(1-'Emission Factors'!$E$27),"--")</f>
        <v>--</v>
      </c>
      <c r="T18" s="292" t="str">
        <f ca="1">IFERROR(INDEX('Emission Factors'!S$7:S$24,MATCH(OFFSET(Usage!$D17,0,-2),'Emission Factors'!$B$7:$B$24,0))*INDEX(Usage!$K$5:$K$31,MATCH('Boiler Building Emissions'!$C18,Usage!$D$5:$D$31,0))*(1-'Emission Factors'!$E$27),"--")</f>
        <v>--</v>
      </c>
    </row>
    <row r="19" spans="2:20" x14ac:dyDescent="0.25">
      <c r="B19" s="190">
        <v>6010</v>
      </c>
      <c r="C19" s="226" t="s">
        <v>80</v>
      </c>
      <c r="D19" s="279" t="str">
        <f ca="1">IFERROR(INDEX('Emission Factors'!C$7:C$24,MATCH(OFFSET(Usage!$D18,0,-2),'Emission Factors'!$B$7:$B$24,0))*INDEX(Usage!$K$5:$K$31,MATCH('Boiler Building Emissions'!$C19,Usage!$D$5:$D$31,0))*(1-'Emission Factors'!$E$27),"--")</f>
        <v>--</v>
      </c>
      <c r="E19" s="279" t="str">
        <f ca="1">IFERROR(INDEX('Emission Factors'!D$7:D$24,MATCH(OFFSET(Usage!$D18,0,-2),'Emission Factors'!$B$7:$B$24,0))*INDEX(Usage!$K$5:$K$31,MATCH('Boiler Building Emissions'!$C19,Usage!$D$5:$D$31,0))*(1-'Emission Factors'!$E$27),"--")</f>
        <v>--</v>
      </c>
      <c r="F19" s="279" t="str">
        <f ca="1">IFERROR(INDEX('Emission Factors'!E$7:E$24,MATCH(OFFSET(Usage!$D18,0,-2),'Emission Factors'!$B$7:$B$24,0))*INDEX(Usage!$K$5:$K$31,MATCH('Boiler Building Emissions'!$C19,Usage!$D$5:$D$31,0))*(1-'Emission Factors'!$E$27),"--")</f>
        <v>--</v>
      </c>
      <c r="G19" s="279" t="str">
        <f ca="1">IFERROR(INDEX('Emission Factors'!F$7:F$24,MATCH(OFFSET(Usage!$D18,0,-2),'Emission Factors'!$B$7:$B$24,0))*INDEX(Usage!$K$5:$K$31,MATCH('Boiler Building Emissions'!$C19,Usage!$D$5:$D$31,0))*(1-'Emission Factors'!$E$27),"--")</f>
        <v>--</v>
      </c>
      <c r="H19" s="279" t="str">
        <f ca="1">IFERROR(INDEX('Emission Factors'!G$7:G$24,MATCH(OFFSET(Usage!$D18,0,-2),'Emission Factors'!$B$7:$B$24,0))*INDEX(Usage!$K$5:$K$31,MATCH('Boiler Building Emissions'!$C19,Usage!$D$5:$D$31,0))*(1-'Emission Factors'!$E$27),"--")</f>
        <v>--</v>
      </c>
      <c r="I19" s="279">
        <f ca="1">IFERROR(INDEX('Emission Factors'!H$7:H$24,MATCH(OFFSET(Usage!$D18,0,-2),'Emission Factors'!$B$7:$B$24,0))*INDEX(Usage!$K$5:$K$31,MATCH('Boiler Building Emissions'!$C19,Usage!$D$5:$D$31,0))*(1-'Emission Factors'!$E$27),"--")</f>
        <v>2.97E-5</v>
      </c>
      <c r="J19" s="279">
        <f ca="1">IFERROR(INDEX('Emission Factors'!I$7:I$24,MATCH(OFFSET(Usage!$D18,0,-2),'Emission Factors'!$B$7:$B$24,0))*INDEX(Usage!$K$5:$K$31,MATCH('Boiler Building Emissions'!$C19,Usage!$D$5:$D$31,0))*(1-'Emission Factors'!$E$27),"--")</f>
        <v>9.9000000000000001E-6</v>
      </c>
      <c r="K19" s="279" t="str">
        <f ca="1">IFERROR(INDEX('Emission Factors'!J$7:J$24,MATCH(OFFSET(Usage!$D18,0,-2),'Emission Factors'!$B$7:$B$24,0))*INDEX(Usage!$K$5:$K$31,MATCH('Boiler Building Emissions'!$C19,Usage!$D$5:$D$31,0))*(1-'Emission Factors'!$E$27),"--")</f>
        <v>--</v>
      </c>
      <c r="L19" s="279">
        <f ca="1">IFERROR(INDEX('Emission Factors'!K$7:K$24,MATCH(OFFSET(Usage!$D18,0,-2),'Emission Factors'!$B$7:$B$24,0))*INDEX(Usage!$K$5:$K$31,MATCH('Boiler Building Emissions'!$C19,Usage!$D$5:$D$31,0))*(1-'Emission Factors'!$E$27),"--")</f>
        <v>9.8108999999999991E-3</v>
      </c>
      <c r="M19" s="279">
        <f ca="1">IFERROR(INDEX('Emission Factors'!L$7:L$24,MATCH(OFFSET(Usage!$D18,0,-2),'Emission Factors'!$B$7:$B$24,0))*INDEX(Usage!$K$5:$K$31,MATCH('Boiler Building Emissions'!$C19,Usage!$D$5:$D$31,0))*(1-'Emission Factors'!$E$27),"--")</f>
        <v>3.96E-5</v>
      </c>
      <c r="N19" s="279" t="str">
        <f ca="1">IFERROR(INDEX('Emission Factors'!M$7:M$24,MATCH(OFFSET(Usage!$D18,0,-2),'Emission Factors'!$B$7:$B$24,0))*INDEX(Usage!$K$5:$K$31,MATCH('Boiler Building Emissions'!$C19,Usage!$D$5:$D$31,0))*(1-'Emission Factors'!$E$27),"--")</f>
        <v>--</v>
      </c>
      <c r="O19" s="279" t="str">
        <f ca="1">IFERROR(INDEX('Emission Factors'!N$7:N$24,MATCH(OFFSET(Usage!$D18,0,-2),'Emission Factors'!$B$7:$B$24,0))*INDEX(Usage!$K$5:$K$31,MATCH('Boiler Building Emissions'!$C19,Usage!$D$5:$D$31,0))*(1-'Emission Factors'!$E$27),"--")</f>
        <v>--</v>
      </c>
      <c r="P19" s="279">
        <f ca="1">IFERROR(INDEX('Emission Factors'!O$7:O$24,MATCH(OFFSET(Usage!$D18,0,-2),'Emission Factors'!$B$7:$B$24,0))*INDEX(Usage!$K$5:$K$31,MATCH('Boiler Building Emissions'!$C19,Usage!$D$5:$D$31,0))*(1-'Emission Factors'!$E$27),"--")</f>
        <v>1.0722044350647223E-3</v>
      </c>
      <c r="Q19" s="279" t="str">
        <f ca="1">IFERROR(INDEX('Emission Factors'!P$7:P$24,MATCH(OFFSET(Usage!$D18,0,-2),'Emission Factors'!$B$7:$B$24,0))*INDEX(Usage!$K$5:$K$31,MATCH('Boiler Building Emissions'!$C19,Usage!$D$5:$D$31,0))*(1-'Emission Factors'!$E$27),"--")</f>
        <v>--</v>
      </c>
      <c r="R19" s="280" t="str">
        <f ca="1">IFERROR(INDEX('Emission Factors'!Q$7:Q$24,MATCH(OFFSET(Usage!$D18,0,-2),'Emission Factors'!$B$7:$B$24,0))*INDEX(Usage!$K$5:$K$31,MATCH('Boiler Building Emissions'!$C19,Usage!$D$5:$D$31,0))*(1-'Emission Factors'!$E$27),"--")</f>
        <v>--</v>
      </c>
      <c r="S19" s="292" t="str">
        <f ca="1">IFERROR(INDEX('Emission Factors'!R$7:R$24,MATCH(OFFSET(Usage!$D18,0,-2),'Emission Factors'!$B$7:$B$24,0))*INDEX(Usage!$K$5:$K$31,MATCH('Boiler Building Emissions'!$C19,Usage!$D$5:$D$31,0))*(1-'Emission Factors'!$E$27),"--")</f>
        <v>--</v>
      </c>
      <c r="T19" s="292" t="str">
        <f ca="1">IFERROR(INDEX('Emission Factors'!S$7:S$24,MATCH(OFFSET(Usage!$D18,0,-2),'Emission Factors'!$B$7:$B$24,0))*INDEX(Usage!$K$5:$K$31,MATCH('Boiler Building Emissions'!$C19,Usage!$D$5:$D$31,0))*(1-'Emission Factors'!$E$27),"--")</f>
        <v>--</v>
      </c>
    </row>
    <row r="20" spans="2:20" x14ac:dyDescent="0.25">
      <c r="B20" s="190">
        <v>6011</v>
      </c>
      <c r="C20" s="226" t="s">
        <v>81</v>
      </c>
      <c r="D20" s="279" t="str">
        <f ca="1">IFERROR(INDEX('Emission Factors'!C$7:C$24,MATCH(OFFSET(Usage!$D19,0,-2),'Emission Factors'!$B$7:$B$24,0))*INDEX(Usage!$K$5:$K$31,MATCH('Boiler Building Emissions'!$C20,Usage!$D$5:$D$31,0))*(1-'Emission Factors'!$E$27),"--")</f>
        <v>--</v>
      </c>
      <c r="E20" s="279" t="str">
        <f ca="1">IFERROR(INDEX('Emission Factors'!D$7:D$24,MATCH(OFFSET(Usage!$D19,0,-2),'Emission Factors'!$B$7:$B$24,0))*INDEX(Usage!$K$5:$K$31,MATCH('Boiler Building Emissions'!$C20,Usage!$D$5:$D$31,0))*(1-'Emission Factors'!$E$27),"--")</f>
        <v>--</v>
      </c>
      <c r="F20" s="279" t="str">
        <f ca="1">IFERROR(INDEX('Emission Factors'!E$7:E$24,MATCH(OFFSET(Usage!$D19,0,-2),'Emission Factors'!$B$7:$B$24,0))*INDEX(Usage!$K$5:$K$31,MATCH('Boiler Building Emissions'!$C20,Usage!$D$5:$D$31,0))*(1-'Emission Factors'!$E$27),"--")</f>
        <v>--</v>
      </c>
      <c r="G20" s="279" t="str">
        <f ca="1">IFERROR(INDEX('Emission Factors'!F$7:F$24,MATCH(OFFSET(Usage!$D19,0,-2),'Emission Factors'!$B$7:$B$24,0))*INDEX(Usage!$K$5:$K$31,MATCH('Boiler Building Emissions'!$C20,Usage!$D$5:$D$31,0))*(1-'Emission Factors'!$E$27),"--")</f>
        <v>--</v>
      </c>
      <c r="H20" s="279">
        <f ca="1">IFERROR(INDEX('Emission Factors'!G$7:G$24,MATCH(OFFSET(Usage!$D19,0,-2),'Emission Factors'!$B$7:$B$24,0))*INDEX(Usage!$K$5:$K$31,MATCH('Boiler Building Emissions'!$C20,Usage!$D$5:$D$31,0))*(1-'Emission Factors'!$E$27),"--")</f>
        <v>4.95E-6</v>
      </c>
      <c r="I20" s="279">
        <f ca="1">IFERROR(INDEX('Emission Factors'!H$7:H$24,MATCH(OFFSET(Usage!$D19,0,-2),'Emission Factors'!$B$7:$B$24,0))*INDEX(Usage!$K$5:$K$31,MATCH('Boiler Building Emissions'!$C20,Usage!$D$5:$D$31,0))*(1-'Emission Factors'!$E$27),"--")</f>
        <v>2.4750000000000002E-5</v>
      </c>
      <c r="J20" s="279">
        <f ca="1">IFERROR(INDEX('Emission Factors'!I$7:I$24,MATCH(OFFSET(Usage!$D19,0,-2),'Emission Factors'!$B$7:$B$24,0))*INDEX(Usage!$K$5:$K$31,MATCH('Boiler Building Emissions'!$C20,Usage!$D$5:$D$31,0))*(1-'Emission Factors'!$E$27),"--")</f>
        <v>1.3612500000000001E-5</v>
      </c>
      <c r="K20" s="279" t="str">
        <f ca="1">IFERROR(INDEX('Emission Factors'!J$7:J$24,MATCH(OFFSET(Usage!$D19,0,-2),'Emission Factors'!$B$7:$B$24,0))*INDEX(Usage!$K$5:$K$31,MATCH('Boiler Building Emissions'!$C20,Usage!$D$5:$D$31,0))*(1-'Emission Factors'!$E$27),"--")</f>
        <v>--</v>
      </c>
      <c r="L20" s="279">
        <f ca="1">IFERROR(INDEX('Emission Factors'!K$7:K$24,MATCH(OFFSET(Usage!$D19,0,-2),'Emission Factors'!$B$7:$B$24,0))*INDEX(Usage!$K$5:$K$31,MATCH('Boiler Building Emissions'!$C20,Usage!$D$5:$D$31,0))*(1-'Emission Factors'!$E$27),"--")</f>
        <v>4.9401000000000002E-3</v>
      </c>
      <c r="M20" s="279">
        <f ca="1">IFERROR(INDEX('Emission Factors'!L$7:L$24,MATCH(OFFSET(Usage!$D19,0,-2),'Emission Factors'!$B$7:$B$24,0))*INDEX(Usage!$K$5:$K$31,MATCH('Boiler Building Emissions'!$C20,Usage!$D$5:$D$31,0))*(1-'Emission Factors'!$E$27),"--")</f>
        <v>2.4750000000000002E-5</v>
      </c>
      <c r="N20" s="279" t="str">
        <f ca="1">IFERROR(INDEX('Emission Factors'!M$7:M$24,MATCH(OFFSET(Usage!$D19,0,-2),'Emission Factors'!$B$7:$B$24,0))*INDEX(Usage!$K$5:$K$31,MATCH('Boiler Building Emissions'!$C20,Usage!$D$5:$D$31,0))*(1-'Emission Factors'!$E$27),"--")</f>
        <v>--</v>
      </c>
      <c r="O20" s="279" t="str">
        <f ca="1">IFERROR(INDEX('Emission Factors'!N$7:N$24,MATCH(OFFSET(Usage!$D19,0,-2),'Emission Factors'!$B$7:$B$24,0))*INDEX(Usage!$K$5:$K$31,MATCH('Boiler Building Emissions'!$C20,Usage!$D$5:$D$31,0))*(1-'Emission Factors'!$E$27),"--")</f>
        <v>--</v>
      </c>
      <c r="P20" s="279">
        <f ca="1">IFERROR(INDEX('Emission Factors'!O$7:O$24,MATCH(OFFSET(Usage!$D19,0,-2),'Emission Factors'!$B$7:$B$24,0))*INDEX(Usage!$K$5:$K$31,MATCH('Boiler Building Emissions'!$C20,Usage!$D$5:$D$31,0))*(1-'Emission Factors'!$E$27),"--")</f>
        <v>2.9951855999999996E-4</v>
      </c>
      <c r="Q20" s="279" t="str">
        <f ca="1">IFERROR(INDEX('Emission Factors'!P$7:P$24,MATCH(OFFSET(Usage!$D19,0,-2),'Emission Factors'!$B$7:$B$24,0))*INDEX(Usage!$K$5:$K$31,MATCH('Boiler Building Emissions'!$C20,Usage!$D$5:$D$31,0))*(1-'Emission Factors'!$E$27),"--")</f>
        <v>--</v>
      </c>
      <c r="R20" s="280" t="str">
        <f ca="1">IFERROR(INDEX('Emission Factors'!Q$7:Q$24,MATCH(OFFSET(Usage!$D19,0,-2),'Emission Factors'!$B$7:$B$24,0))*INDEX(Usage!$K$5:$K$31,MATCH('Boiler Building Emissions'!$C20,Usage!$D$5:$D$31,0))*(1-'Emission Factors'!$E$27),"--")</f>
        <v>--</v>
      </c>
      <c r="S20" s="292" t="str">
        <f ca="1">IFERROR(INDEX('Emission Factors'!R$7:R$24,MATCH(OFFSET(Usage!$D19,0,-2),'Emission Factors'!$B$7:$B$24,0))*INDEX(Usage!$K$5:$K$31,MATCH('Boiler Building Emissions'!$C20,Usage!$D$5:$D$31,0))*(1-'Emission Factors'!$E$27),"--")</f>
        <v>--</v>
      </c>
      <c r="T20" s="292" t="str">
        <f ca="1">IFERROR(INDEX('Emission Factors'!S$7:S$24,MATCH(OFFSET(Usage!$D19,0,-2),'Emission Factors'!$B$7:$B$24,0))*INDEX(Usage!$K$5:$K$31,MATCH('Boiler Building Emissions'!$C20,Usage!$D$5:$D$31,0))*(1-'Emission Factors'!$E$27),"--")</f>
        <v>--</v>
      </c>
    </row>
    <row r="21" spans="2:20" x14ac:dyDescent="0.25">
      <c r="B21" s="190" t="s">
        <v>45</v>
      </c>
      <c r="C21" s="226" t="s">
        <v>82</v>
      </c>
      <c r="D21" s="279" t="str">
        <f ca="1">IFERROR(INDEX('Emission Factors'!C$7:C$24,MATCH(OFFSET(Usage!$D20,0,-2),'Emission Factors'!$B$7:$B$24,0))*INDEX(Usage!$K$5:$K$31,MATCH('Boiler Building Emissions'!$C21,Usage!$D$5:$D$31,0))*(1-'Emission Factors'!$E$27),"--")</f>
        <v>--</v>
      </c>
      <c r="E21" s="279">
        <f ca="1">IFERROR(INDEX('Emission Factors'!D$7:D$24,MATCH(OFFSET(Usage!$D20,0,-2),'Emission Factors'!$B$7:$B$24,0))*INDEX(Usage!$K$5:$K$31,MATCH('Boiler Building Emissions'!$C21,Usage!$D$5:$D$31,0))*(1-'Emission Factors'!$E$27),"--")</f>
        <v>3.3023615260886623E-5</v>
      </c>
      <c r="F21" s="279" t="str">
        <f ca="1">IFERROR(INDEX('Emission Factors'!E$7:E$24,MATCH(OFFSET(Usage!$D20,0,-2),'Emission Factors'!$B$7:$B$24,0))*INDEX(Usage!$K$5:$K$31,MATCH('Boiler Building Emissions'!$C21,Usage!$D$5:$D$31,0))*(1-'Emission Factors'!$E$27),"--")</f>
        <v>--</v>
      </c>
      <c r="G21" s="279" t="str">
        <f ca="1">IFERROR(INDEX('Emission Factors'!F$7:F$24,MATCH(OFFSET(Usage!$D20,0,-2),'Emission Factors'!$B$7:$B$24,0))*INDEX(Usage!$K$5:$K$31,MATCH('Boiler Building Emissions'!$C21,Usage!$D$5:$D$31,0))*(1-'Emission Factors'!$E$27),"--")</f>
        <v>--</v>
      </c>
      <c r="H21" s="279" t="str">
        <f ca="1">IFERROR(INDEX('Emission Factors'!G$7:G$24,MATCH(OFFSET(Usage!$D20,0,-2),'Emission Factors'!$B$7:$B$24,0))*INDEX(Usage!$K$5:$K$31,MATCH('Boiler Building Emissions'!$C21,Usage!$D$5:$D$31,0))*(1-'Emission Factors'!$E$27),"--")</f>
        <v>--</v>
      </c>
      <c r="I21" s="279">
        <f ca="1">IFERROR(INDEX('Emission Factors'!H$7:H$24,MATCH(OFFSET(Usage!$D20,0,-2),'Emission Factors'!$B$7:$B$24,0))*INDEX(Usage!$K$5:$K$31,MATCH('Boiler Building Emissions'!$C21,Usage!$D$5:$D$31,0))*(1-'Emission Factors'!$E$27),"--")</f>
        <v>3.9708899999999995E-3</v>
      </c>
      <c r="J21" s="279">
        <f ca="1">IFERROR(INDEX('Emission Factors'!I$7:I$24,MATCH(OFFSET(Usage!$D20,0,-2),'Emission Factors'!$B$7:$B$24,0))*INDEX(Usage!$K$5:$K$31,MATCH('Boiler Building Emissions'!$C21,Usage!$D$5:$D$31,0))*(1-'Emission Factors'!$E$27),"--")</f>
        <v>2.1839895000000001E-3</v>
      </c>
      <c r="K21" s="279" t="str">
        <f ca="1">IFERROR(INDEX('Emission Factors'!J$7:J$24,MATCH(OFFSET(Usage!$D20,0,-2),'Emission Factors'!$B$7:$B$24,0))*INDEX(Usage!$K$5:$K$31,MATCH('Boiler Building Emissions'!$C21,Usage!$D$5:$D$31,0))*(1-'Emission Factors'!$E$27),"--")</f>
        <v>--</v>
      </c>
      <c r="L21" s="279">
        <f ca="1">IFERROR(INDEX('Emission Factors'!K$7:K$24,MATCH(OFFSET(Usage!$D20,0,-2),'Emission Factors'!$B$7:$B$24,0))*INDEX(Usage!$K$5:$K$31,MATCH('Boiler Building Emissions'!$C21,Usage!$D$5:$D$31,0))*(1-'Emission Factors'!$E$27),"--")</f>
        <v>3.4036200000000003E-4</v>
      </c>
      <c r="M21" s="279">
        <f ca="1">IFERROR(INDEX('Emission Factors'!L$7:L$24,MATCH(OFFSET(Usage!$D20,0,-2),'Emission Factors'!$B$7:$B$24,0))*INDEX(Usage!$K$5:$K$31,MATCH('Boiler Building Emissions'!$C21,Usage!$D$5:$D$31,0))*(1-'Emission Factors'!$E$27),"--")</f>
        <v>6.2399699999999991E-5</v>
      </c>
      <c r="N21" s="279" t="str">
        <f ca="1">IFERROR(INDEX('Emission Factors'!M$7:M$24,MATCH(OFFSET(Usage!$D20,0,-2),'Emission Factors'!$B$7:$B$24,0))*INDEX(Usage!$K$5:$K$31,MATCH('Boiler Building Emissions'!$C21,Usage!$D$5:$D$31,0))*(1-'Emission Factors'!$E$27),"--")</f>
        <v>--</v>
      </c>
      <c r="O21" s="279" t="str">
        <f ca="1">IFERROR(INDEX('Emission Factors'!N$7:N$24,MATCH(OFFSET(Usage!$D20,0,-2),'Emission Factors'!$B$7:$B$24,0))*INDEX(Usage!$K$5:$K$31,MATCH('Boiler Building Emissions'!$C21,Usage!$D$5:$D$31,0))*(1-'Emission Factors'!$E$27),"--")</f>
        <v>--</v>
      </c>
      <c r="P21" s="279">
        <f ca="1">IFERROR(INDEX('Emission Factors'!O$7:O$24,MATCH(OFFSET(Usage!$D20,0,-2),'Emission Factors'!$B$7:$B$24,0))*INDEX(Usage!$K$5:$K$31,MATCH('Boiler Building Emissions'!$C21,Usage!$D$5:$D$31,0))*(1-'Emission Factors'!$E$27),"--")</f>
        <v>1.334629396938412E-4</v>
      </c>
      <c r="Q21" s="279">
        <f ca="1">IFERROR(INDEX('Emission Factors'!P$7:P$24,MATCH(OFFSET(Usage!$D20,0,-2),'Emission Factors'!$B$7:$B$24,0))*INDEX(Usage!$K$5:$K$31,MATCH('Boiler Building Emissions'!$C21,Usage!$D$5:$D$31,0))*(1-'Emission Factors'!$E$27),"--")</f>
        <v>6.2399699999999991E-5</v>
      </c>
      <c r="R21" s="280" t="str">
        <f ca="1">IFERROR(INDEX('Emission Factors'!Q$7:Q$24,MATCH(OFFSET(Usage!$D20,0,-2),'Emission Factors'!$B$7:$B$24,0))*INDEX(Usage!$K$5:$K$31,MATCH('Boiler Building Emissions'!$C21,Usage!$D$5:$D$31,0))*(1-'Emission Factors'!$E$27),"--")</f>
        <v>--</v>
      </c>
      <c r="S21" s="292">
        <f ca="1">IFERROR(INDEX('Emission Factors'!R$7:R$24,MATCH(OFFSET(Usage!$D20,0,-2),'Emission Factors'!$B$7:$B$24,0))*INDEX(Usage!$K$5:$K$31,MATCH('Boiler Building Emissions'!$C21,Usage!$D$5:$D$31,0))*(1-'Emission Factors'!$E$27),"--")</f>
        <v>0</v>
      </c>
      <c r="T21" s="292">
        <f ca="1">IFERROR(INDEX('Emission Factors'!S$7:S$24,MATCH(OFFSET(Usage!$D20,0,-2),'Emission Factors'!$B$7:$B$24,0))*INDEX(Usage!$K$5:$K$31,MATCH('Boiler Building Emissions'!$C21,Usage!$D$5:$D$31,0))*(1-'Emission Factors'!$E$27),"--")</f>
        <v>5.1059620927566439E-4</v>
      </c>
    </row>
    <row r="22" spans="2:20" x14ac:dyDescent="0.25">
      <c r="B22" s="190" t="s">
        <v>49</v>
      </c>
      <c r="C22" s="226" t="s">
        <v>83</v>
      </c>
      <c r="D22" s="279">
        <f ca="1">IFERROR(INDEX('Emission Factors'!C$7:C$24,MATCH(OFFSET(Usage!$D21,0,-2),'Emission Factors'!$B$7:$B$24,0))*INDEX(Usage!$K$5:$K$31,MATCH('Boiler Building Emissions'!$C22,Usage!$D$5:$D$31,0))*(1-'Emission Factors'!$E$27),"--")</f>
        <v>2.9984218507150788E-5</v>
      </c>
      <c r="E22" s="279" t="str">
        <f ca="1">IFERROR(INDEX('Emission Factors'!D$7:D$24,MATCH(OFFSET(Usage!$D21,0,-2),'Emission Factors'!$B$7:$B$24,0))*INDEX(Usage!$K$5:$K$31,MATCH('Boiler Building Emissions'!$C22,Usage!$D$5:$D$31,0))*(1-'Emission Factors'!$E$27),"--")</f>
        <v>--</v>
      </c>
      <c r="F22" s="279" t="str">
        <f ca="1">IFERROR(INDEX('Emission Factors'!E$7:E$24,MATCH(OFFSET(Usage!$D21,0,-2),'Emission Factors'!$B$7:$B$24,0))*INDEX(Usage!$K$5:$K$31,MATCH('Boiler Building Emissions'!$C22,Usage!$D$5:$D$31,0))*(1-'Emission Factors'!$E$27),"--")</f>
        <v>--</v>
      </c>
      <c r="G22" s="279" t="str">
        <f ca="1">IFERROR(INDEX('Emission Factors'!F$7:F$24,MATCH(OFFSET(Usage!$D21,0,-2),'Emission Factors'!$B$7:$B$24,0))*INDEX(Usage!$K$5:$K$31,MATCH('Boiler Building Emissions'!$C22,Usage!$D$5:$D$31,0))*(1-'Emission Factors'!$E$27),"--")</f>
        <v>--</v>
      </c>
      <c r="H22" s="279" t="str">
        <f ca="1">IFERROR(INDEX('Emission Factors'!G$7:G$24,MATCH(OFFSET(Usage!$D21,0,-2),'Emission Factors'!$B$7:$B$24,0))*INDEX(Usage!$K$5:$K$31,MATCH('Boiler Building Emissions'!$C22,Usage!$D$5:$D$31,0))*(1-'Emission Factors'!$E$27),"--")</f>
        <v>--</v>
      </c>
      <c r="I22" s="279">
        <f ca="1">IFERROR(INDEX('Emission Factors'!H$7:H$24,MATCH(OFFSET(Usage!$D21,0,-2),'Emission Factors'!$B$7:$B$24,0))*INDEX(Usage!$K$5:$K$31,MATCH('Boiler Building Emissions'!$C22,Usage!$D$5:$D$31,0))*(1-'Emission Factors'!$E$27),"--")</f>
        <v>3.119985E-3</v>
      </c>
      <c r="J22" s="279">
        <f ca="1">IFERROR(INDEX('Emission Factors'!I$7:I$24,MATCH(OFFSET(Usage!$D21,0,-2),'Emission Factors'!$B$7:$B$24,0))*INDEX(Usage!$K$5:$K$31,MATCH('Boiler Building Emissions'!$C22,Usage!$D$5:$D$31,0))*(1-'Emission Factors'!$E$27),"--")</f>
        <v>1.7159917500000001E-3</v>
      </c>
      <c r="K22" s="279" t="str">
        <f ca="1">IFERROR(INDEX('Emission Factors'!J$7:J$24,MATCH(OFFSET(Usage!$D21,0,-2),'Emission Factors'!$B$7:$B$24,0))*INDEX(Usage!$K$5:$K$31,MATCH('Boiler Building Emissions'!$C22,Usage!$D$5:$D$31,0))*(1-'Emission Factors'!$E$27),"--")</f>
        <v>--</v>
      </c>
      <c r="L22" s="279">
        <f ca="1">IFERROR(INDEX('Emission Factors'!K$7:K$24,MATCH(OFFSET(Usage!$D21,0,-2),'Emission Factors'!$B$7:$B$24,0))*INDEX(Usage!$K$5:$K$31,MATCH('Boiler Building Emissions'!$C22,Usage!$D$5:$D$31,0))*(1-'Emission Factors'!$E$27),"--")</f>
        <v>6.2399699999999991E-5</v>
      </c>
      <c r="M22" s="279">
        <f ca="1">IFERROR(INDEX('Emission Factors'!L$7:L$24,MATCH(OFFSET(Usage!$D21,0,-2),'Emission Factors'!$B$7:$B$24,0))*INDEX(Usage!$K$5:$K$31,MATCH('Boiler Building Emissions'!$C22,Usage!$D$5:$D$31,0))*(1-'Emission Factors'!$E$27),"--")</f>
        <v>1.1345400000000001E-3</v>
      </c>
      <c r="N22" s="279" t="str">
        <f ca="1">IFERROR(INDEX('Emission Factors'!M$7:M$24,MATCH(OFFSET(Usage!$D21,0,-2),'Emission Factors'!$B$7:$B$24,0))*INDEX(Usage!$K$5:$K$31,MATCH('Boiler Building Emissions'!$C22,Usage!$D$5:$D$31,0))*(1-'Emission Factors'!$E$27),"--")</f>
        <v>--</v>
      </c>
      <c r="O22" s="279" t="str">
        <f ca="1">IFERROR(INDEX('Emission Factors'!N$7:N$24,MATCH(OFFSET(Usage!$D21,0,-2),'Emission Factors'!$B$7:$B$24,0))*INDEX(Usage!$K$5:$K$31,MATCH('Boiler Building Emissions'!$C22,Usage!$D$5:$D$31,0))*(1-'Emission Factors'!$E$27),"--")</f>
        <v>--</v>
      </c>
      <c r="P22" s="279">
        <f ca="1">IFERROR(INDEX('Emission Factors'!O$7:O$24,MATCH(OFFSET(Usage!$D21,0,-2),'Emission Factors'!$B$7:$B$24,0))*INDEX(Usage!$K$5:$K$31,MATCH('Boiler Building Emissions'!$C22,Usage!$D$5:$D$31,0))*(1-'Emission Factors'!$E$27),"--")</f>
        <v>1.1345399999999999E-4</v>
      </c>
      <c r="Q22" s="279" t="str">
        <f ca="1">IFERROR(INDEX('Emission Factors'!P$7:P$24,MATCH(OFFSET(Usage!$D21,0,-2),'Emission Factors'!$B$7:$B$24,0))*INDEX(Usage!$K$5:$K$31,MATCH('Boiler Building Emissions'!$C22,Usage!$D$5:$D$31,0))*(1-'Emission Factors'!$E$27),"--")</f>
        <v>--</v>
      </c>
      <c r="R22" s="280" t="str">
        <f ca="1">IFERROR(INDEX('Emission Factors'!Q$7:Q$24,MATCH(OFFSET(Usage!$D21,0,-2),'Emission Factors'!$B$7:$B$24,0))*INDEX(Usage!$K$5:$K$31,MATCH('Boiler Building Emissions'!$C22,Usage!$D$5:$D$31,0))*(1-'Emission Factors'!$E$27),"--")</f>
        <v>--</v>
      </c>
      <c r="S22" s="292">
        <f ca="1">IFERROR(INDEX('Emission Factors'!R$7:R$24,MATCH(OFFSET(Usage!$D21,0,-2),'Emission Factors'!$B$7:$B$24,0))*INDEX(Usage!$K$5:$K$31,MATCH('Boiler Building Emissions'!$C22,Usage!$D$5:$D$31,0))*(1-'Emission Factors'!$E$27),"--")</f>
        <v>1.6560507042253522E-4</v>
      </c>
      <c r="T22" s="292">
        <f ca="1">IFERROR(INDEX('Emission Factors'!S$7:S$24,MATCH(OFFSET(Usage!$D21,0,-2),'Emission Factors'!$B$7:$B$24,0))*INDEX(Usage!$K$5:$K$31,MATCH('Boiler Building Emissions'!$C22,Usage!$D$5:$D$31,0))*(1-'Emission Factors'!$E$27),"--")</f>
        <v>9.3609305033871796E-5</v>
      </c>
    </row>
    <row r="23" spans="2:20" x14ac:dyDescent="0.25">
      <c r="B23" s="190" t="s">
        <v>66</v>
      </c>
      <c r="C23" s="226" t="s">
        <v>84</v>
      </c>
      <c r="D23" s="279">
        <f ca="1">IFERROR(INDEX('Emission Factors'!C$7:C$24,MATCH(OFFSET(Usage!$D22,0,-2),'Emission Factors'!$B$7:$B$24,0))*INDEX(Usage!$K$5:$K$31,MATCH('Boiler Building Emissions'!$C23,Usage!$D$5:$D$31,0))*(1-'Emission Factors'!$E$27),"--")</f>
        <v>0</v>
      </c>
      <c r="E23" s="279" t="str">
        <f ca="1">IFERROR(INDEX('Emission Factors'!D$7:D$24,MATCH(OFFSET(Usage!$D22,0,-2),'Emission Factors'!$B$7:$B$24,0))*INDEX(Usage!$K$5:$K$31,MATCH('Boiler Building Emissions'!$C23,Usage!$D$5:$D$31,0))*(1-'Emission Factors'!$E$27),"--")</f>
        <v>--</v>
      </c>
      <c r="F23" s="279" t="str">
        <f ca="1">IFERROR(INDEX('Emission Factors'!E$7:E$24,MATCH(OFFSET(Usage!$D22,0,-2),'Emission Factors'!$B$7:$B$24,0))*INDEX(Usage!$K$5:$K$31,MATCH('Boiler Building Emissions'!$C23,Usage!$D$5:$D$31,0))*(1-'Emission Factors'!$E$27),"--")</f>
        <v>--</v>
      </c>
      <c r="G23" s="279" t="str">
        <f ca="1">IFERROR(INDEX('Emission Factors'!F$7:F$24,MATCH(OFFSET(Usage!$D22,0,-2),'Emission Factors'!$B$7:$B$24,0))*INDEX(Usage!$K$5:$K$31,MATCH('Boiler Building Emissions'!$C23,Usage!$D$5:$D$31,0))*(1-'Emission Factors'!$E$27),"--")</f>
        <v>--</v>
      </c>
      <c r="H23" s="279">
        <f ca="1">IFERROR(INDEX('Emission Factors'!G$7:G$24,MATCH(OFFSET(Usage!$D22,0,-2),'Emission Factors'!$B$7:$B$24,0))*INDEX(Usage!$K$5:$K$31,MATCH('Boiler Building Emissions'!$C23,Usage!$D$5:$D$31,0))*(1-'Emission Factors'!$E$27),"--")</f>
        <v>0</v>
      </c>
      <c r="I23" s="279">
        <f ca="1">IFERROR(INDEX('Emission Factors'!H$7:H$24,MATCH(OFFSET(Usage!$D22,0,-2),'Emission Factors'!$B$7:$B$24,0))*INDEX(Usage!$K$5:$K$31,MATCH('Boiler Building Emissions'!$C23,Usage!$D$5:$D$31,0))*(1-'Emission Factors'!$E$27),"--")</f>
        <v>0</v>
      </c>
      <c r="J23" s="279">
        <f ca="1">IFERROR(INDEX('Emission Factors'!I$7:I$24,MATCH(OFFSET(Usage!$D22,0,-2),'Emission Factors'!$B$7:$B$24,0))*INDEX(Usage!$K$5:$K$31,MATCH('Boiler Building Emissions'!$C23,Usage!$D$5:$D$31,0))*(1-'Emission Factors'!$E$27),"--")</f>
        <v>0</v>
      </c>
      <c r="K23" s="279">
        <f ca="1">IFERROR(INDEX('Emission Factors'!J$7:J$24,MATCH(OFFSET(Usage!$D22,0,-2),'Emission Factors'!$B$7:$B$24,0))*INDEX(Usage!$K$5:$K$31,MATCH('Boiler Building Emissions'!$C23,Usage!$D$5:$D$31,0))*(1-'Emission Factors'!$E$27),"--")</f>
        <v>0</v>
      </c>
      <c r="L23" s="279">
        <f ca="1">IFERROR(INDEX('Emission Factors'!K$7:K$24,MATCH(OFFSET(Usage!$D22,0,-2),'Emission Factors'!$B$7:$B$24,0))*INDEX(Usage!$K$5:$K$31,MATCH('Boiler Building Emissions'!$C23,Usage!$D$5:$D$31,0))*(1-'Emission Factors'!$E$27),"--")</f>
        <v>0</v>
      </c>
      <c r="M23" s="279">
        <f ca="1">IFERROR(INDEX('Emission Factors'!L$7:L$24,MATCH(OFFSET(Usage!$D22,0,-2),'Emission Factors'!$B$7:$B$24,0))*INDEX(Usage!$K$5:$K$31,MATCH('Boiler Building Emissions'!$C23,Usage!$D$5:$D$31,0))*(1-'Emission Factors'!$E$27),"--")</f>
        <v>0</v>
      </c>
      <c r="N23" s="279">
        <f ca="1">IFERROR(INDEX('Emission Factors'!M$7:M$24,MATCH(OFFSET(Usage!$D22,0,-2),'Emission Factors'!$B$7:$B$24,0))*INDEX(Usage!$K$5:$K$31,MATCH('Boiler Building Emissions'!$C23,Usage!$D$5:$D$31,0))*(1-'Emission Factors'!$E$27),"--")</f>
        <v>0</v>
      </c>
      <c r="O23" s="279" t="str">
        <f ca="1">IFERROR(INDEX('Emission Factors'!N$7:N$24,MATCH(OFFSET(Usage!$D22,0,-2),'Emission Factors'!$B$7:$B$24,0))*INDEX(Usage!$K$5:$K$31,MATCH('Boiler Building Emissions'!$C23,Usage!$D$5:$D$31,0))*(1-'Emission Factors'!$E$27),"--")</f>
        <v>--</v>
      </c>
      <c r="P23" s="279">
        <f ca="1">IFERROR(INDEX('Emission Factors'!O$7:O$24,MATCH(OFFSET(Usage!$D22,0,-2),'Emission Factors'!$B$7:$B$24,0))*INDEX(Usage!$K$5:$K$31,MATCH('Boiler Building Emissions'!$C23,Usage!$D$5:$D$31,0))*(1-'Emission Factors'!$E$27),"--")</f>
        <v>0</v>
      </c>
      <c r="Q23" s="279">
        <f ca="1">IFERROR(INDEX('Emission Factors'!P$7:P$24,MATCH(OFFSET(Usage!$D22,0,-2),'Emission Factors'!$B$7:$B$24,0))*INDEX(Usage!$K$5:$K$31,MATCH('Boiler Building Emissions'!$C23,Usage!$D$5:$D$31,0))*(1-'Emission Factors'!$E$27),"--")</f>
        <v>0</v>
      </c>
      <c r="R23" s="280" t="str">
        <f ca="1">IFERROR(INDEX('Emission Factors'!Q$7:Q$24,MATCH(OFFSET(Usage!$D22,0,-2),'Emission Factors'!$B$7:$B$24,0))*INDEX(Usage!$K$5:$K$31,MATCH('Boiler Building Emissions'!$C23,Usage!$D$5:$D$31,0))*(1-'Emission Factors'!$E$27),"--")</f>
        <v>--</v>
      </c>
      <c r="S23" s="292" t="str">
        <f ca="1">IFERROR(INDEX('Emission Factors'!R$7:R$24,MATCH(OFFSET(Usage!$D22,0,-2),'Emission Factors'!$B$7:$B$24,0))*INDEX(Usage!$K$5:$K$31,MATCH('Boiler Building Emissions'!$C23,Usage!$D$5:$D$31,0))*(1-'Emission Factors'!$E$27),"--")</f>
        <v>--</v>
      </c>
      <c r="T23" s="292">
        <f ca="1">IFERROR(INDEX('Emission Factors'!S$7:S$24,MATCH(OFFSET(Usage!$D22,0,-2),'Emission Factors'!$B$7:$B$24,0))*INDEX(Usage!$K$5:$K$31,MATCH('Boiler Building Emissions'!$C23,Usage!$D$5:$D$31,0))*(1-'Emission Factors'!$E$27),"--")</f>
        <v>0</v>
      </c>
    </row>
    <row r="24" spans="2:20" x14ac:dyDescent="0.25">
      <c r="B24" s="190" t="s">
        <v>43</v>
      </c>
      <c r="C24" s="226" t="s">
        <v>85</v>
      </c>
      <c r="D24" s="279">
        <f ca="1">IFERROR(INDEX('Emission Factors'!C$7:C$24,MATCH(OFFSET(Usage!$D23,0,-2),'Emission Factors'!$B$7:$B$24,0))*INDEX(Usage!$K$5:$K$31,MATCH('Boiler Building Emissions'!$C24,Usage!$D$5:$D$31,0))*(1-'Emission Factors'!$E$27),"--")</f>
        <v>3.4036200000000003E-4</v>
      </c>
      <c r="E24" s="279" t="str">
        <f ca="1">IFERROR(INDEX('Emission Factors'!D$7:D$24,MATCH(OFFSET(Usage!$D23,0,-2),'Emission Factors'!$B$7:$B$24,0))*INDEX(Usage!$K$5:$K$31,MATCH('Boiler Building Emissions'!$C24,Usage!$D$5:$D$31,0))*(1-'Emission Factors'!$E$27),"--")</f>
        <v>--</v>
      </c>
      <c r="F24" s="279" t="str">
        <f ca="1">IFERROR(INDEX('Emission Factors'!E$7:E$24,MATCH(OFFSET(Usage!$D23,0,-2),'Emission Factors'!$B$7:$B$24,0))*INDEX(Usage!$K$5:$K$31,MATCH('Boiler Building Emissions'!$C24,Usage!$D$5:$D$31,0))*(1-'Emission Factors'!$E$27),"--")</f>
        <v>--</v>
      </c>
      <c r="G24" s="279" t="str">
        <f ca="1">IFERROR(INDEX('Emission Factors'!F$7:F$24,MATCH(OFFSET(Usage!$D23,0,-2),'Emission Factors'!$B$7:$B$24,0))*INDEX(Usage!$K$5:$K$31,MATCH('Boiler Building Emissions'!$C24,Usage!$D$5:$D$31,0))*(1-'Emission Factors'!$E$27),"--")</f>
        <v>--</v>
      </c>
      <c r="H24" s="279" t="str">
        <f ca="1">IFERROR(INDEX('Emission Factors'!G$7:G$24,MATCH(OFFSET(Usage!$D23,0,-2),'Emission Factors'!$B$7:$B$24,0))*INDEX(Usage!$K$5:$K$31,MATCH('Boiler Building Emissions'!$C24,Usage!$D$5:$D$31,0))*(1-'Emission Factors'!$E$27),"--")</f>
        <v>--</v>
      </c>
      <c r="I24" s="279" t="str">
        <f ca="1">IFERROR(INDEX('Emission Factors'!H$7:H$24,MATCH(OFFSET(Usage!$D23,0,-2),'Emission Factors'!$B$7:$B$24,0))*INDEX(Usage!$K$5:$K$31,MATCH('Boiler Building Emissions'!$C24,Usage!$D$5:$D$31,0))*(1-'Emission Factors'!$E$27),"--")</f>
        <v>--</v>
      </c>
      <c r="J24" s="279" t="str">
        <f ca="1">IFERROR(INDEX('Emission Factors'!I$7:I$24,MATCH(OFFSET(Usage!$D23,0,-2),'Emission Factors'!$B$7:$B$24,0))*INDEX(Usage!$K$5:$K$31,MATCH('Boiler Building Emissions'!$C24,Usage!$D$5:$D$31,0))*(1-'Emission Factors'!$E$27),"--")</f>
        <v>--</v>
      </c>
      <c r="K24" s="279" t="str">
        <f ca="1">IFERROR(INDEX('Emission Factors'!J$7:J$24,MATCH(OFFSET(Usage!$D23,0,-2),'Emission Factors'!$B$7:$B$24,0))*INDEX(Usage!$K$5:$K$31,MATCH('Boiler Building Emissions'!$C24,Usage!$D$5:$D$31,0))*(1-'Emission Factors'!$E$27),"--")</f>
        <v>--</v>
      </c>
      <c r="L24" s="279" t="str">
        <f ca="1">IFERROR(INDEX('Emission Factors'!K$7:K$24,MATCH(OFFSET(Usage!$D23,0,-2),'Emission Factors'!$B$7:$B$24,0))*INDEX(Usage!$K$5:$K$31,MATCH('Boiler Building Emissions'!$C24,Usage!$D$5:$D$31,0))*(1-'Emission Factors'!$E$27),"--")</f>
        <v>--</v>
      </c>
      <c r="M24" s="279">
        <f ca="1">IFERROR(INDEX('Emission Factors'!L$7:L$24,MATCH(OFFSET(Usage!$D23,0,-2),'Emission Factors'!$B$7:$B$24,0))*INDEX(Usage!$K$5:$K$31,MATCH('Boiler Building Emissions'!$C24,Usage!$D$5:$D$31,0))*(1-'Emission Factors'!$E$27),"--")</f>
        <v>3.119985E-3</v>
      </c>
      <c r="N24" s="279" t="str">
        <f ca="1">IFERROR(INDEX('Emission Factors'!M$7:M$24,MATCH(OFFSET(Usage!$D23,0,-2),'Emission Factors'!$B$7:$B$24,0))*INDEX(Usage!$K$5:$K$31,MATCH('Boiler Building Emissions'!$C24,Usage!$D$5:$D$31,0))*(1-'Emission Factors'!$E$27),"--")</f>
        <v>--</v>
      </c>
      <c r="O24" s="279" t="str">
        <f ca="1">IFERROR(INDEX('Emission Factors'!N$7:N$24,MATCH(OFFSET(Usage!$D23,0,-2),'Emission Factors'!$B$7:$B$24,0))*INDEX(Usage!$K$5:$K$31,MATCH('Boiler Building Emissions'!$C24,Usage!$D$5:$D$31,0))*(1-'Emission Factors'!$E$27),"--")</f>
        <v>--</v>
      </c>
      <c r="P24" s="279" t="str">
        <f ca="1">IFERROR(INDEX('Emission Factors'!O$7:O$24,MATCH(OFFSET(Usage!$D23,0,-2),'Emission Factors'!$B$7:$B$24,0))*INDEX(Usage!$K$5:$K$31,MATCH('Boiler Building Emissions'!$C24,Usage!$D$5:$D$31,0))*(1-'Emission Factors'!$E$27),"--")</f>
        <v>--</v>
      </c>
      <c r="Q24" s="279" t="str">
        <f ca="1">IFERROR(INDEX('Emission Factors'!P$7:P$24,MATCH(OFFSET(Usage!$D23,0,-2),'Emission Factors'!$B$7:$B$24,0))*INDEX(Usage!$K$5:$K$31,MATCH('Boiler Building Emissions'!$C24,Usage!$D$5:$D$31,0))*(1-'Emission Factors'!$E$27),"--")</f>
        <v>--</v>
      </c>
      <c r="R24" s="280" t="str">
        <f ca="1">IFERROR(INDEX('Emission Factors'!Q$7:Q$24,MATCH(OFFSET(Usage!$D23,0,-2),'Emission Factors'!$B$7:$B$24,0))*INDEX(Usage!$K$5:$K$31,MATCH('Boiler Building Emissions'!$C24,Usage!$D$5:$D$31,0))*(1-'Emission Factors'!$E$27),"--")</f>
        <v>--</v>
      </c>
      <c r="S24" s="292">
        <f ca="1">IFERROR(INDEX('Emission Factors'!R$7:R$24,MATCH(OFFSET(Usage!$D23,0,-2),'Emission Factors'!$B$7:$B$24,0))*INDEX(Usage!$K$5:$K$31,MATCH('Boiler Building Emissions'!$C24,Usage!$D$5:$D$31,0))*(1-'Emission Factors'!$E$27),"--")</f>
        <v>1.6560507042253522E-4</v>
      </c>
      <c r="T24" s="292" t="str">
        <f ca="1">IFERROR(INDEX('Emission Factors'!S$7:S$24,MATCH(OFFSET(Usage!$D23,0,-2),'Emission Factors'!$B$7:$B$24,0))*INDEX(Usage!$K$5:$K$31,MATCH('Boiler Building Emissions'!$C24,Usage!$D$5:$D$31,0))*(1-'Emission Factors'!$E$27),"--")</f>
        <v>--</v>
      </c>
    </row>
    <row r="25" spans="2:20" x14ac:dyDescent="0.25">
      <c r="B25" s="190">
        <v>7018</v>
      </c>
      <c r="C25" s="226" t="s">
        <v>86</v>
      </c>
      <c r="D25" s="279" t="str">
        <f ca="1">IFERROR(INDEX('Emission Factors'!C$7:C$24,MATCH(OFFSET(Usage!$D24,0,-2),'Emission Factors'!$B$7:$B$24,0))*INDEX(Usage!$K$5:$K$31,MATCH('Boiler Building Emissions'!$C25,Usage!$D$5:$D$31,0))*(1-'Emission Factors'!$E$27),"--")</f>
        <v>--</v>
      </c>
      <c r="E25" s="279" t="str">
        <f ca="1">IFERROR(INDEX('Emission Factors'!D$7:D$24,MATCH(OFFSET(Usage!$D24,0,-2),'Emission Factors'!$B$7:$B$24,0))*INDEX(Usage!$K$5:$K$31,MATCH('Boiler Building Emissions'!$C25,Usage!$D$5:$D$31,0))*(1-'Emission Factors'!$E$27),"--")</f>
        <v>--</v>
      </c>
      <c r="F25" s="279" t="str">
        <f ca="1">IFERROR(INDEX('Emission Factors'!E$7:E$24,MATCH(OFFSET(Usage!$D24,0,-2),'Emission Factors'!$B$7:$B$24,0))*INDEX(Usage!$K$5:$K$31,MATCH('Boiler Building Emissions'!$C25,Usage!$D$5:$D$31,0))*(1-'Emission Factors'!$E$27),"--")</f>
        <v>--</v>
      </c>
      <c r="G25" s="279" t="str">
        <f ca="1">IFERROR(INDEX('Emission Factors'!F$7:F$24,MATCH(OFFSET(Usage!$D24,0,-2),'Emission Factors'!$B$7:$B$24,0))*INDEX(Usage!$K$5:$K$31,MATCH('Boiler Building Emissions'!$C25,Usage!$D$5:$D$31,0))*(1-'Emission Factors'!$E$27),"--")</f>
        <v>--</v>
      </c>
      <c r="H25" s="279">
        <f ca="1">IFERROR(INDEX('Emission Factors'!G$7:G$24,MATCH(OFFSET(Usage!$D24,0,-2),'Emission Factors'!$B$7:$B$24,0))*INDEX(Usage!$K$5:$K$31,MATCH('Boiler Building Emissions'!$C25,Usage!$D$5:$D$31,0))*(1-'Emission Factors'!$E$27),"--")</f>
        <v>9.9000000000000001E-6</v>
      </c>
      <c r="I25" s="279">
        <f ca="1">IFERROR(INDEX('Emission Factors'!H$7:H$24,MATCH(OFFSET(Usage!$D24,0,-2),'Emission Factors'!$B$7:$B$24,0))*INDEX(Usage!$K$5:$K$31,MATCH('Boiler Building Emissions'!$C25,Usage!$D$5:$D$31,0))*(1-'Emission Factors'!$E$27),"--")</f>
        <v>1.1583000000000001E-4</v>
      </c>
      <c r="J25" s="279">
        <f ca="1">IFERROR(INDEX('Emission Factors'!I$7:I$24,MATCH(OFFSET(Usage!$D24,0,-2),'Emission Factors'!$B$7:$B$24,0))*INDEX(Usage!$K$5:$K$31,MATCH('Boiler Building Emissions'!$C25,Usage!$D$5:$D$31,0))*(1-'Emission Factors'!$E$27),"--")</f>
        <v>6.3657000000000004E-5</v>
      </c>
      <c r="K25" s="279" t="str">
        <f ca="1">IFERROR(INDEX('Emission Factors'!J$7:J$24,MATCH(OFFSET(Usage!$D24,0,-2),'Emission Factors'!$B$7:$B$24,0))*INDEX(Usage!$K$5:$K$31,MATCH('Boiler Building Emissions'!$C25,Usage!$D$5:$D$31,0))*(1-'Emission Factors'!$E$27),"--")</f>
        <v>--</v>
      </c>
      <c r="L25" s="279">
        <f ca="1">IFERROR(INDEX('Emission Factors'!K$7:K$24,MATCH(OFFSET(Usage!$D24,0,-2),'Emission Factors'!$B$7:$B$24,0))*INDEX(Usage!$K$5:$K$31,MATCH('Boiler Building Emissions'!$C25,Usage!$D$5:$D$31,0))*(1-'Emission Factors'!$E$27),"--")</f>
        <v>1.0197000000000001E-2</v>
      </c>
      <c r="M25" s="279">
        <f ca="1">IFERROR(INDEX('Emission Factors'!L$7:L$24,MATCH(OFFSET(Usage!$D24,0,-2),'Emission Factors'!$B$7:$B$24,0))*INDEX(Usage!$K$5:$K$31,MATCH('Boiler Building Emissions'!$C25,Usage!$D$5:$D$31,0))*(1-'Emission Factors'!$E$27),"--")</f>
        <v>1.98E-5</v>
      </c>
      <c r="N25" s="279" t="str">
        <f ca="1">IFERROR(INDEX('Emission Factors'!M$7:M$24,MATCH(OFFSET(Usage!$D24,0,-2),'Emission Factors'!$B$7:$B$24,0))*INDEX(Usage!$K$5:$K$31,MATCH('Boiler Building Emissions'!$C25,Usage!$D$5:$D$31,0))*(1-'Emission Factors'!$E$27),"--")</f>
        <v>--</v>
      </c>
      <c r="O25" s="279" t="str">
        <f ca="1">IFERROR(INDEX('Emission Factors'!N$7:N$24,MATCH(OFFSET(Usage!$D24,0,-2),'Emission Factors'!$B$7:$B$24,0))*INDEX(Usage!$K$5:$K$31,MATCH('Boiler Building Emissions'!$C25,Usage!$D$5:$D$31,0))*(1-'Emission Factors'!$E$27),"--")</f>
        <v>--</v>
      </c>
      <c r="P25" s="279">
        <f ca="1">IFERROR(INDEX('Emission Factors'!O$7:O$24,MATCH(OFFSET(Usage!$D24,0,-2),'Emission Factors'!$B$7:$B$24,0))*INDEX(Usage!$K$5:$K$31,MATCH('Boiler Building Emissions'!$C25,Usage!$D$5:$D$31,0))*(1-'Emission Factors'!$E$27),"--")</f>
        <v>2.8703862E-4</v>
      </c>
      <c r="Q25" s="279" t="str">
        <f ca="1">IFERROR(INDEX('Emission Factors'!P$7:P$24,MATCH(OFFSET(Usage!$D24,0,-2),'Emission Factors'!$B$7:$B$24,0))*INDEX(Usage!$K$5:$K$31,MATCH('Boiler Building Emissions'!$C25,Usage!$D$5:$D$31,0))*(1-'Emission Factors'!$E$27),"--")</f>
        <v>--</v>
      </c>
      <c r="R25" s="280" t="str">
        <f ca="1">IFERROR(INDEX('Emission Factors'!Q$7:Q$24,MATCH(OFFSET(Usage!$D24,0,-2),'Emission Factors'!$B$7:$B$24,0))*INDEX(Usage!$K$5:$K$31,MATCH('Boiler Building Emissions'!$C25,Usage!$D$5:$D$31,0))*(1-'Emission Factors'!$E$27),"--")</f>
        <v>--</v>
      </c>
      <c r="S25" s="292">
        <f ca="1">IFERROR(INDEX('Emission Factors'!R$7:R$24,MATCH(OFFSET(Usage!$D24,0,-2),'Emission Factors'!$B$7:$B$24,0))*INDEX(Usage!$K$5:$K$31,MATCH('Boiler Building Emissions'!$C25,Usage!$D$5:$D$31,0))*(1-'Emission Factors'!$E$27),"--")</f>
        <v>1.5656652E-3</v>
      </c>
      <c r="T25" s="292">
        <f ca="1">IFERROR(INDEX('Emission Factors'!S$7:S$24,MATCH(OFFSET(Usage!$D24,0,-2),'Emission Factors'!$B$7:$B$24,0))*INDEX(Usage!$K$5:$K$31,MATCH('Boiler Building Emissions'!$C25,Usage!$D$5:$D$31,0))*(1-'Emission Factors'!$E$27),"--")</f>
        <v>4.3060280315581029E-4</v>
      </c>
    </row>
    <row r="26" spans="2:20" x14ac:dyDescent="0.25">
      <c r="B26" s="190">
        <v>7018</v>
      </c>
      <c r="C26" s="226" t="s">
        <v>87</v>
      </c>
      <c r="D26" s="279" t="str">
        <f ca="1">IFERROR(INDEX('Emission Factors'!C$7:C$24,MATCH(OFFSET(Usage!$D25,0,-2),'Emission Factors'!$B$7:$B$24,0))*INDEX(Usage!$K$5:$K$31,MATCH('Boiler Building Emissions'!$C26,Usage!$D$5:$D$31,0))*(1-'Emission Factors'!$E$27),"--")</f>
        <v>--</v>
      </c>
      <c r="E26" s="279" t="str">
        <f ca="1">IFERROR(INDEX('Emission Factors'!D$7:D$24,MATCH(OFFSET(Usage!$D25,0,-2),'Emission Factors'!$B$7:$B$24,0))*INDEX(Usage!$K$5:$K$31,MATCH('Boiler Building Emissions'!$C26,Usage!$D$5:$D$31,0))*(1-'Emission Factors'!$E$27),"--")</f>
        <v>--</v>
      </c>
      <c r="F26" s="279" t="str">
        <f ca="1">IFERROR(INDEX('Emission Factors'!E$7:E$24,MATCH(OFFSET(Usage!$D25,0,-2),'Emission Factors'!$B$7:$B$24,0))*INDEX(Usage!$K$5:$K$31,MATCH('Boiler Building Emissions'!$C26,Usage!$D$5:$D$31,0))*(1-'Emission Factors'!$E$27),"--")</f>
        <v>--</v>
      </c>
      <c r="G26" s="279" t="str">
        <f ca="1">IFERROR(INDEX('Emission Factors'!F$7:F$24,MATCH(OFFSET(Usage!$D25,0,-2),'Emission Factors'!$B$7:$B$24,0))*INDEX(Usage!$K$5:$K$31,MATCH('Boiler Building Emissions'!$C26,Usage!$D$5:$D$31,0))*(1-'Emission Factors'!$E$27),"--")</f>
        <v>--</v>
      </c>
      <c r="H26" s="279">
        <f ca="1">IFERROR(INDEX('Emission Factors'!G$7:G$24,MATCH(OFFSET(Usage!$D25,0,-2),'Emission Factors'!$B$7:$B$24,0))*INDEX(Usage!$K$5:$K$31,MATCH('Boiler Building Emissions'!$C26,Usage!$D$5:$D$31,0))*(1-'Emission Factors'!$E$27),"--")</f>
        <v>4.95E-6</v>
      </c>
      <c r="I26" s="279">
        <f ca="1">IFERROR(INDEX('Emission Factors'!H$7:H$24,MATCH(OFFSET(Usage!$D25,0,-2),'Emission Factors'!$B$7:$B$24,0))*INDEX(Usage!$K$5:$K$31,MATCH('Boiler Building Emissions'!$C26,Usage!$D$5:$D$31,0))*(1-'Emission Factors'!$E$27),"--")</f>
        <v>5.7915000000000004E-5</v>
      </c>
      <c r="J26" s="279">
        <f ca="1">IFERROR(INDEX('Emission Factors'!I$7:I$24,MATCH(OFFSET(Usage!$D25,0,-2),'Emission Factors'!$B$7:$B$24,0))*INDEX(Usage!$K$5:$K$31,MATCH('Boiler Building Emissions'!$C26,Usage!$D$5:$D$31,0))*(1-'Emission Factors'!$E$27),"--")</f>
        <v>3.1828500000000002E-5</v>
      </c>
      <c r="K26" s="279" t="str">
        <f ca="1">IFERROR(INDEX('Emission Factors'!J$7:J$24,MATCH(OFFSET(Usage!$D25,0,-2),'Emission Factors'!$B$7:$B$24,0))*INDEX(Usage!$K$5:$K$31,MATCH('Boiler Building Emissions'!$C26,Usage!$D$5:$D$31,0))*(1-'Emission Factors'!$E$27),"--")</f>
        <v>--</v>
      </c>
      <c r="L26" s="279">
        <f ca="1">IFERROR(INDEX('Emission Factors'!K$7:K$24,MATCH(OFFSET(Usage!$D25,0,-2),'Emission Factors'!$B$7:$B$24,0))*INDEX(Usage!$K$5:$K$31,MATCH('Boiler Building Emissions'!$C26,Usage!$D$5:$D$31,0))*(1-'Emission Factors'!$E$27),"--")</f>
        <v>5.0985000000000006E-3</v>
      </c>
      <c r="M26" s="279">
        <f ca="1">IFERROR(INDEX('Emission Factors'!L$7:L$24,MATCH(OFFSET(Usage!$D25,0,-2),'Emission Factors'!$B$7:$B$24,0))*INDEX(Usage!$K$5:$K$31,MATCH('Boiler Building Emissions'!$C26,Usage!$D$5:$D$31,0))*(1-'Emission Factors'!$E$27),"--")</f>
        <v>9.9000000000000001E-6</v>
      </c>
      <c r="N26" s="279" t="str">
        <f ca="1">IFERROR(INDEX('Emission Factors'!M$7:M$24,MATCH(OFFSET(Usage!$D25,0,-2),'Emission Factors'!$B$7:$B$24,0))*INDEX(Usage!$K$5:$K$31,MATCH('Boiler Building Emissions'!$C26,Usage!$D$5:$D$31,0))*(1-'Emission Factors'!$E$27),"--")</f>
        <v>--</v>
      </c>
      <c r="O26" s="279" t="str">
        <f ca="1">IFERROR(INDEX('Emission Factors'!N$7:N$24,MATCH(OFFSET(Usage!$D25,0,-2),'Emission Factors'!$B$7:$B$24,0))*INDEX(Usage!$K$5:$K$31,MATCH('Boiler Building Emissions'!$C26,Usage!$D$5:$D$31,0))*(1-'Emission Factors'!$E$27),"--")</f>
        <v>--</v>
      </c>
      <c r="P26" s="279">
        <f ca="1">IFERROR(INDEX('Emission Factors'!O$7:O$24,MATCH(OFFSET(Usage!$D25,0,-2),'Emission Factors'!$B$7:$B$24,0))*INDEX(Usage!$K$5:$K$31,MATCH('Boiler Building Emissions'!$C26,Usage!$D$5:$D$31,0))*(1-'Emission Factors'!$E$27),"--")</f>
        <v>1.4351931E-4</v>
      </c>
      <c r="Q26" s="279" t="str">
        <f ca="1">IFERROR(INDEX('Emission Factors'!P$7:P$24,MATCH(OFFSET(Usage!$D25,0,-2),'Emission Factors'!$B$7:$B$24,0))*INDEX(Usage!$K$5:$K$31,MATCH('Boiler Building Emissions'!$C26,Usage!$D$5:$D$31,0))*(1-'Emission Factors'!$E$27),"--")</f>
        <v>--</v>
      </c>
      <c r="R26" s="280" t="str">
        <f ca="1">IFERROR(INDEX('Emission Factors'!Q$7:Q$24,MATCH(OFFSET(Usage!$D25,0,-2),'Emission Factors'!$B$7:$B$24,0))*INDEX(Usage!$K$5:$K$31,MATCH('Boiler Building Emissions'!$C26,Usage!$D$5:$D$31,0))*(1-'Emission Factors'!$E$27),"--")</f>
        <v>--</v>
      </c>
      <c r="S26" s="292">
        <f ca="1">IFERROR(INDEX('Emission Factors'!R$7:R$24,MATCH(OFFSET(Usage!$D25,0,-2),'Emission Factors'!$B$7:$B$24,0))*INDEX(Usage!$K$5:$K$31,MATCH('Boiler Building Emissions'!$C26,Usage!$D$5:$D$31,0))*(1-'Emission Factors'!$E$27),"--")</f>
        <v>7.828326E-4</v>
      </c>
      <c r="T26" s="292">
        <f ca="1">IFERROR(INDEX('Emission Factors'!S$7:S$24,MATCH(OFFSET(Usage!$D25,0,-2),'Emission Factors'!$B$7:$B$24,0))*INDEX(Usage!$K$5:$K$31,MATCH('Boiler Building Emissions'!$C26,Usage!$D$5:$D$31,0))*(1-'Emission Factors'!$E$27),"--")</f>
        <v>2.1530140157790514E-4</v>
      </c>
    </row>
    <row r="27" spans="2:20" x14ac:dyDescent="0.25">
      <c r="B27" s="190">
        <v>7018</v>
      </c>
      <c r="C27" s="226" t="s">
        <v>88</v>
      </c>
      <c r="D27" s="279" t="str">
        <f ca="1">IFERROR(INDEX('Emission Factors'!C$7:C$24,MATCH(OFFSET(Usage!$D26,0,-2),'Emission Factors'!$B$7:$B$24,0))*INDEX(Usage!$K$5:$K$31,MATCH('Boiler Building Emissions'!$C27,Usage!$D$5:$D$31,0))*(1-'Emission Factors'!$E$27),"--")</f>
        <v>--</v>
      </c>
      <c r="E27" s="279" t="str">
        <f ca="1">IFERROR(INDEX('Emission Factors'!D$7:D$24,MATCH(OFFSET(Usage!$D26,0,-2),'Emission Factors'!$B$7:$B$24,0))*INDEX(Usage!$K$5:$K$31,MATCH('Boiler Building Emissions'!$C27,Usage!$D$5:$D$31,0))*(1-'Emission Factors'!$E$27),"--")</f>
        <v>--</v>
      </c>
      <c r="F27" s="279" t="str">
        <f ca="1">IFERROR(INDEX('Emission Factors'!E$7:E$24,MATCH(OFFSET(Usage!$D26,0,-2),'Emission Factors'!$B$7:$B$24,0))*INDEX(Usage!$K$5:$K$31,MATCH('Boiler Building Emissions'!$C27,Usage!$D$5:$D$31,0))*(1-'Emission Factors'!$E$27),"--")</f>
        <v>--</v>
      </c>
      <c r="G27" s="279" t="str">
        <f ca="1">IFERROR(INDEX('Emission Factors'!F$7:F$24,MATCH(OFFSET(Usage!$D26,0,-2),'Emission Factors'!$B$7:$B$24,0))*INDEX(Usage!$K$5:$K$31,MATCH('Boiler Building Emissions'!$C27,Usage!$D$5:$D$31,0))*(1-'Emission Factors'!$E$27),"--")</f>
        <v>--</v>
      </c>
      <c r="H27" s="279">
        <f ca="1">IFERROR(INDEX('Emission Factors'!G$7:G$24,MATCH(OFFSET(Usage!$D26,0,-2),'Emission Factors'!$B$7:$B$24,0))*INDEX(Usage!$K$5:$K$31,MATCH('Boiler Building Emissions'!$C27,Usage!$D$5:$D$31,0))*(1-'Emission Factors'!$E$27),"--")</f>
        <v>9.9000000000000001E-6</v>
      </c>
      <c r="I27" s="279">
        <f ca="1">IFERROR(INDEX('Emission Factors'!H$7:H$24,MATCH(OFFSET(Usage!$D26,0,-2),'Emission Factors'!$B$7:$B$24,0))*INDEX(Usage!$K$5:$K$31,MATCH('Boiler Building Emissions'!$C27,Usage!$D$5:$D$31,0))*(1-'Emission Factors'!$E$27),"--")</f>
        <v>1.1583000000000001E-4</v>
      </c>
      <c r="J27" s="279">
        <f ca="1">IFERROR(INDEX('Emission Factors'!I$7:I$24,MATCH(OFFSET(Usage!$D26,0,-2),'Emission Factors'!$B$7:$B$24,0))*INDEX(Usage!$K$5:$K$31,MATCH('Boiler Building Emissions'!$C27,Usage!$D$5:$D$31,0))*(1-'Emission Factors'!$E$27),"--")</f>
        <v>6.3657000000000004E-5</v>
      </c>
      <c r="K27" s="279" t="str">
        <f ca="1">IFERROR(INDEX('Emission Factors'!J$7:J$24,MATCH(OFFSET(Usage!$D26,0,-2),'Emission Factors'!$B$7:$B$24,0))*INDEX(Usage!$K$5:$K$31,MATCH('Boiler Building Emissions'!$C27,Usage!$D$5:$D$31,0))*(1-'Emission Factors'!$E$27),"--")</f>
        <v>--</v>
      </c>
      <c r="L27" s="279">
        <f ca="1">IFERROR(INDEX('Emission Factors'!K$7:K$24,MATCH(OFFSET(Usage!$D26,0,-2),'Emission Factors'!$B$7:$B$24,0))*INDEX(Usage!$K$5:$K$31,MATCH('Boiler Building Emissions'!$C27,Usage!$D$5:$D$31,0))*(1-'Emission Factors'!$E$27),"--")</f>
        <v>1.0197000000000001E-2</v>
      </c>
      <c r="M27" s="279">
        <f ca="1">IFERROR(INDEX('Emission Factors'!L$7:L$24,MATCH(OFFSET(Usage!$D26,0,-2),'Emission Factors'!$B$7:$B$24,0))*INDEX(Usage!$K$5:$K$31,MATCH('Boiler Building Emissions'!$C27,Usage!$D$5:$D$31,0))*(1-'Emission Factors'!$E$27),"--")</f>
        <v>1.98E-5</v>
      </c>
      <c r="N27" s="279" t="str">
        <f ca="1">IFERROR(INDEX('Emission Factors'!M$7:M$24,MATCH(OFFSET(Usage!$D26,0,-2),'Emission Factors'!$B$7:$B$24,0))*INDEX(Usage!$K$5:$K$31,MATCH('Boiler Building Emissions'!$C27,Usage!$D$5:$D$31,0))*(1-'Emission Factors'!$E$27),"--")</f>
        <v>--</v>
      </c>
      <c r="O27" s="279" t="str">
        <f ca="1">IFERROR(INDEX('Emission Factors'!N$7:N$24,MATCH(OFFSET(Usage!$D26,0,-2),'Emission Factors'!$B$7:$B$24,0))*INDEX(Usage!$K$5:$K$31,MATCH('Boiler Building Emissions'!$C27,Usage!$D$5:$D$31,0))*(1-'Emission Factors'!$E$27),"--")</f>
        <v>--</v>
      </c>
      <c r="P27" s="279">
        <f ca="1">IFERROR(INDEX('Emission Factors'!O$7:O$24,MATCH(OFFSET(Usage!$D26,0,-2),'Emission Factors'!$B$7:$B$24,0))*INDEX(Usage!$K$5:$K$31,MATCH('Boiler Building Emissions'!$C27,Usage!$D$5:$D$31,0))*(1-'Emission Factors'!$E$27),"--")</f>
        <v>2.8703862E-4</v>
      </c>
      <c r="Q27" s="279" t="str">
        <f ca="1">IFERROR(INDEX('Emission Factors'!P$7:P$24,MATCH(OFFSET(Usage!$D26,0,-2),'Emission Factors'!$B$7:$B$24,0))*INDEX(Usage!$K$5:$K$31,MATCH('Boiler Building Emissions'!$C27,Usage!$D$5:$D$31,0))*(1-'Emission Factors'!$E$27),"--")</f>
        <v>--</v>
      </c>
      <c r="R27" s="280" t="str">
        <f ca="1">IFERROR(INDEX('Emission Factors'!Q$7:Q$24,MATCH(OFFSET(Usage!$D26,0,-2),'Emission Factors'!$B$7:$B$24,0))*INDEX(Usage!$K$5:$K$31,MATCH('Boiler Building Emissions'!$C27,Usage!$D$5:$D$31,0))*(1-'Emission Factors'!$E$27),"--")</f>
        <v>--</v>
      </c>
      <c r="S27" s="292">
        <f ca="1">IFERROR(INDEX('Emission Factors'!R$7:R$24,MATCH(OFFSET(Usage!$D26,0,-2),'Emission Factors'!$B$7:$B$24,0))*INDEX(Usage!$K$5:$K$31,MATCH('Boiler Building Emissions'!$C27,Usage!$D$5:$D$31,0))*(1-'Emission Factors'!$E$27),"--")</f>
        <v>1.5656652E-3</v>
      </c>
      <c r="T27" s="292">
        <f ca="1">IFERROR(INDEX('Emission Factors'!S$7:S$24,MATCH(OFFSET(Usage!$D26,0,-2),'Emission Factors'!$B$7:$B$24,0))*INDEX(Usage!$K$5:$K$31,MATCH('Boiler Building Emissions'!$C27,Usage!$D$5:$D$31,0))*(1-'Emission Factors'!$E$27),"--")</f>
        <v>4.3060280315581029E-4</v>
      </c>
    </row>
    <row r="28" spans="2:20" x14ac:dyDescent="0.25">
      <c r="B28" s="190" t="s">
        <v>48</v>
      </c>
      <c r="C28" s="226" t="s">
        <v>89</v>
      </c>
      <c r="D28" s="279" t="str">
        <f ca="1">IFERROR(INDEX('Emission Factors'!C$7:C$24,MATCH(OFFSET(Usage!$D27,0,-2),'Emission Factors'!$B$7:$B$24,0))*INDEX(Usage!$K$5:$K$31,MATCH('Boiler Building Emissions'!$C28,Usage!$D$5:$D$31,0))*(1-'Emission Factors'!$E$27),"--")</f>
        <v>--</v>
      </c>
      <c r="E28" s="279">
        <f ca="1">IFERROR(INDEX('Emission Factors'!D$7:D$24,MATCH(OFFSET(Usage!$D27,0,-2),'Emission Factors'!$B$7:$B$24,0))*INDEX(Usage!$K$5:$K$31,MATCH('Boiler Building Emissions'!$C28,Usage!$D$5:$D$31,0))*(1-'Emission Factors'!$E$27),"--")</f>
        <v>3.7526835523734807E-5</v>
      </c>
      <c r="F28" s="279" t="str">
        <f ca="1">IFERROR(INDEX('Emission Factors'!E$7:E$24,MATCH(OFFSET(Usage!$D27,0,-2),'Emission Factors'!$B$7:$B$24,0))*INDEX(Usage!$K$5:$K$31,MATCH('Boiler Building Emissions'!$C28,Usage!$D$5:$D$31,0))*(1-'Emission Factors'!$E$27),"--")</f>
        <v>--</v>
      </c>
      <c r="G28" s="279" t="str">
        <f ca="1">IFERROR(INDEX('Emission Factors'!F$7:F$24,MATCH(OFFSET(Usage!$D27,0,-2),'Emission Factors'!$B$7:$B$24,0))*INDEX(Usage!$K$5:$K$31,MATCH('Boiler Building Emissions'!$C28,Usage!$D$5:$D$31,0))*(1-'Emission Factors'!$E$27),"--")</f>
        <v>--</v>
      </c>
      <c r="H28" s="279" t="str">
        <f ca="1">IFERROR(INDEX('Emission Factors'!G$7:G$24,MATCH(OFFSET(Usage!$D27,0,-2),'Emission Factors'!$B$7:$B$24,0))*INDEX(Usage!$K$5:$K$31,MATCH('Boiler Building Emissions'!$C28,Usage!$D$5:$D$31,0))*(1-'Emission Factors'!$E$27),"--")</f>
        <v>--</v>
      </c>
      <c r="I28" s="279">
        <f ca="1">IFERROR(INDEX('Emission Factors'!H$7:H$24,MATCH(OFFSET(Usage!$D27,0,-2),'Emission Factors'!$B$7:$B$24,0))*INDEX(Usage!$K$5:$K$31,MATCH('Boiler Building Emissions'!$C28,Usage!$D$5:$D$31,0))*(1-'Emission Factors'!$E$27),"--")</f>
        <v>8.7416999999999996E-4</v>
      </c>
      <c r="J28" s="279">
        <f ca="1">IFERROR(INDEX('Emission Factors'!I$7:I$24,MATCH(OFFSET(Usage!$D27,0,-2),'Emission Factors'!$B$7:$B$24,0))*INDEX(Usage!$K$5:$K$31,MATCH('Boiler Building Emissions'!$C28,Usage!$D$5:$D$31,0))*(1-'Emission Factors'!$E$27),"--")</f>
        <v>1.9800000000000002E-4</v>
      </c>
      <c r="K28" s="279" t="str">
        <f ca="1">IFERROR(INDEX('Emission Factors'!J$7:J$24,MATCH(OFFSET(Usage!$D27,0,-2),'Emission Factors'!$B$7:$B$24,0))*INDEX(Usage!$K$5:$K$31,MATCH('Boiler Building Emissions'!$C28,Usage!$D$5:$D$31,0))*(1-'Emission Factors'!$E$27),"--")</f>
        <v>--</v>
      </c>
      <c r="L28" s="279">
        <f ca="1">IFERROR(INDEX('Emission Factors'!K$7:K$24,MATCH(OFFSET(Usage!$D27,0,-2),'Emission Factors'!$B$7:$B$24,0))*INDEX(Usage!$K$5:$K$31,MATCH('Boiler Building Emissions'!$C28,Usage!$D$5:$D$31,0))*(1-'Emission Factors'!$E$27),"--")</f>
        <v>5.3855999999999999E-4</v>
      </c>
      <c r="M28" s="279">
        <f ca="1">IFERROR(INDEX('Emission Factors'!L$7:L$24,MATCH(OFFSET(Usage!$D27,0,-2),'Emission Factors'!$B$7:$B$24,0))*INDEX(Usage!$K$5:$K$31,MATCH('Boiler Building Emissions'!$C28,Usage!$D$5:$D$31,0))*(1-'Emission Factors'!$E$27),"--")</f>
        <v>5.4450000000000002E-5</v>
      </c>
      <c r="N28" s="279" t="str">
        <f ca="1">IFERROR(INDEX('Emission Factors'!M$7:M$24,MATCH(OFFSET(Usage!$D27,0,-2),'Emission Factors'!$B$7:$B$24,0))*INDEX(Usage!$K$5:$K$31,MATCH('Boiler Building Emissions'!$C28,Usage!$D$5:$D$31,0))*(1-'Emission Factors'!$E$27),"--")</f>
        <v>--</v>
      </c>
      <c r="O28" s="279" t="str">
        <f ca="1">IFERROR(INDEX('Emission Factors'!N$7:N$24,MATCH(OFFSET(Usage!$D27,0,-2),'Emission Factors'!$B$7:$B$24,0))*INDEX(Usage!$K$5:$K$31,MATCH('Boiler Building Emissions'!$C28,Usage!$D$5:$D$31,0))*(1-'Emission Factors'!$E$27),"--")</f>
        <v>--</v>
      </c>
      <c r="P28" s="279">
        <f ca="1">IFERROR(INDEX('Emission Factors'!O$7:O$24,MATCH(OFFSET(Usage!$D27,0,-2),'Emission Factors'!$B$7:$B$24,0))*INDEX(Usage!$K$5:$K$31,MATCH('Boiler Building Emissions'!$C28,Usage!$D$5:$D$31,0))*(1-'Emission Factors'!$E$27),"--")</f>
        <v>3.0332486294054819E-5</v>
      </c>
      <c r="Q28" s="279" t="str">
        <f ca="1">IFERROR(INDEX('Emission Factors'!P$7:P$24,MATCH(OFFSET(Usage!$D27,0,-2),'Emission Factors'!$B$7:$B$24,0))*INDEX(Usage!$K$5:$K$31,MATCH('Boiler Building Emissions'!$C28,Usage!$D$5:$D$31,0))*(1-'Emission Factors'!$E$27),"--")</f>
        <v>--</v>
      </c>
      <c r="R28" s="280" t="str">
        <f ca="1">IFERROR(INDEX('Emission Factors'!Q$7:Q$24,MATCH(OFFSET(Usage!$D27,0,-2),'Emission Factors'!$B$7:$B$24,0))*INDEX(Usage!$K$5:$K$31,MATCH('Boiler Building Emissions'!$C28,Usage!$D$5:$D$31,0))*(1-'Emission Factors'!$E$27),"--")</f>
        <v>--</v>
      </c>
      <c r="S28" s="292">
        <f ca="1">IFERROR(INDEX('Emission Factors'!R$7:R$24,MATCH(OFFSET(Usage!$D27,0,-2),'Emission Factors'!$B$7:$B$24,0))*INDEX(Usage!$K$5:$K$31,MATCH('Boiler Building Emissions'!$C28,Usage!$D$5:$D$31,0))*(1-'Emission Factors'!$E$27),"--")</f>
        <v>1.4181750000000001E-4</v>
      </c>
      <c r="T28" s="292">
        <f ca="1">IFERROR(INDEX('Emission Factors'!S$7:S$24,MATCH(OFFSET(Usage!$D27,0,-2),'Emission Factors'!$B$7:$B$24,0))*INDEX(Usage!$K$5:$K$31,MATCH('Boiler Building Emissions'!$C28,Usage!$D$5:$D$31,0))*(1-'Emission Factors'!$E$27),"--")</f>
        <v>2.1274842053152683E-4</v>
      </c>
    </row>
    <row r="29" spans="2:20" x14ac:dyDescent="0.25">
      <c r="B29" s="190" t="s">
        <v>47</v>
      </c>
      <c r="C29" s="226" t="s">
        <v>90</v>
      </c>
      <c r="D29" s="279" t="str">
        <f ca="1">IFERROR(INDEX('Emission Factors'!C$7:C$24,MATCH(OFFSET(Usage!$D28,0,-2),'Emission Factors'!$B$7:$B$24,0))*INDEX(Usage!$K$5:$K$31,MATCH('Boiler Building Emissions'!$C29,Usage!$D$5:$D$31,0))*(1-'Emission Factors'!$E$27),"--")</f>
        <v>--</v>
      </c>
      <c r="E29" s="279">
        <f ca="1">IFERROR(INDEX('Emission Factors'!D$7:D$24,MATCH(OFFSET(Usage!$D28,0,-2),'Emission Factors'!$B$7:$B$24,0))*INDEX(Usage!$K$5:$K$31,MATCH('Boiler Building Emissions'!$C29,Usage!$D$5:$D$31,0))*(1-'Emission Factors'!$E$27),"--")</f>
        <v>3.3023615260886623E-5</v>
      </c>
      <c r="F29" s="279" t="str">
        <f ca="1">IFERROR(INDEX('Emission Factors'!E$7:E$24,MATCH(OFFSET(Usage!$D28,0,-2),'Emission Factors'!$B$7:$B$24,0))*INDEX(Usage!$K$5:$K$31,MATCH('Boiler Building Emissions'!$C29,Usage!$D$5:$D$31,0))*(1-'Emission Factors'!$E$27),"--")</f>
        <v>--</v>
      </c>
      <c r="G29" s="279" t="str">
        <f ca="1">IFERROR(INDEX('Emission Factors'!F$7:F$24,MATCH(OFFSET(Usage!$D28,0,-2),'Emission Factors'!$B$7:$B$24,0))*INDEX(Usage!$K$5:$K$31,MATCH('Boiler Building Emissions'!$C29,Usage!$D$5:$D$31,0))*(1-'Emission Factors'!$E$27),"--")</f>
        <v>--</v>
      </c>
      <c r="H29" s="279" t="str">
        <f ca="1">IFERROR(INDEX('Emission Factors'!G$7:G$24,MATCH(OFFSET(Usage!$D28,0,-2),'Emission Factors'!$B$7:$B$24,0))*INDEX(Usage!$K$5:$K$31,MATCH('Boiler Building Emissions'!$C29,Usage!$D$5:$D$31,0))*(1-'Emission Factors'!$E$27),"--")</f>
        <v>--</v>
      </c>
      <c r="I29" s="279">
        <f ca="1">IFERROR(INDEX('Emission Factors'!H$7:H$24,MATCH(OFFSET(Usage!$D28,0,-2),'Emission Factors'!$B$7:$B$24,0))*INDEX(Usage!$K$5:$K$31,MATCH('Boiler Building Emissions'!$C29,Usage!$D$5:$D$31,0))*(1-'Emission Factors'!$E$27),"--")</f>
        <v>1.58994E-3</v>
      </c>
      <c r="J29" s="279">
        <f ca="1">IFERROR(INDEX('Emission Factors'!I$7:I$24,MATCH(OFFSET(Usage!$D28,0,-2),'Emission Factors'!$B$7:$B$24,0))*INDEX(Usage!$K$5:$K$31,MATCH('Boiler Building Emissions'!$C29,Usage!$D$5:$D$31,0))*(1-'Emission Factors'!$E$27),"--")</f>
        <v>2.7918000000000002E-4</v>
      </c>
      <c r="K29" s="279">
        <f ca="1">IFERROR(INDEX('Emission Factors'!J$7:J$24,MATCH(OFFSET(Usage!$D28,0,-2),'Emission Factors'!$B$7:$B$24,0))*INDEX(Usage!$K$5:$K$31,MATCH('Boiler Building Emissions'!$C29,Usage!$D$5:$D$31,0))*(1-'Emission Factors'!$E$27),"--")</f>
        <v>6.2399699999999991E-5</v>
      </c>
      <c r="L29" s="279">
        <f ca="1">IFERROR(INDEX('Emission Factors'!K$7:K$24,MATCH(OFFSET(Usage!$D28,0,-2),'Emission Factors'!$B$7:$B$24,0))*INDEX(Usage!$K$5:$K$31,MATCH('Boiler Building Emissions'!$C29,Usage!$D$5:$D$31,0))*(1-'Emission Factors'!$E$27),"--")</f>
        <v>3.4036200000000003E-4</v>
      </c>
      <c r="M29" s="279">
        <f ca="1">IFERROR(INDEX('Emission Factors'!L$7:L$24,MATCH(OFFSET(Usage!$D28,0,-2),'Emission Factors'!$B$7:$B$24,0))*INDEX(Usage!$K$5:$K$31,MATCH('Boiler Building Emissions'!$C29,Usage!$D$5:$D$31,0))*(1-'Emission Factors'!$E$27),"--")</f>
        <v>8.5090500000000011E-4</v>
      </c>
      <c r="N29" s="279">
        <f ca="1">IFERROR(INDEX('Emission Factors'!M$7:M$24,MATCH(OFFSET(Usage!$D28,0,-2),'Emission Factors'!$B$7:$B$24,0))*INDEX(Usage!$K$5:$K$31,MATCH('Boiler Building Emissions'!$C29,Usage!$D$5:$D$31,0))*(1-'Emission Factors'!$E$27),"--")</f>
        <v>0</v>
      </c>
      <c r="O29" s="279" t="str">
        <f ca="1">IFERROR(INDEX('Emission Factors'!N$7:N$24,MATCH(OFFSET(Usage!$D28,0,-2),'Emission Factors'!$B$7:$B$24,0))*INDEX(Usage!$K$5:$K$31,MATCH('Boiler Building Emissions'!$C29,Usage!$D$5:$D$31,0))*(1-'Emission Factors'!$E$27),"--")</f>
        <v>--</v>
      </c>
      <c r="P29" s="279">
        <f ca="1">IFERROR(INDEX('Emission Factors'!O$7:O$24,MATCH(OFFSET(Usage!$D28,0,-2),'Emission Factors'!$B$7:$B$24,0))*INDEX(Usage!$K$5:$K$31,MATCH('Boiler Building Emissions'!$C29,Usage!$D$5:$D$31,0))*(1-'Emission Factors'!$E$27),"--")</f>
        <v>3.4036200000000003E-4</v>
      </c>
      <c r="Q29" s="279" t="str">
        <f ca="1">IFERROR(INDEX('Emission Factors'!P$7:P$24,MATCH(OFFSET(Usage!$D28,0,-2),'Emission Factors'!$B$7:$B$24,0))*INDEX(Usage!$K$5:$K$31,MATCH('Boiler Building Emissions'!$C29,Usage!$D$5:$D$31,0))*(1-'Emission Factors'!$E$27),"--")</f>
        <v>--</v>
      </c>
      <c r="R29" s="280" t="str">
        <f ca="1">IFERROR(INDEX('Emission Factors'!Q$7:Q$24,MATCH(OFFSET(Usage!$D28,0,-2),'Emission Factors'!$B$7:$B$24,0))*INDEX(Usage!$K$5:$K$31,MATCH('Boiler Building Emissions'!$C29,Usage!$D$5:$D$31,0))*(1-'Emission Factors'!$E$27),"--")</f>
        <v>--</v>
      </c>
      <c r="S29" s="292">
        <f ca="1">IFERROR(INDEX('Emission Factors'!R$7:R$24,MATCH(OFFSET(Usage!$D28,0,-2),'Emission Factors'!$B$7:$B$24,0))*INDEX(Usage!$K$5:$K$31,MATCH('Boiler Building Emissions'!$C29,Usage!$D$5:$D$31,0))*(1-'Emission Factors'!$E$27),"--")</f>
        <v>6.2399699999999991E-5</v>
      </c>
      <c r="T29" s="292">
        <f ca="1">IFERROR(INDEX('Emission Factors'!S$7:S$24,MATCH(OFFSET(Usage!$D28,0,-2),'Emission Factors'!$B$7:$B$24,0))*INDEX(Usage!$K$5:$K$31,MATCH('Boiler Building Emissions'!$C29,Usage!$D$5:$D$31,0))*(1-'Emission Factors'!$E$27),"--")</f>
        <v>9.3609305033871796E-5</v>
      </c>
    </row>
    <row r="30" spans="2:20" x14ac:dyDescent="0.25">
      <c r="B30" s="190" t="s">
        <v>66</v>
      </c>
      <c r="C30" s="226" t="s">
        <v>91</v>
      </c>
      <c r="D30" s="279">
        <f ca="1">IFERROR(INDEX('Emission Factors'!C$7:C$24,MATCH(OFFSET(Usage!$D29,0,-2),'Emission Factors'!$B$7:$B$24,0))*INDEX(Usage!$K$5:$K$31,MATCH('Boiler Building Emissions'!$C30,Usage!$D$5:$D$31,0))*(1-'Emission Factors'!$E$27),"--")</f>
        <v>0</v>
      </c>
      <c r="E30" s="279" t="str">
        <f ca="1">IFERROR(INDEX('Emission Factors'!D$7:D$24,MATCH(OFFSET(Usage!$D29,0,-2),'Emission Factors'!$B$7:$B$24,0))*INDEX(Usage!$K$5:$K$31,MATCH('Boiler Building Emissions'!$C30,Usage!$D$5:$D$31,0))*(1-'Emission Factors'!$E$27),"--")</f>
        <v>--</v>
      </c>
      <c r="F30" s="279" t="str">
        <f ca="1">IFERROR(INDEX('Emission Factors'!E$7:E$24,MATCH(OFFSET(Usage!$D29,0,-2),'Emission Factors'!$B$7:$B$24,0))*INDEX(Usage!$K$5:$K$31,MATCH('Boiler Building Emissions'!$C30,Usage!$D$5:$D$31,0))*(1-'Emission Factors'!$E$27),"--")</f>
        <v>--</v>
      </c>
      <c r="G30" s="279" t="str">
        <f ca="1">IFERROR(INDEX('Emission Factors'!F$7:F$24,MATCH(OFFSET(Usage!$D29,0,-2),'Emission Factors'!$B$7:$B$24,0))*INDEX(Usage!$K$5:$K$31,MATCH('Boiler Building Emissions'!$C30,Usage!$D$5:$D$31,0))*(1-'Emission Factors'!$E$27),"--")</f>
        <v>--</v>
      </c>
      <c r="H30" s="279">
        <f ca="1">IFERROR(INDEX('Emission Factors'!G$7:G$24,MATCH(OFFSET(Usage!$D29,0,-2),'Emission Factors'!$B$7:$B$24,0))*INDEX(Usage!$K$5:$K$31,MATCH('Boiler Building Emissions'!$C30,Usage!$D$5:$D$31,0))*(1-'Emission Factors'!$E$27),"--")</f>
        <v>0</v>
      </c>
      <c r="I30" s="279">
        <f ca="1">IFERROR(INDEX('Emission Factors'!H$7:H$24,MATCH(OFFSET(Usage!$D29,0,-2),'Emission Factors'!$B$7:$B$24,0))*INDEX(Usage!$K$5:$K$31,MATCH('Boiler Building Emissions'!$C30,Usage!$D$5:$D$31,0))*(1-'Emission Factors'!$E$27),"--")</f>
        <v>0</v>
      </c>
      <c r="J30" s="279">
        <f ca="1">IFERROR(INDEX('Emission Factors'!I$7:I$24,MATCH(OFFSET(Usage!$D29,0,-2),'Emission Factors'!$B$7:$B$24,0))*INDEX(Usage!$K$5:$K$31,MATCH('Boiler Building Emissions'!$C30,Usage!$D$5:$D$31,0))*(1-'Emission Factors'!$E$27),"--")</f>
        <v>0</v>
      </c>
      <c r="K30" s="279">
        <f ca="1">IFERROR(INDEX('Emission Factors'!J$7:J$24,MATCH(OFFSET(Usage!$D29,0,-2),'Emission Factors'!$B$7:$B$24,0))*INDEX(Usage!$K$5:$K$31,MATCH('Boiler Building Emissions'!$C30,Usage!$D$5:$D$31,0))*(1-'Emission Factors'!$E$27),"--")</f>
        <v>0</v>
      </c>
      <c r="L30" s="279">
        <f ca="1">IFERROR(INDEX('Emission Factors'!K$7:K$24,MATCH(OFFSET(Usage!$D29,0,-2),'Emission Factors'!$B$7:$B$24,0))*INDEX(Usage!$K$5:$K$31,MATCH('Boiler Building Emissions'!$C30,Usage!$D$5:$D$31,0))*(1-'Emission Factors'!$E$27),"--")</f>
        <v>0</v>
      </c>
      <c r="M30" s="279">
        <f ca="1">IFERROR(INDEX('Emission Factors'!L$7:L$24,MATCH(OFFSET(Usage!$D29,0,-2),'Emission Factors'!$B$7:$B$24,0))*INDEX(Usage!$K$5:$K$31,MATCH('Boiler Building Emissions'!$C30,Usage!$D$5:$D$31,0))*(1-'Emission Factors'!$E$27),"--")</f>
        <v>0</v>
      </c>
      <c r="N30" s="279">
        <f ca="1">IFERROR(INDEX('Emission Factors'!M$7:M$24,MATCH(OFFSET(Usage!$D29,0,-2),'Emission Factors'!$B$7:$B$24,0))*INDEX(Usage!$K$5:$K$31,MATCH('Boiler Building Emissions'!$C30,Usage!$D$5:$D$31,0))*(1-'Emission Factors'!$E$27),"--")</f>
        <v>0</v>
      </c>
      <c r="O30" s="279" t="str">
        <f ca="1">IFERROR(INDEX('Emission Factors'!N$7:N$24,MATCH(OFFSET(Usage!$D29,0,-2),'Emission Factors'!$B$7:$B$24,0))*INDEX(Usage!$K$5:$K$31,MATCH('Boiler Building Emissions'!$C30,Usage!$D$5:$D$31,0))*(1-'Emission Factors'!$E$27),"--")</f>
        <v>--</v>
      </c>
      <c r="P30" s="279">
        <f ca="1">IFERROR(INDEX('Emission Factors'!O$7:O$24,MATCH(OFFSET(Usage!$D29,0,-2),'Emission Factors'!$B$7:$B$24,0))*INDEX(Usage!$K$5:$K$31,MATCH('Boiler Building Emissions'!$C30,Usage!$D$5:$D$31,0))*(1-'Emission Factors'!$E$27),"--")</f>
        <v>0</v>
      </c>
      <c r="Q30" s="279">
        <f ca="1">IFERROR(INDEX('Emission Factors'!P$7:P$24,MATCH(OFFSET(Usage!$D29,0,-2),'Emission Factors'!$B$7:$B$24,0))*INDEX(Usage!$K$5:$K$31,MATCH('Boiler Building Emissions'!$C30,Usage!$D$5:$D$31,0))*(1-'Emission Factors'!$E$27),"--")</f>
        <v>0</v>
      </c>
      <c r="R30" s="280" t="str">
        <f ca="1">IFERROR(INDEX('Emission Factors'!Q$7:Q$24,MATCH(OFFSET(Usage!$D29,0,-2),'Emission Factors'!$B$7:$B$24,0))*INDEX(Usage!$K$5:$K$31,MATCH('Boiler Building Emissions'!$C30,Usage!$D$5:$D$31,0))*(1-'Emission Factors'!$E$27),"--")</f>
        <v>--</v>
      </c>
      <c r="S30" s="292" t="str">
        <f ca="1">IFERROR(INDEX('Emission Factors'!R$7:R$24,MATCH(OFFSET(Usage!$D29,0,-2),'Emission Factors'!$B$7:$B$24,0))*INDEX(Usage!$K$5:$K$31,MATCH('Boiler Building Emissions'!$C30,Usage!$D$5:$D$31,0))*(1-'Emission Factors'!$E$27),"--")</f>
        <v>--</v>
      </c>
      <c r="T30" s="292">
        <f ca="1">IFERROR(INDEX('Emission Factors'!S$7:S$24,MATCH(OFFSET(Usage!$D29,0,-2),'Emission Factors'!$B$7:$B$24,0))*INDEX(Usage!$K$5:$K$31,MATCH('Boiler Building Emissions'!$C30,Usage!$D$5:$D$31,0))*(1-'Emission Factors'!$E$27),"--")</f>
        <v>0</v>
      </c>
    </row>
    <row r="31" spans="2:20" x14ac:dyDescent="0.25">
      <c r="B31" s="190" t="s">
        <v>46</v>
      </c>
      <c r="C31" s="226" t="s">
        <v>168</v>
      </c>
      <c r="D31" s="279">
        <f ca="1">IFERROR(INDEX('Emission Factors'!C$7:C$24,MATCH(OFFSET(Usage!$D30,0,-2),'Emission Factors'!$B$7:$B$24,0))*INDEX(Usage!$K$5:$K$31,MATCH('Boiler Building Emissions'!$C31,Usage!$D$5:$D$31,0))*(1-'Emission Factors'!$E$27),"--")</f>
        <v>7.7999625000000006E-5</v>
      </c>
      <c r="E31" s="279" t="str">
        <f ca="1">IFERROR(INDEX('Emission Factors'!D$7:D$24,MATCH(OFFSET(Usage!$D30,0,-2),'Emission Factors'!$B$7:$B$24,0))*INDEX(Usage!$K$5:$K$31,MATCH('Boiler Building Emissions'!$C31,Usage!$D$5:$D$31,0))*(1-'Emission Factors'!$E$27),"--")</f>
        <v>--</v>
      </c>
      <c r="F31" s="279" t="str">
        <f ca="1">IFERROR(INDEX('Emission Factors'!E$7:E$24,MATCH(OFFSET(Usage!$D30,0,-2),'Emission Factors'!$B$7:$B$24,0))*INDEX(Usage!$K$5:$K$31,MATCH('Boiler Building Emissions'!$C31,Usage!$D$5:$D$31,0))*(1-'Emission Factors'!$E$27),"--")</f>
        <v>--</v>
      </c>
      <c r="G31" s="279" t="str">
        <f ca="1">IFERROR(INDEX('Emission Factors'!F$7:F$24,MATCH(OFFSET(Usage!$D30,0,-2),'Emission Factors'!$B$7:$B$24,0))*INDEX(Usage!$K$5:$K$31,MATCH('Boiler Building Emissions'!$C31,Usage!$D$5:$D$31,0))*(1-'Emission Factors'!$E$27),"--")</f>
        <v>--</v>
      </c>
      <c r="H31" s="279">
        <f ca="1">IFERROR(INDEX('Emission Factors'!G$7:G$24,MATCH(OFFSET(Usage!$D30,0,-2),'Emission Factors'!$B$7:$B$24,0))*INDEX(Usage!$K$5:$K$31,MATCH('Boiler Building Emissions'!$C31,Usage!$D$5:$D$31,0))*(1-'Emission Factors'!$E$27),"--")</f>
        <v>7.7999625000000006E-5</v>
      </c>
      <c r="I31" s="279">
        <f ca="1">IFERROR(INDEX('Emission Factors'!H$7:H$24,MATCH(OFFSET(Usage!$D30,0,-2),'Emission Factors'!$B$7:$B$24,0))*INDEX(Usage!$K$5:$K$31,MATCH('Boiler Building Emissions'!$C31,Usage!$D$5:$D$31,0))*(1-'Emission Factors'!$E$27),"--")</f>
        <v>2.1272625000000006E-3</v>
      </c>
      <c r="J31" s="279">
        <f ca="1">IFERROR(INDEX('Emission Factors'!I$7:I$24,MATCH(OFFSET(Usage!$D30,0,-2),'Emission Factors'!$B$7:$B$24,0))*INDEX(Usage!$K$5:$K$31,MATCH('Boiler Building Emissions'!$C31,Usage!$D$5:$D$31,0))*(1-'Emission Factors'!$E$27),"--")</f>
        <v>1.1699943750000004E-3</v>
      </c>
      <c r="K31" s="279">
        <f ca="1">IFERROR(INDEX('Emission Factors'!J$7:J$24,MATCH(OFFSET(Usage!$D30,0,-2),'Emission Factors'!$B$7:$B$24,0))*INDEX(Usage!$K$5:$K$31,MATCH('Boiler Building Emissions'!$C31,Usage!$D$5:$D$31,0))*(1-'Emission Factors'!$E$27),"--")</f>
        <v>7.7999625000000006E-5</v>
      </c>
      <c r="L31" s="279">
        <f ca="1">IFERROR(INDEX('Emission Factors'!K$7:K$24,MATCH(OFFSET(Usage!$D30,0,-2),'Emission Factors'!$B$7:$B$24,0))*INDEX(Usage!$K$5:$K$31,MATCH('Boiler Building Emissions'!$C31,Usage!$D$5:$D$31,0))*(1-'Emission Factors'!$E$27),"--")</f>
        <v>7.7999625000000006E-5</v>
      </c>
      <c r="M31" s="279">
        <f ca="1">IFERROR(INDEX('Emission Factors'!L$7:L$24,MATCH(OFFSET(Usage!$D30,0,-2),'Emission Factors'!$B$7:$B$24,0))*INDEX(Usage!$K$5:$K$31,MATCH('Boiler Building Emissions'!$C31,Usage!$D$5:$D$31,0))*(1-'Emission Factors'!$E$27),"--")</f>
        <v>4.9636124999999998E-3</v>
      </c>
      <c r="N31" s="279" t="str">
        <f ca="1">IFERROR(INDEX('Emission Factors'!M$7:M$24,MATCH(OFFSET(Usage!$D30,0,-2),'Emission Factors'!$B$7:$B$24,0))*INDEX(Usage!$K$5:$K$31,MATCH('Boiler Building Emissions'!$C31,Usage!$D$5:$D$31,0))*(1-'Emission Factors'!$E$27),"--")</f>
        <v>--</v>
      </c>
      <c r="O31" s="279" t="str">
        <f ca="1">IFERROR(INDEX('Emission Factors'!N$7:N$24,MATCH(OFFSET(Usage!$D30,0,-2),'Emission Factors'!$B$7:$B$24,0))*INDEX(Usage!$K$5:$K$31,MATCH('Boiler Building Emissions'!$C31,Usage!$D$5:$D$31,0))*(1-'Emission Factors'!$E$27),"--")</f>
        <v>--</v>
      </c>
      <c r="P31" s="279">
        <f ca="1">IFERROR(INDEX('Emission Factors'!O$7:O$24,MATCH(OFFSET(Usage!$D30,0,-2),'Emission Factors'!$B$7:$B$24,0))*INDEX(Usage!$K$5:$K$31,MATCH('Boiler Building Emissions'!$C31,Usage!$D$5:$D$31,0))*(1-'Emission Factors'!$E$27),"--")</f>
        <v>7.7999625000000006E-5</v>
      </c>
      <c r="Q31" s="279">
        <f ca="1">IFERROR(INDEX('Emission Factors'!P$7:P$24,MATCH(OFFSET(Usage!$D30,0,-2),'Emission Factors'!$B$7:$B$24,0))*INDEX(Usage!$K$5:$K$31,MATCH('Boiler Building Emissions'!$C31,Usage!$D$5:$D$31,0))*(1-'Emission Factors'!$E$27),"--")</f>
        <v>7.7999625000000006E-5</v>
      </c>
      <c r="R31" s="280">
        <f ca="1">IFERROR(INDEX('Emission Factors'!Q$7:Q$24,MATCH(OFFSET(Usage!$D30,0,-2),'Emission Factors'!$B$7:$B$24,0))*INDEX(Usage!$K$5:$K$31,MATCH('Boiler Building Emissions'!$C31,Usage!$D$5:$D$31,0))*(1-'Emission Factors'!$E$27),"--")</f>
        <v>7.7999625000000006E-5</v>
      </c>
      <c r="S31" s="292">
        <f ca="1">IFERROR(INDEX('Emission Factors'!R$7:R$24,MATCH(OFFSET(Usage!$D30,0,-2),'Emission Factors'!$B$7:$B$24,0))*INDEX(Usage!$K$5:$K$31,MATCH('Boiler Building Emissions'!$C31,Usage!$D$5:$D$31,0))*(1-'Emission Factors'!$E$27),"--")</f>
        <v>4.3807629991478173E-4</v>
      </c>
      <c r="T31" s="292">
        <f ca="1">IFERROR(INDEX('Emission Factors'!S$7:S$24,MATCH(OFFSET(Usage!$D30,0,-2),'Emission Factors'!$B$7:$B$24,0))*INDEX(Usage!$K$5:$K$31,MATCH('Boiler Building Emissions'!$C31,Usage!$D$5:$D$31,0))*(1-'Emission Factors'!$E$27),"--")</f>
        <v>1.5956131539864515E-3</v>
      </c>
    </row>
    <row r="32" spans="2:20" ht="13" thickBot="1" x14ac:dyDescent="0.3">
      <c r="B32" s="190" t="s">
        <v>51</v>
      </c>
      <c r="C32" s="282" t="s">
        <v>165</v>
      </c>
      <c r="D32" s="283" t="str">
        <f ca="1">IFERROR(INDEX('Emission Factors'!C$7:C$24,MATCH(OFFSET(Usage!$D31,0,-2),'Emission Factors'!$B$7:$B$24,0))*INDEX(Usage!$K$5:$K$31,MATCH('Boiler Building Emissions'!$C32,Usage!$D$5:$D$31,0))*(1-'Emission Factors'!$E$27),"--")</f>
        <v>--</v>
      </c>
      <c r="E32" s="283" t="str">
        <f ca="1">IFERROR(INDEX('Emission Factors'!D$7:D$24,MATCH(OFFSET(Usage!$D31,0,-2),'Emission Factors'!$B$7:$B$24,0))*INDEX(Usage!$K$5:$K$31,MATCH('Boiler Building Emissions'!$C32,Usage!$D$5:$D$31,0))*(1-'Emission Factors'!$E$27),"--")</f>
        <v>--</v>
      </c>
      <c r="F32" s="283" t="str">
        <f ca="1">IFERROR(INDEX('Emission Factors'!E$7:E$24,MATCH(OFFSET(Usage!$D31,0,-2),'Emission Factors'!$B$7:$B$24,0))*INDEX(Usage!$K$5:$K$31,MATCH('Boiler Building Emissions'!$C32,Usage!$D$5:$D$31,0))*(1-'Emission Factors'!$E$27),"--")</f>
        <v>--</v>
      </c>
      <c r="G32" s="283" t="str">
        <f ca="1">IFERROR(INDEX('Emission Factors'!F$7:F$24,MATCH(OFFSET(Usage!$D31,0,-2),'Emission Factors'!$B$7:$B$24,0))*INDEX(Usage!$K$5:$K$31,MATCH('Boiler Building Emissions'!$C32,Usage!$D$5:$D$31,0))*(1-'Emission Factors'!$E$27),"--")</f>
        <v>--</v>
      </c>
      <c r="H32" s="283" t="str">
        <f ca="1">IFERROR(INDEX('Emission Factors'!G$7:G$24,MATCH(OFFSET(Usage!$D31,0,-2),'Emission Factors'!$B$7:$B$24,0))*INDEX(Usage!$K$5:$K$31,MATCH('Boiler Building Emissions'!$C32,Usage!$D$5:$D$31,0))*(1-'Emission Factors'!$E$27),"--")</f>
        <v>--</v>
      </c>
      <c r="I32" s="283" t="str">
        <f ca="1">IFERROR(INDEX('Emission Factors'!H$7:H$24,MATCH(OFFSET(Usage!$D31,0,-2),'Emission Factors'!$B$7:$B$24,0))*INDEX(Usage!$K$5:$K$31,MATCH('Boiler Building Emissions'!$C32,Usage!$D$5:$D$31,0))*(1-'Emission Factors'!$E$27),"--")</f>
        <v>--</v>
      </c>
      <c r="J32" s="283" t="str">
        <f ca="1">IFERROR(INDEX('Emission Factors'!I$7:I$24,MATCH(OFFSET(Usage!$D31,0,-2),'Emission Factors'!$B$7:$B$24,0))*INDEX(Usage!$K$5:$K$31,MATCH('Boiler Building Emissions'!$C32,Usage!$D$5:$D$31,0))*(1-'Emission Factors'!$E$27),"--")</f>
        <v>--</v>
      </c>
      <c r="K32" s="283">
        <f ca="1">IFERROR(INDEX('Emission Factors'!J$7:J$24,MATCH(OFFSET(Usage!$D31,0,-2),'Emission Factors'!$B$7:$B$24,0))*INDEX(Usage!$K$5:$K$31,MATCH('Boiler Building Emissions'!$C32,Usage!$D$5:$D$31,0))*(1-'Emission Factors'!$E$27),"--")</f>
        <v>0.99000000000000021</v>
      </c>
      <c r="L32" s="283" t="str">
        <f ca="1">IFERROR(INDEX('Emission Factors'!K$7:K$24,MATCH(OFFSET(Usage!$D31,0,-2),'Emission Factors'!$B$7:$B$24,0))*INDEX(Usage!$K$5:$K$31,MATCH('Boiler Building Emissions'!$C32,Usage!$D$5:$D$31,0))*(1-'Emission Factors'!$E$27),"--")</f>
        <v>--</v>
      </c>
      <c r="M32" s="283" t="str">
        <f ca="1">IFERROR(INDEX('Emission Factors'!L$7:L$24,MATCH(OFFSET(Usage!$D31,0,-2),'Emission Factors'!$B$7:$B$24,0))*INDEX(Usage!$K$5:$K$31,MATCH('Boiler Building Emissions'!$C32,Usage!$D$5:$D$31,0))*(1-'Emission Factors'!$E$27),"--")</f>
        <v>--</v>
      </c>
      <c r="N32" s="283" t="str">
        <f ca="1">IFERROR(INDEX('Emission Factors'!M$7:M$24,MATCH(OFFSET(Usage!$D31,0,-2),'Emission Factors'!$B$7:$B$24,0))*INDEX(Usage!$K$5:$K$31,MATCH('Boiler Building Emissions'!$C32,Usage!$D$5:$D$31,0))*(1-'Emission Factors'!$E$27),"--")</f>
        <v>--</v>
      </c>
      <c r="O32" s="283" t="str">
        <f ca="1">IFERROR(INDEX('Emission Factors'!N$7:N$24,MATCH(OFFSET(Usage!$D31,0,-2),'Emission Factors'!$B$7:$B$24,0))*INDEX(Usage!$K$5:$K$31,MATCH('Boiler Building Emissions'!$C32,Usage!$D$5:$D$31,0))*(1-'Emission Factors'!$E$27),"--")</f>
        <v>--</v>
      </c>
      <c r="P32" s="283">
        <f ca="1">IFERROR(INDEX('Emission Factors'!O$7:O$24,MATCH(OFFSET(Usage!$D31,0,-2),'Emission Factors'!$B$7:$B$24,0))*INDEX(Usage!$K$5:$K$31,MATCH('Boiler Building Emissions'!$C32,Usage!$D$5:$D$31,0))*(1-'Emission Factors'!$E$27),"--")</f>
        <v>2.7225000000000003E-2</v>
      </c>
      <c r="Q32" s="283" t="str">
        <f ca="1">IFERROR(INDEX('Emission Factors'!P$7:P$24,MATCH(OFFSET(Usage!$D31,0,-2),'Emission Factors'!$B$7:$B$24,0))*INDEX(Usage!$K$5:$K$31,MATCH('Boiler Building Emissions'!$C32,Usage!$D$5:$D$31,0))*(1-'Emission Factors'!$E$27),"--")</f>
        <v>--</v>
      </c>
      <c r="R32" s="284" t="str">
        <f ca="1">IFERROR(INDEX('Emission Factors'!Q$7:Q$24,MATCH(OFFSET(Usage!$D31,0,-2),'Emission Factors'!$B$7:$B$24,0))*INDEX(Usage!$K$5:$K$31,MATCH('Boiler Building Emissions'!$C32,Usage!$D$5:$D$31,0))*(1-'Emission Factors'!$E$27),"--")</f>
        <v>--</v>
      </c>
      <c r="S32" s="293" t="str">
        <f ca="1">IFERROR(INDEX('Emission Factors'!R$7:R$24,MATCH(OFFSET(Usage!$D31,0,-2),'Emission Factors'!$B$7:$B$24,0))*INDEX(Usage!$K$5:$K$31,MATCH('Boiler Building Emissions'!$C32,Usage!$D$5:$D$31,0))*(1-'Emission Factors'!$E$27),"--")</f>
        <v>--</v>
      </c>
      <c r="T32" s="293" t="str">
        <f ca="1">IFERROR(INDEX('Emission Factors'!S$7:S$24,MATCH(OFFSET(Usage!$D31,0,-2),'Emission Factors'!$B$7:$B$24,0))*INDEX(Usage!$K$5:$K$31,MATCH('Boiler Building Emissions'!$C32,Usage!$D$5:$D$31,0))*(1-'Emission Factors'!$E$27),"--")</f>
        <v>--</v>
      </c>
    </row>
    <row r="33" spans="2:20" ht="13" thickBot="1" x14ac:dyDescent="0.3">
      <c r="B33" s="101"/>
      <c r="C33" s="286" t="s">
        <v>158</v>
      </c>
      <c r="D33" s="524">
        <f ca="1">SUM(D6:D32,E6:E32)</f>
        <v>5.5191990955265888E-4</v>
      </c>
      <c r="E33" s="524"/>
      <c r="F33" s="287">
        <f t="shared" ref="F33:S33" ca="1" si="0">SUM(F6:F32)</f>
        <v>0</v>
      </c>
      <c r="G33" s="287">
        <f t="shared" ca="1" si="0"/>
        <v>0</v>
      </c>
      <c r="H33" s="287">
        <f t="shared" ca="1" si="0"/>
        <v>1.0769962500000001E-4</v>
      </c>
      <c r="I33" s="287">
        <f t="shared" ca="1" si="0"/>
        <v>6.0585820019999986E-2</v>
      </c>
      <c r="J33" s="287">
        <f t="shared" ca="1" si="0"/>
        <v>6.288523461000001E-3</v>
      </c>
      <c r="K33" s="548">
        <f t="shared" ca="1" si="0"/>
        <v>0.99067030023060021</v>
      </c>
      <c r="L33" s="549">
        <f t="shared" ca="1" si="0"/>
        <v>8.2470668444999992E-2</v>
      </c>
      <c r="M33" s="518">
        <f t="shared" ca="1" si="0"/>
        <v>1.3841582040000001E-2</v>
      </c>
      <c r="N33" s="287">
        <f t="shared" ca="1" si="0"/>
        <v>1.0575298800000001E-4</v>
      </c>
      <c r="O33" s="287">
        <f t="shared" ca="1" si="0"/>
        <v>0</v>
      </c>
      <c r="P33" s="548">
        <f t="shared" ca="1" si="0"/>
        <v>3.543386756950806E-2</v>
      </c>
      <c r="Q33" s="287">
        <f t="shared" ca="1" si="0"/>
        <v>1.54407403656E-4</v>
      </c>
      <c r="R33" s="288">
        <f t="shared" ca="1" si="0"/>
        <v>7.7999625000000006E-5</v>
      </c>
      <c r="S33" s="550">
        <f t="shared" ca="1" si="0"/>
        <v>4.887666640759852E-3</v>
      </c>
      <c r="T33" s="289">
        <f t="shared" ref="T33" ca="1" si="1">SUM(T6:T32)</f>
        <v>4.3166585792884125E-3</v>
      </c>
    </row>
  </sheetData>
  <mergeCells count="1">
    <mergeCell ref="D4:S4"/>
  </mergeCells>
  <pageMargins left="0.7" right="0.7" top="0.75" bottom="0.75" header="0.3" footer="0.3"/>
  <pageSetup orientation="portrait" horizontalDpi="1200" verticalDpi="12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C4B03-CEFF-4A47-B8CC-19FC0B85744A}">
  <sheetPr>
    <tabColor rgb="FFFFFF00"/>
  </sheetPr>
  <dimension ref="B1:T33"/>
  <sheetViews>
    <sheetView zoomScale="60" zoomScaleNormal="60" workbookViewId="0">
      <selection activeCell="U35" sqref="U35"/>
    </sheetView>
  </sheetViews>
  <sheetFormatPr defaultColWidth="11.1796875" defaultRowHeight="12.5" x14ac:dyDescent="0.25"/>
  <cols>
    <col min="1" max="1" width="11.1796875" style="290"/>
    <col min="2" max="2" width="16.1796875" style="290" hidden="1" customWidth="1"/>
    <col min="3" max="3" width="26.1796875" style="290" customWidth="1"/>
    <col min="4" max="4" width="11" style="290" customWidth="1"/>
    <col min="5" max="12" width="11.1796875" style="290"/>
    <col min="13" max="13" width="10" style="290" customWidth="1"/>
    <col min="14" max="19" width="11.1796875" style="290"/>
    <col min="20" max="20" width="13.54296875" style="290" customWidth="1"/>
    <col min="21" max="16384" width="11.1796875" style="290"/>
  </cols>
  <sheetData>
    <row r="1" spans="2:20" x14ac:dyDescent="0.25">
      <c r="B1" s="101"/>
      <c r="C1" s="101"/>
      <c r="D1" s="101"/>
      <c r="E1" s="101"/>
      <c r="F1" s="101"/>
      <c r="G1" s="101"/>
      <c r="H1" s="101"/>
      <c r="I1" s="101"/>
      <c r="J1" s="101"/>
      <c r="K1" s="101"/>
      <c r="L1" s="101"/>
      <c r="M1" s="101"/>
      <c r="N1" s="101"/>
      <c r="O1" s="101"/>
      <c r="P1" s="101"/>
      <c r="Q1" s="101"/>
      <c r="R1" s="101"/>
      <c r="S1" s="101"/>
      <c r="T1" s="101"/>
    </row>
    <row r="2" spans="2:20" x14ac:dyDescent="0.25">
      <c r="B2" s="101"/>
      <c r="C2" s="100" t="s">
        <v>170</v>
      </c>
      <c r="D2" s="101"/>
      <c r="E2" s="101"/>
      <c r="F2" s="101"/>
      <c r="G2" s="101"/>
      <c r="H2" s="101"/>
      <c r="I2" s="101"/>
      <c r="J2" s="101"/>
      <c r="K2" s="101"/>
      <c r="L2" s="101"/>
      <c r="M2" s="101"/>
      <c r="N2" s="101"/>
      <c r="O2" s="101"/>
      <c r="P2" s="101"/>
      <c r="Q2" s="101"/>
      <c r="R2" s="101"/>
      <c r="S2" s="101"/>
      <c r="T2" s="101"/>
    </row>
    <row r="3" spans="2:20" ht="7" customHeight="1" thickBot="1" x14ac:dyDescent="0.3">
      <c r="B3" s="101"/>
      <c r="C3" s="101"/>
      <c r="D3" s="101"/>
      <c r="E3" s="101"/>
      <c r="F3" s="101"/>
      <c r="G3" s="101"/>
      <c r="H3" s="101"/>
      <c r="I3" s="101"/>
      <c r="J3" s="101"/>
      <c r="K3" s="101"/>
      <c r="L3" s="101"/>
      <c r="M3" s="101"/>
      <c r="N3" s="101"/>
      <c r="O3" s="101"/>
      <c r="P3" s="101"/>
      <c r="Q3" s="101"/>
      <c r="R3" s="101"/>
      <c r="S3" s="101"/>
      <c r="T3" s="101"/>
    </row>
    <row r="4" spans="2:20" ht="13" thickBot="1" x14ac:dyDescent="0.3">
      <c r="B4" s="101"/>
      <c r="C4" s="101"/>
      <c r="D4" s="611" t="s">
        <v>1</v>
      </c>
      <c r="E4" s="612"/>
      <c r="F4" s="612"/>
      <c r="G4" s="612"/>
      <c r="H4" s="612"/>
      <c r="I4" s="612"/>
      <c r="J4" s="612"/>
      <c r="K4" s="612"/>
      <c r="L4" s="612"/>
      <c r="M4" s="612"/>
      <c r="N4" s="612"/>
      <c r="O4" s="612"/>
      <c r="P4" s="612"/>
      <c r="Q4" s="612"/>
      <c r="R4" s="612"/>
      <c r="S4" s="613"/>
      <c r="T4" s="101"/>
    </row>
    <row r="5" spans="2:20" ht="25.5" thickBot="1" x14ac:dyDescent="0.3">
      <c r="B5" s="101"/>
      <c r="C5" s="101"/>
      <c r="D5" s="242" t="s">
        <v>2</v>
      </c>
      <c r="E5" s="243" t="s">
        <v>3</v>
      </c>
      <c r="F5" s="243" t="s">
        <v>4</v>
      </c>
      <c r="G5" s="243" t="s">
        <v>5</v>
      </c>
      <c r="H5" s="243" t="s">
        <v>6</v>
      </c>
      <c r="I5" s="243" t="s">
        <v>7</v>
      </c>
      <c r="J5" s="243" t="s">
        <v>8</v>
      </c>
      <c r="K5" s="243" t="s">
        <v>9</v>
      </c>
      <c r="L5" s="243" t="s">
        <v>10</v>
      </c>
      <c r="M5" s="243" t="s">
        <v>11</v>
      </c>
      <c r="N5" s="243" t="s">
        <v>12</v>
      </c>
      <c r="O5" s="243" t="s">
        <v>13</v>
      </c>
      <c r="P5" s="244" t="s">
        <v>14</v>
      </c>
      <c r="Q5" s="243" t="s">
        <v>15</v>
      </c>
      <c r="R5" s="273" t="s">
        <v>16</v>
      </c>
      <c r="S5" s="306" t="s">
        <v>17</v>
      </c>
      <c r="T5" s="523" t="s">
        <v>417</v>
      </c>
    </row>
    <row r="6" spans="2:20" x14ac:dyDescent="0.25">
      <c r="B6" s="224" t="s">
        <v>36</v>
      </c>
      <c r="C6" s="295" t="s">
        <v>64</v>
      </c>
      <c r="D6" s="296" t="str">
        <f ca="1">IFERROR(INDEX('Emission Factors'!C$7:C$24,MATCH(OFFSET(Usage!$D5,0,-2),'Emission Factors'!$B$7:$B$24,0))*INDEX(Usage!$I$5:$I$31,MATCH('In-Shop Emissions'!$C6,Usage!$D$5:$D$31,0))*(1-'Emission Factors'!$E$28),"--")</f>
        <v>--</v>
      </c>
      <c r="E6" s="199" t="str">
        <f ca="1">IFERROR(INDEX('Emission Factors'!D$7:D$24,MATCH(OFFSET(Usage!$D5,0,-2),'Emission Factors'!$B$7:$B$24,0))*INDEX(Usage!$I$5:$I$31,MATCH('In-Shop Emissions'!$C6,Usage!$D$5:$D$31,0))*(1-'Emission Factors'!$E$28),"--")</f>
        <v>--</v>
      </c>
      <c r="F6" s="199" t="str">
        <f ca="1">IFERROR(INDEX('Emission Factors'!E$7:E$24,MATCH(OFFSET(Usage!$D5,0,-2),'Emission Factors'!$B$7:$B$24,0))*INDEX(Usage!$I$5:$I$31,MATCH('In-Shop Emissions'!$C6,Usage!$D$5:$D$31,0))*(1-'Emission Factors'!$E$28),"--")</f>
        <v>--</v>
      </c>
      <c r="G6" s="199" t="str">
        <f ca="1">IFERROR(INDEX('Emission Factors'!F$7:F$24,MATCH(OFFSET(Usage!$D5,0,-2),'Emission Factors'!$B$7:$B$24,0))*INDEX(Usage!$I$5:$I$31,MATCH('In-Shop Emissions'!$C6,Usage!$D$5:$D$31,0))*(1-'Emission Factors'!$E$28),"--")</f>
        <v>--</v>
      </c>
      <c r="H6" s="199" t="str">
        <f ca="1">IFERROR(INDEX('Emission Factors'!G$7:G$24,MATCH(OFFSET(Usage!$D5,0,-2),'Emission Factors'!$B$7:$B$24,0))*INDEX(Usage!$I$5:$I$31,MATCH('In-Shop Emissions'!$C6,Usage!$D$5:$D$31,0))*(1-'Emission Factors'!$E$28),"--")</f>
        <v>--</v>
      </c>
      <c r="I6" s="199">
        <f ca="1">IFERROR(INDEX('Emission Factors'!H$7:H$24,MATCH(OFFSET(Usage!$D5,0,-2),'Emission Factors'!$B$7:$B$24,0))*INDEX(Usage!$I$5:$I$31,MATCH('In-Shop Emissions'!$C6,Usage!$D$5:$D$31,0))*(1-'Emission Factors'!$E$28),"--")</f>
        <v>0</v>
      </c>
      <c r="J6" s="199">
        <f ca="1">IFERROR(INDEX('Emission Factors'!I$7:I$24,MATCH(OFFSET(Usage!$D5,0,-2),'Emission Factors'!$B$7:$B$24,0))*INDEX(Usage!$I$5:$I$31,MATCH('In-Shop Emissions'!$C6,Usage!$D$5:$D$31,0))*(1-'Emission Factors'!$E$28),"--")</f>
        <v>0</v>
      </c>
      <c r="K6" s="199">
        <f ca="1">IFERROR(INDEX('Emission Factors'!J$7:J$24,MATCH(OFFSET(Usage!$D5,0,-2),'Emission Factors'!$B$7:$B$24,0))*INDEX(Usage!$I$5:$I$31,MATCH('In-Shop Emissions'!$C6,Usage!$D$5:$D$31,0))*(1-'Emission Factors'!$E$28),"--")</f>
        <v>0</v>
      </c>
      <c r="L6" s="199">
        <f ca="1">IFERROR(INDEX('Emission Factors'!K$7:K$24,MATCH(OFFSET(Usage!$D5,0,-2),'Emission Factors'!$B$7:$B$24,0))*INDEX(Usage!$I$5:$I$31,MATCH('In-Shop Emissions'!$C6,Usage!$D$5:$D$31,0))*(1-'Emission Factors'!$E$28),"--")</f>
        <v>0</v>
      </c>
      <c r="M6" s="199">
        <f ca="1">IFERROR(INDEX('Emission Factors'!L$7:L$24,MATCH(OFFSET(Usage!$D5,0,-2),'Emission Factors'!$B$7:$B$24,0))*INDEX(Usage!$I$5:$I$31,MATCH('In-Shop Emissions'!$C6,Usage!$D$5:$D$31,0))*(1-'Emission Factors'!$E$28),"--")</f>
        <v>0</v>
      </c>
      <c r="N6" s="199">
        <f ca="1">IFERROR(INDEX('Emission Factors'!M$7:M$24,MATCH(OFFSET(Usage!$D5,0,-2),'Emission Factors'!$B$7:$B$24,0))*INDEX(Usage!$I$5:$I$31,MATCH('In-Shop Emissions'!$C6,Usage!$D$5:$D$31,0))*(1-'Emission Factors'!$E$28),"--")</f>
        <v>0</v>
      </c>
      <c r="O6" s="199" t="str">
        <f ca="1">IFERROR(INDEX('Emission Factors'!N$7:N$24,MATCH(OFFSET(Usage!$D5,0,-2),'Emission Factors'!$B$7:$B$24,0))*INDEX(Usage!$I$5:$I$31,MATCH('In-Shop Emissions'!$C6,Usage!$D$5:$D$31,0))*(1-'Emission Factors'!$E$28),"--")</f>
        <v>--</v>
      </c>
      <c r="P6" s="199">
        <f ca="1">IFERROR(INDEX('Emission Factors'!O$7:O$24,MATCH(OFFSET(Usage!$D5,0,-2),'Emission Factors'!$B$7:$B$24,0))*INDEX(Usage!$I$5:$I$31,MATCH('In-Shop Emissions'!$C6,Usage!$D$5:$D$31,0))*(1-'Emission Factors'!$E$28),"--")</f>
        <v>0</v>
      </c>
      <c r="Q6" s="199">
        <f ca="1">IFERROR(INDEX('Emission Factors'!P$7:P$24,MATCH(OFFSET(Usage!$D5,0,-2),'Emission Factors'!$B$7:$B$24,0))*INDEX(Usage!$I$5:$I$31,MATCH('In-Shop Emissions'!$C6,Usage!$D$5:$D$31,0))*(1-'Emission Factors'!$E$28),"--")</f>
        <v>0</v>
      </c>
      <c r="R6" s="297" t="str">
        <f ca="1">IFERROR(INDEX('Emission Factors'!Q$7:Q$24,MATCH(OFFSET(Usage!$D5,0,-2),'Emission Factors'!$B$7:$B$24,0))*INDEX(Usage!$I$5:$I$31,MATCH('In-Shop Emissions'!$C6,Usage!$D$5:$D$31,0))*(1-'Emission Factors'!$E$28),"--")</f>
        <v>--</v>
      </c>
      <c r="S6" s="298" t="str">
        <f ca="1">IFERROR(INDEX('Emission Factors'!R$7:R$24,MATCH(OFFSET(Usage!$D5,0,-2),'Emission Factors'!$B$7:$B$24,0))*INDEX(Usage!$I$5:$I$31,MATCH('In-Shop Emissions'!$C6,Usage!$D$5:$D$31,0))*(1-'Emission Factors'!$E$28),"--")</f>
        <v>--</v>
      </c>
      <c r="T6" s="298">
        <f ca="1">IFERROR(INDEX('Emission Factors'!S$7:S$24,MATCH(OFFSET(Usage!$D5,0,-2),'Emission Factors'!$B$7:$B$24,0))*INDEX(Usage!$I$5:$I$31,MATCH('In-Shop Emissions'!$C6,Usage!$D$5:$D$31,0))*(1-'Emission Factors'!$E$28),"--")</f>
        <v>0</v>
      </c>
    </row>
    <row r="7" spans="2:20" x14ac:dyDescent="0.25">
      <c r="B7" s="190" t="s">
        <v>66</v>
      </c>
      <c r="C7" s="299" t="s">
        <v>67</v>
      </c>
      <c r="D7" s="300">
        <f ca="1">IFERROR(INDEX('Emission Factors'!C$7:C$24,MATCH(OFFSET(Usage!$D6,0,-2),'Emission Factors'!$B$7:$B$24,0))*INDEX(Usage!$I$5:$I$31,MATCH('In-Shop Emissions'!$C7,Usage!$D$5:$D$31,0))*(1-'Emission Factors'!$E$28),"--")</f>
        <v>0</v>
      </c>
      <c r="E7" s="97" t="str">
        <f ca="1">IFERROR(INDEX('Emission Factors'!D$7:D$24,MATCH(OFFSET(Usage!$D6,0,-2),'Emission Factors'!$B$7:$B$24,0))*INDEX(Usage!$I$5:$I$31,MATCH('In-Shop Emissions'!$C7,Usage!$D$5:$D$31,0))*(1-'Emission Factors'!$E$28),"--")</f>
        <v>--</v>
      </c>
      <c r="F7" s="97" t="str">
        <f ca="1">IFERROR(INDEX('Emission Factors'!E$7:E$24,MATCH(OFFSET(Usage!$D6,0,-2),'Emission Factors'!$B$7:$B$24,0))*INDEX(Usage!$I$5:$I$31,MATCH('In-Shop Emissions'!$C7,Usage!$D$5:$D$31,0))*(1-'Emission Factors'!$E$28),"--")</f>
        <v>--</v>
      </c>
      <c r="G7" s="97" t="str">
        <f ca="1">IFERROR(INDEX('Emission Factors'!F$7:F$24,MATCH(OFFSET(Usage!$D6,0,-2),'Emission Factors'!$B$7:$B$24,0))*INDEX(Usage!$I$5:$I$31,MATCH('In-Shop Emissions'!$C7,Usage!$D$5:$D$31,0))*(1-'Emission Factors'!$E$28),"--")</f>
        <v>--</v>
      </c>
      <c r="H7" s="97">
        <f ca="1">IFERROR(INDEX('Emission Factors'!G$7:G$24,MATCH(OFFSET(Usage!$D6,0,-2),'Emission Factors'!$B$7:$B$24,0))*INDEX(Usage!$I$5:$I$31,MATCH('In-Shop Emissions'!$C7,Usage!$D$5:$D$31,0))*(1-'Emission Factors'!$E$28),"--")</f>
        <v>0</v>
      </c>
      <c r="I7" s="97">
        <f ca="1">IFERROR(INDEX('Emission Factors'!H$7:H$24,MATCH(OFFSET(Usage!$D6,0,-2),'Emission Factors'!$B$7:$B$24,0))*INDEX(Usage!$I$5:$I$31,MATCH('In-Shop Emissions'!$C7,Usage!$D$5:$D$31,0))*(1-'Emission Factors'!$E$28),"--")</f>
        <v>0</v>
      </c>
      <c r="J7" s="97">
        <f ca="1">IFERROR(INDEX('Emission Factors'!I$7:I$24,MATCH(OFFSET(Usage!$D6,0,-2),'Emission Factors'!$B$7:$B$24,0))*INDEX(Usage!$I$5:$I$31,MATCH('In-Shop Emissions'!$C7,Usage!$D$5:$D$31,0))*(1-'Emission Factors'!$E$28),"--")</f>
        <v>0</v>
      </c>
      <c r="K7" s="97">
        <f ca="1">IFERROR(INDEX('Emission Factors'!J$7:J$24,MATCH(OFFSET(Usage!$D6,0,-2),'Emission Factors'!$B$7:$B$24,0))*INDEX(Usage!$I$5:$I$31,MATCH('In-Shop Emissions'!$C7,Usage!$D$5:$D$31,0))*(1-'Emission Factors'!$E$28),"--")</f>
        <v>0</v>
      </c>
      <c r="L7" s="97">
        <f ca="1">IFERROR(INDEX('Emission Factors'!K$7:K$24,MATCH(OFFSET(Usage!$D6,0,-2),'Emission Factors'!$B$7:$B$24,0))*INDEX(Usage!$I$5:$I$31,MATCH('In-Shop Emissions'!$C7,Usage!$D$5:$D$31,0))*(1-'Emission Factors'!$E$28),"--")</f>
        <v>0</v>
      </c>
      <c r="M7" s="97">
        <f ca="1">IFERROR(INDEX('Emission Factors'!L$7:L$24,MATCH(OFFSET(Usage!$D6,0,-2),'Emission Factors'!$B$7:$B$24,0))*INDEX(Usage!$I$5:$I$31,MATCH('In-Shop Emissions'!$C7,Usage!$D$5:$D$31,0))*(1-'Emission Factors'!$E$28),"--")</f>
        <v>0</v>
      </c>
      <c r="N7" s="97">
        <f ca="1">IFERROR(INDEX('Emission Factors'!M$7:M$24,MATCH(OFFSET(Usage!$D6,0,-2),'Emission Factors'!$B$7:$B$24,0))*INDEX(Usage!$I$5:$I$31,MATCH('In-Shop Emissions'!$C7,Usage!$D$5:$D$31,0))*(1-'Emission Factors'!$E$28),"--")</f>
        <v>0</v>
      </c>
      <c r="O7" s="97" t="str">
        <f ca="1">IFERROR(INDEX('Emission Factors'!N$7:N$24,MATCH(OFFSET(Usage!$D6,0,-2),'Emission Factors'!$B$7:$B$24,0))*INDEX(Usage!$I$5:$I$31,MATCH('In-Shop Emissions'!$C7,Usage!$D$5:$D$31,0))*(1-'Emission Factors'!$E$28),"--")</f>
        <v>--</v>
      </c>
      <c r="P7" s="97">
        <f ca="1">IFERROR(INDEX('Emission Factors'!O$7:O$24,MATCH(OFFSET(Usage!$D6,0,-2),'Emission Factors'!$B$7:$B$24,0))*INDEX(Usage!$I$5:$I$31,MATCH('In-Shop Emissions'!$C7,Usage!$D$5:$D$31,0))*(1-'Emission Factors'!$E$28),"--")</f>
        <v>0</v>
      </c>
      <c r="Q7" s="97">
        <f ca="1">IFERROR(INDEX('Emission Factors'!P$7:P$24,MATCH(OFFSET(Usage!$D6,0,-2),'Emission Factors'!$B$7:$B$24,0))*INDEX(Usage!$I$5:$I$31,MATCH('In-Shop Emissions'!$C7,Usage!$D$5:$D$31,0))*(1-'Emission Factors'!$E$28),"--")</f>
        <v>0</v>
      </c>
      <c r="R7" s="301" t="str">
        <f ca="1">IFERROR(INDEX('Emission Factors'!Q$7:Q$24,MATCH(OFFSET(Usage!$D6,0,-2),'Emission Factors'!$B$7:$B$24,0))*INDEX(Usage!$I$5:$I$31,MATCH('In-Shop Emissions'!$C7,Usage!$D$5:$D$31,0))*(1-'Emission Factors'!$E$28),"--")</f>
        <v>--</v>
      </c>
      <c r="S7" s="281" t="str">
        <f ca="1">IFERROR(INDEX('Emission Factors'!R$7:R$24,MATCH(OFFSET(Usage!$D6,0,-2),'Emission Factors'!$B$7:$B$24,0))*INDEX(Usage!$I$5:$I$31,MATCH('In-Shop Emissions'!$C7,Usage!$D$5:$D$31,0))*(1-'Emission Factors'!$E$28),"--")</f>
        <v>--</v>
      </c>
      <c r="T7" s="281">
        <f ca="1">IFERROR(INDEX('Emission Factors'!S$7:S$24,MATCH(OFFSET(Usage!$D6,0,-2),'Emission Factors'!$B$7:$B$24,0))*INDEX(Usage!$I$5:$I$31,MATCH('In-Shop Emissions'!$C7,Usage!$D$5:$D$31,0))*(1-'Emission Factors'!$E$28),"--")</f>
        <v>0</v>
      </c>
    </row>
    <row r="8" spans="2:20" x14ac:dyDescent="0.25">
      <c r="B8" s="190" t="s">
        <v>36</v>
      </c>
      <c r="C8" s="299" t="s">
        <v>68</v>
      </c>
      <c r="D8" s="300" t="str">
        <f ca="1">IFERROR(INDEX('Emission Factors'!C$7:C$24,MATCH(OFFSET(Usage!$D7,0,-2),'Emission Factors'!$B$7:$B$24,0))*INDEX(Usage!$I$5:$I$31,MATCH('In-Shop Emissions'!$C8,Usage!$D$5:$D$31,0))*(1-'Emission Factors'!$E$28),"--")</f>
        <v>--</v>
      </c>
      <c r="E8" s="97" t="str">
        <f ca="1">IFERROR(INDEX('Emission Factors'!D$7:D$24,MATCH(OFFSET(Usage!$D7,0,-2),'Emission Factors'!$B$7:$B$24,0))*INDEX(Usage!$I$5:$I$31,MATCH('In-Shop Emissions'!$C8,Usage!$D$5:$D$31,0))*(1-'Emission Factors'!$E$28),"--")</f>
        <v>--</v>
      </c>
      <c r="F8" s="97" t="str">
        <f ca="1">IFERROR(INDEX('Emission Factors'!E$7:E$24,MATCH(OFFSET(Usage!$D7,0,-2),'Emission Factors'!$B$7:$B$24,0))*INDEX(Usage!$I$5:$I$31,MATCH('In-Shop Emissions'!$C8,Usage!$D$5:$D$31,0))*(1-'Emission Factors'!$E$28),"--")</f>
        <v>--</v>
      </c>
      <c r="G8" s="97" t="str">
        <f ca="1">IFERROR(INDEX('Emission Factors'!F$7:F$24,MATCH(OFFSET(Usage!$D7,0,-2),'Emission Factors'!$B$7:$B$24,0))*INDEX(Usage!$I$5:$I$31,MATCH('In-Shop Emissions'!$C8,Usage!$D$5:$D$31,0))*(1-'Emission Factors'!$E$28),"--")</f>
        <v>--</v>
      </c>
      <c r="H8" s="97" t="str">
        <f ca="1">IFERROR(INDEX('Emission Factors'!G$7:G$24,MATCH(OFFSET(Usage!$D7,0,-2),'Emission Factors'!$B$7:$B$24,0))*INDEX(Usage!$I$5:$I$31,MATCH('In-Shop Emissions'!$C8,Usage!$D$5:$D$31,0))*(1-'Emission Factors'!$E$28),"--")</f>
        <v>--</v>
      </c>
      <c r="I8" s="97">
        <f ca="1">IFERROR(INDEX('Emission Factors'!H$7:H$24,MATCH(OFFSET(Usage!$D7,0,-2),'Emission Factors'!$B$7:$B$24,0))*INDEX(Usage!$I$5:$I$31,MATCH('In-Shop Emissions'!$C8,Usage!$D$5:$D$31,0))*(1-'Emission Factors'!$E$28),"--")</f>
        <v>0</v>
      </c>
      <c r="J8" s="97">
        <f ca="1">IFERROR(INDEX('Emission Factors'!I$7:I$24,MATCH(OFFSET(Usage!$D7,0,-2),'Emission Factors'!$B$7:$B$24,0))*INDEX(Usage!$I$5:$I$31,MATCH('In-Shop Emissions'!$C8,Usage!$D$5:$D$31,0))*(1-'Emission Factors'!$E$28),"--")</f>
        <v>0</v>
      </c>
      <c r="K8" s="97">
        <f ca="1">IFERROR(INDEX('Emission Factors'!J$7:J$24,MATCH(OFFSET(Usage!$D7,0,-2),'Emission Factors'!$B$7:$B$24,0))*INDEX(Usage!$I$5:$I$31,MATCH('In-Shop Emissions'!$C8,Usage!$D$5:$D$31,0))*(1-'Emission Factors'!$E$28),"--")</f>
        <v>0</v>
      </c>
      <c r="L8" s="97">
        <f ca="1">IFERROR(INDEX('Emission Factors'!K$7:K$24,MATCH(OFFSET(Usage!$D7,0,-2),'Emission Factors'!$B$7:$B$24,0))*INDEX(Usage!$I$5:$I$31,MATCH('In-Shop Emissions'!$C8,Usage!$D$5:$D$31,0))*(1-'Emission Factors'!$E$28),"--")</f>
        <v>0</v>
      </c>
      <c r="M8" s="97">
        <f ca="1">IFERROR(INDEX('Emission Factors'!L$7:L$24,MATCH(OFFSET(Usage!$D7,0,-2),'Emission Factors'!$B$7:$B$24,0))*INDEX(Usage!$I$5:$I$31,MATCH('In-Shop Emissions'!$C8,Usage!$D$5:$D$31,0))*(1-'Emission Factors'!$E$28),"--")</f>
        <v>0</v>
      </c>
      <c r="N8" s="97">
        <f ca="1">IFERROR(INDEX('Emission Factors'!M$7:M$24,MATCH(OFFSET(Usage!$D7,0,-2),'Emission Factors'!$B$7:$B$24,0))*INDEX(Usage!$I$5:$I$31,MATCH('In-Shop Emissions'!$C8,Usage!$D$5:$D$31,0))*(1-'Emission Factors'!$E$28),"--")</f>
        <v>0</v>
      </c>
      <c r="O8" s="97" t="str">
        <f ca="1">IFERROR(INDEX('Emission Factors'!N$7:N$24,MATCH(OFFSET(Usage!$D7,0,-2),'Emission Factors'!$B$7:$B$24,0))*INDEX(Usage!$I$5:$I$31,MATCH('In-Shop Emissions'!$C8,Usage!$D$5:$D$31,0))*(1-'Emission Factors'!$E$28),"--")</f>
        <v>--</v>
      </c>
      <c r="P8" s="97">
        <f ca="1">IFERROR(INDEX('Emission Factors'!O$7:O$24,MATCH(OFFSET(Usage!$D7,0,-2),'Emission Factors'!$B$7:$B$24,0))*INDEX(Usage!$I$5:$I$31,MATCH('In-Shop Emissions'!$C8,Usage!$D$5:$D$31,0))*(1-'Emission Factors'!$E$28),"--")</f>
        <v>0</v>
      </c>
      <c r="Q8" s="97">
        <f ca="1">IFERROR(INDEX('Emission Factors'!P$7:P$24,MATCH(OFFSET(Usage!$D7,0,-2),'Emission Factors'!$B$7:$B$24,0))*INDEX(Usage!$I$5:$I$31,MATCH('In-Shop Emissions'!$C8,Usage!$D$5:$D$31,0))*(1-'Emission Factors'!$E$28),"--")</f>
        <v>0</v>
      </c>
      <c r="R8" s="301" t="str">
        <f ca="1">IFERROR(INDEX('Emission Factors'!Q$7:Q$24,MATCH(OFFSET(Usage!$D7,0,-2),'Emission Factors'!$B$7:$B$24,0))*INDEX(Usage!$I$5:$I$31,MATCH('In-Shop Emissions'!$C8,Usage!$D$5:$D$31,0))*(1-'Emission Factors'!$E$28),"--")</f>
        <v>--</v>
      </c>
      <c r="S8" s="281" t="str">
        <f ca="1">IFERROR(INDEX('Emission Factors'!R$7:R$24,MATCH(OFFSET(Usage!$D7,0,-2),'Emission Factors'!$B$7:$B$24,0))*INDEX(Usage!$I$5:$I$31,MATCH('In-Shop Emissions'!$C8,Usage!$D$5:$D$31,0))*(1-'Emission Factors'!$E$28),"--")</f>
        <v>--</v>
      </c>
      <c r="T8" s="281">
        <f ca="1">IFERROR(INDEX('Emission Factors'!S$7:S$24,MATCH(OFFSET(Usage!$D7,0,-2),'Emission Factors'!$B$7:$B$24,0))*INDEX(Usage!$I$5:$I$31,MATCH('In-Shop Emissions'!$C8,Usage!$D$5:$D$31,0))*(1-'Emission Factors'!$E$28),"--")</f>
        <v>0</v>
      </c>
    </row>
    <row r="9" spans="2:20" x14ac:dyDescent="0.25">
      <c r="B9" s="190" t="s">
        <v>41</v>
      </c>
      <c r="C9" s="299" t="s">
        <v>69</v>
      </c>
      <c r="D9" s="300" t="str">
        <f ca="1">IFERROR(INDEX('Emission Factors'!C$7:C$24,MATCH(OFFSET(Usage!$D8,0,-2),'Emission Factors'!$B$7:$B$24,0))*INDEX(Usage!$I$5:$I$31,MATCH('In-Shop Emissions'!$C9,Usage!$D$5:$D$31,0))*(1-'Emission Factors'!$E$28),"--")</f>
        <v>--</v>
      </c>
      <c r="E9" s="97">
        <f ca="1">IFERROR(INDEX('Emission Factors'!D$7:D$24,MATCH(OFFSET(Usage!$D8,0,-2),'Emission Factors'!$B$7:$B$24,0))*INDEX(Usage!$I$5:$I$31,MATCH('In-Shop Emissions'!$C9,Usage!$D$5:$D$31,0))*(1-'Emission Factors'!$E$28),"--")</f>
        <v>0</v>
      </c>
      <c r="F9" s="97" t="str">
        <f ca="1">IFERROR(INDEX('Emission Factors'!E$7:E$24,MATCH(OFFSET(Usage!$D8,0,-2),'Emission Factors'!$B$7:$B$24,0))*INDEX(Usage!$I$5:$I$31,MATCH('In-Shop Emissions'!$C9,Usage!$D$5:$D$31,0))*(1-'Emission Factors'!$E$28),"--")</f>
        <v>--</v>
      </c>
      <c r="G9" s="97" t="str">
        <f ca="1">IFERROR(INDEX('Emission Factors'!F$7:F$24,MATCH(OFFSET(Usage!$D8,0,-2),'Emission Factors'!$B$7:$B$24,0))*INDEX(Usage!$I$5:$I$31,MATCH('In-Shop Emissions'!$C9,Usage!$D$5:$D$31,0))*(1-'Emission Factors'!$E$28),"--")</f>
        <v>--</v>
      </c>
      <c r="H9" s="97" t="str">
        <f ca="1">IFERROR(INDEX('Emission Factors'!G$7:G$24,MATCH(OFFSET(Usage!$D8,0,-2),'Emission Factors'!$B$7:$B$24,0))*INDEX(Usage!$I$5:$I$31,MATCH('In-Shop Emissions'!$C9,Usage!$D$5:$D$31,0))*(1-'Emission Factors'!$E$28),"--")</f>
        <v>--</v>
      </c>
      <c r="I9" s="97">
        <f ca="1">IFERROR(INDEX('Emission Factors'!H$7:H$24,MATCH(OFFSET(Usage!$D8,0,-2),'Emission Factors'!$B$7:$B$24,0))*INDEX(Usage!$I$5:$I$31,MATCH('In-Shop Emissions'!$C9,Usage!$D$5:$D$31,0))*(1-'Emission Factors'!$E$28),"--")</f>
        <v>6.1760000000000059E-4</v>
      </c>
      <c r="J9" s="97">
        <f ca="1">IFERROR(INDEX('Emission Factors'!I$7:I$24,MATCH(OFFSET(Usage!$D8,0,-2),'Emission Factors'!$B$7:$B$24,0))*INDEX(Usage!$I$5:$I$31,MATCH('In-Shop Emissions'!$C9,Usage!$D$5:$D$31,0))*(1-'Emission Factors'!$E$28),"--")</f>
        <v>2.2720000000000021E-6</v>
      </c>
      <c r="K9" s="97">
        <f ca="1">IFERROR(INDEX('Emission Factors'!J$7:J$24,MATCH(OFFSET(Usage!$D8,0,-2),'Emission Factors'!$B$7:$B$24,0))*INDEX(Usage!$I$5:$I$31,MATCH('In-Shop Emissions'!$C9,Usage!$D$5:$D$31,0))*(1-'Emission Factors'!$E$28),"--")</f>
        <v>1.049088000000001E-6</v>
      </c>
      <c r="L9" s="97">
        <f ca="1">IFERROR(INDEX('Emission Factors'!K$7:K$24,MATCH(OFFSET(Usage!$D8,0,-2),'Emission Factors'!$B$7:$B$24,0))*INDEX(Usage!$I$5:$I$31,MATCH('In-Shop Emissions'!$C9,Usage!$D$5:$D$31,0))*(1-'Emission Factors'!$E$28),"--")</f>
        <v>1.9600000000000016E-5</v>
      </c>
      <c r="M9" s="97">
        <f ca="1">IFERROR(INDEX('Emission Factors'!L$7:L$24,MATCH(OFFSET(Usage!$D8,0,-2),'Emission Factors'!$B$7:$B$24,0))*INDEX(Usage!$I$5:$I$31,MATCH('In-Shop Emissions'!$C9,Usage!$D$5:$D$31,0))*(1-'Emission Factors'!$E$28),"--")</f>
        <v>1.8080000000000017E-5</v>
      </c>
      <c r="N9" s="97">
        <f ca="1">IFERROR(INDEX('Emission Factors'!M$7:M$24,MATCH(OFFSET(Usage!$D8,0,-2),'Emission Factors'!$B$7:$B$24,0))*INDEX(Usage!$I$5:$I$31,MATCH('In-Shop Emissions'!$C9,Usage!$D$5:$D$31,0))*(1-'Emission Factors'!$E$28),"--")</f>
        <v>4.1963520000000037E-8</v>
      </c>
      <c r="O9" s="97" t="str">
        <f ca="1">IFERROR(INDEX('Emission Factors'!N$7:N$24,MATCH(OFFSET(Usage!$D8,0,-2),'Emission Factors'!$B$7:$B$24,0))*INDEX(Usage!$I$5:$I$31,MATCH('In-Shop Emissions'!$C9,Usage!$D$5:$D$31,0))*(1-'Emission Factors'!$E$28),"--")</f>
        <v>--</v>
      </c>
      <c r="P9" s="97">
        <f ca="1">IFERROR(INDEX('Emission Factors'!O$7:O$24,MATCH(OFFSET(Usage!$D8,0,-2),'Emission Factors'!$B$7:$B$24,0))*INDEX(Usage!$I$5:$I$31,MATCH('In-Shop Emissions'!$C9,Usage!$D$5:$D$31,0))*(1-'Emission Factors'!$E$28),"--")</f>
        <v>1.4210928370238535E-6</v>
      </c>
      <c r="Q9" s="97" t="str">
        <f ca="1">IFERROR(INDEX('Emission Factors'!P$7:P$24,MATCH(OFFSET(Usage!$D8,0,-2),'Emission Factors'!$B$7:$B$24,0))*INDEX(Usage!$I$5:$I$31,MATCH('In-Shop Emissions'!$C9,Usage!$D$5:$D$31,0))*(1-'Emission Factors'!$E$28),"--")</f>
        <v>--</v>
      </c>
      <c r="R9" s="301" t="str">
        <f ca="1">IFERROR(INDEX('Emission Factors'!Q$7:Q$24,MATCH(OFFSET(Usage!$D8,0,-2),'Emission Factors'!$B$7:$B$24,0))*INDEX(Usage!$I$5:$I$31,MATCH('In-Shop Emissions'!$C9,Usage!$D$5:$D$31,0))*(1-'Emission Factors'!$E$28),"--")</f>
        <v>--</v>
      </c>
      <c r="S9" s="281" t="str">
        <f ca="1">IFERROR(INDEX('Emission Factors'!R$7:R$24,MATCH(OFFSET(Usage!$D8,0,-2),'Emission Factors'!$B$7:$B$24,0))*INDEX(Usage!$I$5:$I$31,MATCH('In-Shop Emissions'!$C9,Usage!$D$5:$D$31,0))*(1-'Emission Factors'!$E$28),"--")</f>
        <v>--</v>
      </c>
      <c r="T9" s="281">
        <f ca="1">IFERROR(INDEX('Emission Factors'!S$7:S$24,MATCH(OFFSET(Usage!$D8,0,-2),'Emission Factors'!$B$7:$B$24,0))*INDEX(Usage!$I$5:$I$31,MATCH('In-Shop Emissions'!$C9,Usage!$D$5:$D$31,0))*(1-'Emission Factors'!$E$28),"--")</f>
        <v>5.2459866847316364E-6</v>
      </c>
    </row>
    <row r="10" spans="2:20" x14ac:dyDescent="0.25">
      <c r="B10" s="190" t="s">
        <v>41</v>
      </c>
      <c r="C10" s="299" t="s">
        <v>70</v>
      </c>
      <c r="D10" s="300" t="str">
        <f ca="1">IFERROR(INDEX('Emission Factors'!C$7:C$24,MATCH(OFFSET(Usage!$D9,0,-2),'Emission Factors'!$B$7:$B$24,0))*INDEX(Usage!$I$5:$I$31,MATCH('In-Shop Emissions'!$C10,Usage!$D$5:$D$31,0))*(1-'Emission Factors'!$E$28),"--")</f>
        <v>--</v>
      </c>
      <c r="E10" s="97">
        <f ca="1">IFERROR(INDEX('Emission Factors'!D$7:D$24,MATCH(OFFSET(Usage!$D9,0,-2),'Emission Factors'!$B$7:$B$24,0))*INDEX(Usage!$I$5:$I$31,MATCH('In-Shop Emissions'!$C10,Usage!$D$5:$D$31,0))*(1-'Emission Factors'!$E$28),"--")</f>
        <v>0</v>
      </c>
      <c r="F10" s="97" t="str">
        <f ca="1">IFERROR(INDEX('Emission Factors'!E$7:E$24,MATCH(OFFSET(Usage!$D9,0,-2),'Emission Factors'!$B$7:$B$24,0))*INDEX(Usage!$I$5:$I$31,MATCH('In-Shop Emissions'!$C10,Usage!$D$5:$D$31,0))*(1-'Emission Factors'!$E$28),"--")</f>
        <v>--</v>
      </c>
      <c r="G10" s="97" t="str">
        <f ca="1">IFERROR(INDEX('Emission Factors'!F$7:F$24,MATCH(OFFSET(Usage!$D9,0,-2),'Emission Factors'!$B$7:$B$24,0))*INDEX(Usage!$I$5:$I$31,MATCH('In-Shop Emissions'!$C10,Usage!$D$5:$D$31,0))*(1-'Emission Factors'!$E$28),"--")</f>
        <v>--</v>
      </c>
      <c r="H10" s="97" t="str">
        <f ca="1">IFERROR(INDEX('Emission Factors'!G$7:G$24,MATCH(OFFSET(Usage!$D9,0,-2),'Emission Factors'!$B$7:$B$24,0))*INDEX(Usage!$I$5:$I$31,MATCH('In-Shop Emissions'!$C10,Usage!$D$5:$D$31,0))*(1-'Emission Factors'!$E$28),"--")</f>
        <v>--</v>
      </c>
      <c r="I10" s="97">
        <f ca="1">IFERROR(INDEX('Emission Factors'!H$7:H$24,MATCH(OFFSET(Usage!$D9,0,-2),'Emission Factors'!$B$7:$B$24,0))*INDEX(Usage!$I$5:$I$31,MATCH('In-Shop Emissions'!$C10,Usage!$D$5:$D$31,0))*(1-'Emission Factors'!$E$28),"--")</f>
        <v>6.1760000000000059E-4</v>
      </c>
      <c r="J10" s="97">
        <f ca="1">IFERROR(INDEX('Emission Factors'!I$7:I$24,MATCH(OFFSET(Usage!$D9,0,-2),'Emission Factors'!$B$7:$B$24,0))*INDEX(Usage!$I$5:$I$31,MATCH('In-Shop Emissions'!$C10,Usage!$D$5:$D$31,0))*(1-'Emission Factors'!$E$28),"--")</f>
        <v>2.2720000000000021E-6</v>
      </c>
      <c r="K10" s="97">
        <f ca="1">IFERROR(INDEX('Emission Factors'!J$7:J$24,MATCH(OFFSET(Usage!$D9,0,-2),'Emission Factors'!$B$7:$B$24,0))*INDEX(Usage!$I$5:$I$31,MATCH('In-Shop Emissions'!$C10,Usage!$D$5:$D$31,0))*(1-'Emission Factors'!$E$28),"--")</f>
        <v>1.049088000000001E-6</v>
      </c>
      <c r="L10" s="97">
        <f ca="1">IFERROR(INDEX('Emission Factors'!K$7:K$24,MATCH(OFFSET(Usage!$D9,0,-2),'Emission Factors'!$B$7:$B$24,0))*INDEX(Usage!$I$5:$I$31,MATCH('In-Shop Emissions'!$C10,Usage!$D$5:$D$31,0))*(1-'Emission Factors'!$E$28),"--")</f>
        <v>1.9600000000000016E-5</v>
      </c>
      <c r="M10" s="97">
        <f ca="1">IFERROR(INDEX('Emission Factors'!L$7:L$24,MATCH(OFFSET(Usage!$D9,0,-2),'Emission Factors'!$B$7:$B$24,0))*INDEX(Usage!$I$5:$I$31,MATCH('In-Shop Emissions'!$C10,Usage!$D$5:$D$31,0))*(1-'Emission Factors'!$E$28),"--")</f>
        <v>1.8080000000000017E-5</v>
      </c>
      <c r="N10" s="97">
        <f ca="1">IFERROR(INDEX('Emission Factors'!M$7:M$24,MATCH(OFFSET(Usage!$D9,0,-2),'Emission Factors'!$B$7:$B$24,0))*INDEX(Usage!$I$5:$I$31,MATCH('In-Shop Emissions'!$C10,Usage!$D$5:$D$31,0))*(1-'Emission Factors'!$E$28),"--")</f>
        <v>4.1963520000000037E-8</v>
      </c>
      <c r="O10" s="97" t="str">
        <f ca="1">IFERROR(INDEX('Emission Factors'!N$7:N$24,MATCH(OFFSET(Usage!$D9,0,-2),'Emission Factors'!$B$7:$B$24,0))*INDEX(Usage!$I$5:$I$31,MATCH('In-Shop Emissions'!$C10,Usage!$D$5:$D$31,0))*(1-'Emission Factors'!$E$28),"--")</f>
        <v>--</v>
      </c>
      <c r="P10" s="97">
        <f ca="1">IFERROR(INDEX('Emission Factors'!O$7:O$24,MATCH(OFFSET(Usage!$D9,0,-2),'Emission Factors'!$B$7:$B$24,0))*INDEX(Usage!$I$5:$I$31,MATCH('In-Shop Emissions'!$C10,Usage!$D$5:$D$31,0))*(1-'Emission Factors'!$E$28),"--")</f>
        <v>1.4210928370238535E-6</v>
      </c>
      <c r="Q10" s="97" t="str">
        <f ca="1">IFERROR(INDEX('Emission Factors'!P$7:P$24,MATCH(OFFSET(Usage!$D9,0,-2),'Emission Factors'!$B$7:$B$24,0))*INDEX(Usage!$I$5:$I$31,MATCH('In-Shop Emissions'!$C10,Usage!$D$5:$D$31,0))*(1-'Emission Factors'!$E$28),"--")</f>
        <v>--</v>
      </c>
      <c r="R10" s="301" t="str">
        <f ca="1">IFERROR(INDEX('Emission Factors'!Q$7:Q$24,MATCH(OFFSET(Usage!$D9,0,-2),'Emission Factors'!$B$7:$B$24,0))*INDEX(Usage!$I$5:$I$31,MATCH('In-Shop Emissions'!$C10,Usage!$D$5:$D$31,0))*(1-'Emission Factors'!$E$28),"--")</f>
        <v>--</v>
      </c>
      <c r="S10" s="281" t="str">
        <f ca="1">IFERROR(INDEX('Emission Factors'!R$7:R$24,MATCH(OFFSET(Usage!$D9,0,-2),'Emission Factors'!$B$7:$B$24,0))*INDEX(Usage!$I$5:$I$31,MATCH('In-Shop Emissions'!$C10,Usage!$D$5:$D$31,0))*(1-'Emission Factors'!$E$28),"--")</f>
        <v>--</v>
      </c>
      <c r="T10" s="281">
        <f ca="1">IFERROR(INDEX('Emission Factors'!S$7:S$24,MATCH(OFFSET(Usage!$D9,0,-2),'Emission Factors'!$B$7:$B$24,0))*INDEX(Usage!$I$5:$I$31,MATCH('In-Shop Emissions'!$C10,Usage!$D$5:$D$31,0))*(1-'Emission Factors'!$E$28),"--")</f>
        <v>5.2459866847316364E-6</v>
      </c>
    </row>
    <row r="11" spans="2:20" x14ac:dyDescent="0.25">
      <c r="B11" s="190" t="s">
        <v>40</v>
      </c>
      <c r="C11" s="299" t="s">
        <v>71</v>
      </c>
      <c r="D11" s="300" t="str">
        <f ca="1">IFERROR(INDEX('Emission Factors'!C$7:C$24,MATCH(OFFSET(Usage!$D10,0,-2),'Emission Factors'!$B$7:$B$24,0))*INDEX(Usage!$I$5:$I$31,MATCH('In-Shop Emissions'!$C11,Usage!$D$5:$D$31,0))*(1-'Emission Factors'!$E$28),"--")</f>
        <v>--</v>
      </c>
      <c r="E11" s="97" t="str">
        <f ca="1">IFERROR(INDEX('Emission Factors'!D$7:D$24,MATCH(OFFSET(Usage!$D10,0,-2),'Emission Factors'!$B$7:$B$24,0))*INDEX(Usage!$I$5:$I$31,MATCH('In-Shop Emissions'!$C11,Usage!$D$5:$D$31,0))*(1-'Emission Factors'!$E$28),"--")</f>
        <v>--</v>
      </c>
      <c r="F11" s="97" t="str">
        <f ca="1">IFERROR(INDEX('Emission Factors'!E$7:E$24,MATCH(OFFSET(Usage!$D10,0,-2),'Emission Factors'!$B$7:$B$24,0))*INDEX(Usage!$I$5:$I$31,MATCH('In-Shop Emissions'!$C11,Usage!$D$5:$D$31,0))*(1-'Emission Factors'!$E$28),"--")</f>
        <v>--</v>
      </c>
      <c r="G11" s="97" t="str">
        <f ca="1">IFERROR(INDEX('Emission Factors'!F$7:F$24,MATCH(OFFSET(Usage!$D10,0,-2),'Emission Factors'!$B$7:$B$24,0))*INDEX(Usage!$I$5:$I$31,MATCH('In-Shop Emissions'!$C11,Usage!$D$5:$D$31,0))*(1-'Emission Factors'!$E$28),"--")</f>
        <v>--</v>
      </c>
      <c r="H11" s="97" t="str">
        <f ca="1">IFERROR(INDEX('Emission Factors'!G$7:G$24,MATCH(OFFSET(Usage!$D10,0,-2),'Emission Factors'!$B$7:$B$24,0))*INDEX(Usage!$I$5:$I$31,MATCH('In-Shop Emissions'!$C11,Usage!$D$5:$D$31,0))*(1-'Emission Factors'!$E$28),"--")</f>
        <v>--</v>
      </c>
      <c r="I11" s="97">
        <f ca="1">IFERROR(INDEX('Emission Factors'!H$7:H$24,MATCH(OFFSET(Usage!$D10,0,-2),'Emission Factors'!$B$7:$B$24,0))*INDEX(Usage!$I$5:$I$31,MATCH('In-Shop Emissions'!$C11,Usage!$D$5:$D$31,0))*(1-'Emission Factors'!$E$28),"--")</f>
        <v>1.217600000000001E-3</v>
      </c>
      <c r="J11" s="97">
        <f ca="1">IFERROR(INDEX('Emission Factors'!I$7:I$24,MATCH(OFFSET(Usage!$D10,0,-2),'Emission Factors'!$B$7:$B$24,0))*INDEX(Usage!$I$5:$I$31,MATCH('In-Shop Emissions'!$C11,Usage!$D$5:$D$31,0))*(1-'Emission Factors'!$E$28),"--")</f>
        <v>1.2816000000000011E-5</v>
      </c>
      <c r="K11" s="97">
        <f ca="1">IFERROR(INDEX('Emission Factors'!J$7:J$24,MATCH(OFFSET(Usage!$D10,0,-2),'Emission Factors'!$B$7:$B$24,0))*INDEX(Usage!$I$5:$I$31,MATCH('In-Shop Emissions'!$C11,Usage!$D$5:$D$31,0))*(1-'Emission Factors'!$E$28),"--")</f>
        <v>6.5568000000000056E-6</v>
      </c>
      <c r="L11" s="97">
        <f ca="1">IFERROR(INDEX('Emission Factors'!K$7:K$24,MATCH(OFFSET(Usage!$D10,0,-2),'Emission Factors'!$B$7:$B$24,0))*INDEX(Usage!$I$5:$I$31,MATCH('In-Shop Emissions'!$C11,Usage!$D$5:$D$31,0))*(1-'Emission Factors'!$E$28),"--")</f>
        <v>1.5299200000000014E-5</v>
      </c>
      <c r="M11" s="97">
        <f ca="1">IFERROR(INDEX('Emission Factors'!L$7:L$24,MATCH(OFFSET(Usage!$D10,0,-2),'Emission Factors'!$B$7:$B$24,0))*INDEX(Usage!$I$5:$I$31,MATCH('In-Shop Emissions'!$C11,Usage!$D$5:$D$31,0))*(1-'Emission Factors'!$E$28),"--")</f>
        <v>1.1365120000000011E-4</v>
      </c>
      <c r="N11" s="97">
        <f ca="1">IFERROR(INDEX('Emission Factors'!M$7:M$24,MATCH(OFFSET(Usage!$D10,0,-2),'Emission Factors'!$B$7:$B$24,0))*INDEX(Usage!$I$5:$I$31,MATCH('In-Shop Emissions'!$C11,Usage!$D$5:$D$31,0))*(1-'Emission Factors'!$E$28),"--")</f>
        <v>2.6227200000000019E-7</v>
      </c>
      <c r="O11" s="97" t="str">
        <f ca="1">IFERROR(INDEX('Emission Factors'!N$7:N$24,MATCH(OFFSET(Usage!$D10,0,-2),'Emission Factors'!$B$7:$B$24,0))*INDEX(Usage!$I$5:$I$31,MATCH('In-Shop Emissions'!$C11,Usage!$D$5:$D$31,0))*(1-'Emission Factors'!$E$28),"--")</f>
        <v>--</v>
      </c>
      <c r="P11" s="97">
        <f ca="1">IFERROR(INDEX('Emission Factors'!O$7:O$24,MATCH(OFFSET(Usage!$D10,0,-2),'Emission Factors'!$B$7:$B$24,0))*INDEX(Usage!$I$5:$I$31,MATCH('In-Shop Emissions'!$C11,Usage!$D$5:$D$31,0))*(1-'Emission Factors'!$E$28),"--")</f>
        <v>8.8818302313990833E-6</v>
      </c>
      <c r="Q11" s="97" t="str">
        <f ca="1">IFERROR(INDEX('Emission Factors'!P$7:P$24,MATCH(OFFSET(Usage!$D10,0,-2),'Emission Factors'!$B$7:$B$24,0))*INDEX(Usage!$I$5:$I$31,MATCH('In-Shop Emissions'!$C11,Usage!$D$5:$D$31,0))*(1-'Emission Factors'!$E$28),"--")</f>
        <v>--</v>
      </c>
      <c r="R11" s="301" t="str">
        <f ca="1">IFERROR(INDEX('Emission Factors'!Q$7:Q$24,MATCH(OFFSET(Usage!$D10,0,-2),'Emission Factors'!$B$7:$B$24,0))*INDEX(Usage!$I$5:$I$31,MATCH('In-Shop Emissions'!$C11,Usage!$D$5:$D$31,0))*(1-'Emission Factors'!$E$28),"--")</f>
        <v>--</v>
      </c>
      <c r="S11" s="281" t="str">
        <f ca="1">IFERROR(INDEX('Emission Factors'!R$7:R$24,MATCH(OFFSET(Usage!$D10,0,-2),'Emission Factors'!$B$7:$B$24,0))*INDEX(Usage!$I$5:$I$31,MATCH('In-Shop Emissions'!$C11,Usage!$D$5:$D$31,0))*(1-'Emission Factors'!$E$28),"--")</f>
        <v>--</v>
      </c>
      <c r="T11" s="281">
        <f ca="1">IFERROR(INDEX('Emission Factors'!S$7:S$24,MATCH(OFFSET(Usage!$D10,0,-2),'Emission Factors'!$B$7:$B$24,0))*INDEX(Usage!$I$5:$I$31,MATCH('In-Shop Emissions'!$C11,Usage!$D$5:$D$31,0))*(1-'Emission Factors'!$E$28),"--")</f>
        <v>9.836225033871815E-6</v>
      </c>
    </row>
    <row r="12" spans="2:20" x14ac:dyDescent="0.25">
      <c r="B12" s="190" t="s">
        <v>40</v>
      </c>
      <c r="C12" s="299" t="s">
        <v>72</v>
      </c>
      <c r="D12" s="300" t="str">
        <f ca="1">IFERROR(INDEX('Emission Factors'!C$7:C$24,MATCH(OFFSET(Usage!$D11,0,-2),'Emission Factors'!$B$7:$B$24,0))*INDEX(Usage!$I$5:$I$31,MATCH('In-Shop Emissions'!$C12,Usage!$D$5:$D$31,0))*(1-'Emission Factors'!$E$28),"--")</f>
        <v>--</v>
      </c>
      <c r="E12" s="97" t="str">
        <f ca="1">IFERROR(INDEX('Emission Factors'!D$7:D$24,MATCH(OFFSET(Usage!$D11,0,-2),'Emission Factors'!$B$7:$B$24,0))*INDEX(Usage!$I$5:$I$31,MATCH('In-Shop Emissions'!$C12,Usage!$D$5:$D$31,0))*(1-'Emission Factors'!$E$28),"--")</f>
        <v>--</v>
      </c>
      <c r="F12" s="97" t="str">
        <f ca="1">IFERROR(INDEX('Emission Factors'!E$7:E$24,MATCH(OFFSET(Usage!$D11,0,-2),'Emission Factors'!$B$7:$B$24,0))*INDEX(Usage!$I$5:$I$31,MATCH('In-Shop Emissions'!$C12,Usage!$D$5:$D$31,0))*(1-'Emission Factors'!$E$28),"--")</f>
        <v>--</v>
      </c>
      <c r="G12" s="97" t="str">
        <f ca="1">IFERROR(INDEX('Emission Factors'!F$7:F$24,MATCH(OFFSET(Usage!$D11,0,-2),'Emission Factors'!$B$7:$B$24,0))*INDEX(Usage!$I$5:$I$31,MATCH('In-Shop Emissions'!$C12,Usage!$D$5:$D$31,0))*(1-'Emission Factors'!$E$28),"--")</f>
        <v>--</v>
      </c>
      <c r="H12" s="97" t="str">
        <f ca="1">IFERROR(INDEX('Emission Factors'!G$7:G$24,MATCH(OFFSET(Usage!$D11,0,-2),'Emission Factors'!$B$7:$B$24,0))*INDEX(Usage!$I$5:$I$31,MATCH('In-Shop Emissions'!$C12,Usage!$D$5:$D$31,0))*(1-'Emission Factors'!$E$28),"--")</f>
        <v>--</v>
      </c>
      <c r="I12" s="97">
        <f ca="1">IFERROR(INDEX('Emission Factors'!H$7:H$24,MATCH(OFFSET(Usage!$D11,0,-2),'Emission Factors'!$B$7:$B$24,0))*INDEX(Usage!$I$5:$I$31,MATCH('In-Shop Emissions'!$C12,Usage!$D$5:$D$31,0))*(1-'Emission Factors'!$E$28),"--")</f>
        <v>1.217600000000001E-3</v>
      </c>
      <c r="J12" s="97">
        <f ca="1">IFERROR(INDEX('Emission Factors'!I$7:I$24,MATCH(OFFSET(Usage!$D11,0,-2),'Emission Factors'!$B$7:$B$24,0))*INDEX(Usage!$I$5:$I$31,MATCH('In-Shop Emissions'!$C12,Usage!$D$5:$D$31,0))*(1-'Emission Factors'!$E$28),"--")</f>
        <v>1.2816000000000011E-5</v>
      </c>
      <c r="K12" s="97">
        <f ca="1">IFERROR(INDEX('Emission Factors'!J$7:J$24,MATCH(OFFSET(Usage!$D11,0,-2),'Emission Factors'!$B$7:$B$24,0))*INDEX(Usage!$I$5:$I$31,MATCH('In-Shop Emissions'!$C12,Usage!$D$5:$D$31,0))*(1-'Emission Factors'!$E$28),"--")</f>
        <v>6.5568000000000056E-6</v>
      </c>
      <c r="L12" s="97">
        <f ca="1">IFERROR(INDEX('Emission Factors'!K$7:K$24,MATCH(OFFSET(Usage!$D11,0,-2),'Emission Factors'!$B$7:$B$24,0))*INDEX(Usage!$I$5:$I$31,MATCH('In-Shop Emissions'!$C12,Usage!$D$5:$D$31,0))*(1-'Emission Factors'!$E$28),"--")</f>
        <v>1.5299200000000014E-5</v>
      </c>
      <c r="M12" s="97">
        <f ca="1">IFERROR(INDEX('Emission Factors'!L$7:L$24,MATCH(OFFSET(Usage!$D11,0,-2),'Emission Factors'!$B$7:$B$24,0))*INDEX(Usage!$I$5:$I$31,MATCH('In-Shop Emissions'!$C12,Usage!$D$5:$D$31,0))*(1-'Emission Factors'!$E$28),"--")</f>
        <v>1.1365120000000011E-4</v>
      </c>
      <c r="N12" s="97">
        <f ca="1">IFERROR(INDEX('Emission Factors'!M$7:M$24,MATCH(OFFSET(Usage!$D11,0,-2),'Emission Factors'!$B$7:$B$24,0))*INDEX(Usage!$I$5:$I$31,MATCH('In-Shop Emissions'!$C12,Usage!$D$5:$D$31,0))*(1-'Emission Factors'!$E$28),"--")</f>
        <v>2.6227200000000019E-7</v>
      </c>
      <c r="O12" s="97" t="str">
        <f ca="1">IFERROR(INDEX('Emission Factors'!N$7:N$24,MATCH(OFFSET(Usage!$D11,0,-2),'Emission Factors'!$B$7:$B$24,0))*INDEX(Usage!$I$5:$I$31,MATCH('In-Shop Emissions'!$C12,Usage!$D$5:$D$31,0))*(1-'Emission Factors'!$E$28),"--")</f>
        <v>--</v>
      </c>
      <c r="P12" s="97">
        <f ca="1">IFERROR(INDEX('Emission Factors'!O$7:O$24,MATCH(OFFSET(Usage!$D11,0,-2),'Emission Factors'!$B$7:$B$24,0))*INDEX(Usage!$I$5:$I$31,MATCH('In-Shop Emissions'!$C12,Usage!$D$5:$D$31,0))*(1-'Emission Factors'!$E$28),"--")</f>
        <v>8.8818302313990833E-6</v>
      </c>
      <c r="Q12" s="97" t="str">
        <f ca="1">IFERROR(INDEX('Emission Factors'!P$7:P$24,MATCH(OFFSET(Usage!$D11,0,-2),'Emission Factors'!$B$7:$B$24,0))*INDEX(Usage!$I$5:$I$31,MATCH('In-Shop Emissions'!$C12,Usage!$D$5:$D$31,0))*(1-'Emission Factors'!$E$28),"--")</f>
        <v>--</v>
      </c>
      <c r="R12" s="301" t="str">
        <f ca="1">IFERROR(INDEX('Emission Factors'!Q$7:Q$24,MATCH(OFFSET(Usage!$D11,0,-2),'Emission Factors'!$B$7:$B$24,0))*INDEX(Usage!$I$5:$I$31,MATCH('In-Shop Emissions'!$C12,Usage!$D$5:$D$31,0))*(1-'Emission Factors'!$E$28),"--")</f>
        <v>--</v>
      </c>
      <c r="S12" s="281" t="str">
        <f ca="1">IFERROR(INDEX('Emission Factors'!R$7:R$24,MATCH(OFFSET(Usage!$D11,0,-2),'Emission Factors'!$B$7:$B$24,0))*INDEX(Usage!$I$5:$I$31,MATCH('In-Shop Emissions'!$C12,Usage!$D$5:$D$31,0))*(1-'Emission Factors'!$E$28),"--")</f>
        <v>--</v>
      </c>
      <c r="T12" s="281">
        <f ca="1">IFERROR(INDEX('Emission Factors'!S$7:S$24,MATCH(OFFSET(Usage!$D11,0,-2),'Emission Factors'!$B$7:$B$24,0))*INDEX(Usage!$I$5:$I$31,MATCH('In-Shop Emissions'!$C12,Usage!$D$5:$D$31,0))*(1-'Emission Factors'!$E$28),"--")</f>
        <v>9.836225033871815E-6</v>
      </c>
    </row>
    <row r="13" spans="2:20" x14ac:dyDescent="0.25">
      <c r="B13" s="190">
        <v>6010</v>
      </c>
      <c r="C13" s="299" t="s">
        <v>73</v>
      </c>
      <c r="D13" s="300" t="str">
        <f ca="1">IFERROR(INDEX('Emission Factors'!C$7:C$24,MATCH(OFFSET(Usage!$D12,0,-2),'Emission Factors'!$B$7:$B$24,0))*INDEX(Usage!$I$5:$I$31,MATCH('In-Shop Emissions'!$C13,Usage!$D$5:$D$31,0))*(1-'Emission Factors'!$E$28),"--")</f>
        <v>--</v>
      </c>
      <c r="E13" s="97" t="str">
        <f ca="1">IFERROR(INDEX('Emission Factors'!D$7:D$24,MATCH(OFFSET(Usage!$D12,0,-2),'Emission Factors'!$B$7:$B$24,0))*INDEX(Usage!$I$5:$I$31,MATCH('In-Shop Emissions'!$C13,Usage!$D$5:$D$31,0))*(1-'Emission Factors'!$E$28),"--")</f>
        <v>--</v>
      </c>
      <c r="F13" s="97" t="str">
        <f ca="1">IFERROR(INDEX('Emission Factors'!E$7:E$24,MATCH(OFFSET(Usage!$D12,0,-2),'Emission Factors'!$B$7:$B$24,0))*INDEX(Usage!$I$5:$I$31,MATCH('In-Shop Emissions'!$C13,Usage!$D$5:$D$31,0))*(1-'Emission Factors'!$E$28),"--")</f>
        <v>--</v>
      </c>
      <c r="G13" s="97" t="str">
        <f ca="1">IFERROR(INDEX('Emission Factors'!F$7:F$24,MATCH(OFFSET(Usage!$D12,0,-2),'Emission Factors'!$B$7:$B$24,0))*INDEX(Usage!$I$5:$I$31,MATCH('In-Shop Emissions'!$C13,Usage!$D$5:$D$31,0))*(1-'Emission Factors'!$E$28),"--")</f>
        <v>--</v>
      </c>
      <c r="H13" s="97" t="str">
        <f ca="1">IFERROR(INDEX('Emission Factors'!G$7:G$24,MATCH(OFFSET(Usage!$D12,0,-2),'Emission Factors'!$B$7:$B$24,0))*INDEX(Usage!$I$5:$I$31,MATCH('In-Shop Emissions'!$C13,Usage!$D$5:$D$31,0))*(1-'Emission Factors'!$E$28),"--")</f>
        <v>--</v>
      </c>
      <c r="I13" s="97">
        <f ca="1">IFERROR(INDEX('Emission Factors'!H$7:H$24,MATCH(OFFSET(Usage!$D12,0,-2),'Emission Factors'!$B$7:$B$24,0))*INDEX(Usage!$I$5:$I$31,MATCH('In-Shop Emissions'!$C13,Usage!$D$5:$D$31,0))*(1-'Emission Factors'!$E$28),"--")</f>
        <v>2.400000000000002E-6</v>
      </c>
      <c r="J13" s="97">
        <f ca="1">IFERROR(INDEX('Emission Factors'!I$7:I$24,MATCH(OFFSET(Usage!$D12,0,-2),'Emission Factors'!$B$7:$B$24,0))*INDEX(Usage!$I$5:$I$31,MATCH('In-Shop Emissions'!$C13,Usage!$D$5:$D$31,0))*(1-'Emission Factors'!$E$28),"--")</f>
        <v>8.000000000000006E-7</v>
      </c>
      <c r="K13" s="97" t="str">
        <f ca="1">IFERROR(INDEX('Emission Factors'!J$7:J$24,MATCH(OFFSET(Usage!$D12,0,-2),'Emission Factors'!$B$7:$B$24,0))*INDEX(Usage!$I$5:$I$31,MATCH('In-Shop Emissions'!$C13,Usage!$D$5:$D$31,0))*(1-'Emission Factors'!$E$28),"--")</f>
        <v>--</v>
      </c>
      <c r="L13" s="97">
        <f ca="1">IFERROR(INDEX('Emission Factors'!K$7:K$24,MATCH(OFFSET(Usage!$D12,0,-2),'Emission Factors'!$B$7:$B$24,0))*INDEX(Usage!$I$5:$I$31,MATCH('In-Shop Emissions'!$C13,Usage!$D$5:$D$31,0))*(1-'Emission Factors'!$E$28),"--")</f>
        <v>7.9280000000000062E-4</v>
      </c>
      <c r="M13" s="97">
        <f ca="1">IFERROR(INDEX('Emission Factors'!L$7:L$24,MATCH(OFFSET(Usage!$D12,0,-2),'Emission Factors'!$B$7:$B$24,0))*INDEX(Usage!$I$5:$I$31,MATCH('In-Shop Emissions'!$C13,Usage!$D$5:$D$31,0))*(1-'Emission Factors'!$E$28),"--")</f>
        <v>3.2000000000000024E-6</v>
      </c>
      <c r="N13" s="97" t="str">
        <f ca="1">IFERROR(INDEX('Emission Factors'!M$7:M$24,MATCH(OFFSET(Usage!$D12,0,-2),'Emission Factors'!$B$7:$B$24,0))*INDEX(Usage!$I$5:$I$31,MATCH('In-Shop Emissions'!$C13,Usage!$D$5:$D$31,0))*(1-'Emission Factors'!$E$28),"--")</f>
        <v>--</v>
      </c>
      <c r="O13" s="97" t="str">
        <f ca="1">IFERROR(INDEX('Emission Factors'!N$7:N$24,MATCH(OFFSET(Usage!$D12,0,-2),'Emission Factors'!$B$7:$B$24,0))*INDEX(Usage!$I$5:$I$31,MATCH('In-Shop Emissions'!$C13,Usage!$D$5:$D$31,0))*(1-'Emission Factors'!$E$28),"--")</f>
        <v>--</v>
      </c>
      <c r="P13" s="97">
        <f ca="1">IFERROR(INDEX('Emission Factors'!O$7:O$24,MATCH(OFFSET(Usage!$D12,0,-2),'Emission Factors'!$B$7:$B$24,0))*INDEX(Usage!$I$5:$I$31,MATCH('In-Shop Emissions'!$C13,Usage!$D$5:$D$31,0))*(1-'Emission Factors'!$E$28),"--")</f>
        <v>8.664278263149279E-5</v>
      </c>
      <c r="Q13" s="97" t="str">
        <f ca="1">IFERROR(INDEX('Emission Factors'!P$7:P$24,MATCH(OFFSET(Usage!$D12,0,-2),'Emission Factors'!$B$7:$B$24,0))*INDEX(Usage!$I$5:$I$31,MATCH('In-Shop Emissions'!$C13,Usage!$D$5:$D$31,0))*(1-'Emission Factors'!$E$28),"--")</f>
        <v>--</v>
      </c>
      <c r="R13" s="301" t="str">
        <f ca="1">IFERROR(INDEX('Emission Factors'!Q$7:Q$24,MATCH(OFFSET(Usage!$D12,0,-2),'Emission Factors'!$B$7:$B$24,0))*INDEX(Usage!$I$5:$I$31,MATCH('In-Shop Emissions'!$C13,Usage!$D$5:$D$31,0))*(1-'Emission Factors'!$E$28),"--")</f>
        <v>--</v>
      </c>
      <c r="S13" s="281" t="str">
        <f ca="1">IFERROR(INDEX('Emission Factors'!R$7:R$24,MATCH(OFFSET(Usage!$D12,0,-2),'Emission Factors'!$B$7:$B$24,0))*INDEX(Usage!$I$5:$I$31,MATCH('In-Shop Emissions'!$C13,Usage!$D$5:$D$31,0))*(1-'Emission Factors'!$E$28),"--")</f>
        <v>--</v>
      </c>
      <c r="T13" s="281" t="str">
        <f ca="1">IFERROR(INDEX('Emission Factors'!S$7:S$24,MATCH(OFFSET(Usage!$D12,0,-2),'Emission Factors'!$B$7:$B$24,0))*INDEX(Usage!$I$5:$I$31,MATCH('In-Shop Emissions'!$C13,Usage!$D$5:$D$31,0))*(1-'Emission Factors'!$E$28),"--")</f>
        <v>--</v>
      </c>
    </row>
    <row r="14" spans="2:20" x14ac:dyDescent="0.25">
      <c r="B14" s="190" t="s">
        <v>38</v>
      </c>
      <c r="C14" s="299" t="s">
        <v>75</v>
      </c>
      <c r="D14" s="300" t="str">
        <f ca="1">IFERROR(INDEX('Emission Factors'!C$7:C$24,MATCH(OFFSET(Usage!$D13,0,-2),'Emission Factors'!$B$7:$B$24,0))*INDEX(Usage!$I$5:$I$31,MATCH('In-Shop Emissions'!$C14,Usage!$D$5:$D$31,0))*(1-'Emission Factors'!$E$28),"--")</f>
        <v>--</v>
      </c>
      <c r="E14" s="97" t="str">
        <f ca="1">IFERROR(INDEX('Emission Factors'!D$7:D$24,MATCH(OFFSET(Usage!$D13,0,-2),'Emission Factors'!$B$7:$B$24,0))*INDEX(Usage!$I$5:$I$31,MATCH('In-Shop Emissions'!$C14,Usage!$D$5:$D$31,0))*(1-'Emission Factors'!$E$28),"--")</f>
        <v>--</v>
      </c>
      <c r="F14" s="97" t="str">
        <f ca="1">IFERROR(INDEX('Emission Factors'!E$7:E$24,MATCH(OFFSET(Usage!$D13,0,-2),'Emission Factors'!$B$7:$B$24,0))*INDEX(Usage!$I$5:$I$31,MATCH('In-Shop Emissions'!$C14,Usage!$D$5:$D$31,0))*(1-'Emission Factors'!$E$28),"--")</f>
        <v>--</v>
      </c>
      <c r="G14" s="97" t="str">
        <f ca="1">IFERROR(INDEX('Emission Factors'!F$7:F$24,MATCH(OFFSET(Usage!$D13,0,-2),'Emission Factors'!$B$7:$B$24,0))*INDEX(Usage!$I$5:$I$31,MATCH('In-Shop Emissions'!$C14,Usage!$D$5:$D$31,0))*(1-'Emission Factors'!$E$28),"--")</f>
        <v>--</v>
      </c>
      <c r="H14" s="97" t="str">
        <f ca="1">IFERROR(INDEX('Emission Factors'!G$7:G$24,MATCH(OFFSET(Usage!$D13,0,-2),'Emission Factors'!$B$7:$B$24,0))*INDEX(Usage!$I$5:$I$31,MATCH('In-Shop Emissions'!$C14,Usage!$D$5:$D$31,0))*(1-'Emission Factors'!$E$28),"--")</f>
        <v>--</v>
      </c>
      <c r="I14" s="97">
        <f ca="1">IFERROR(INDEX('Emission Factors'!H$7:H$24,MATCH(OFFSET(Usage!$D13,0,-2),'Emission Factors'!$B$7:$B$24,0))*INDEX(Usage!$I$5:$I$31,MATCH('In-Shop Emissions'!$C14,Usage!$D$5:$D$31,0))*(1-'Emission Factors'!$E$28),"--")</f>
        <v>1.1802240000000012E-5</v>
      </c>
      <c r="J14" s="97">
        <f ca="1">IFERROR(INDEX('Emission Factors'!I$7:I$24,MATCH(OFFSET(Usage!$D13,0,-2),'Emission Factors'!$B$7:$B$24,0))*INDEX(Usage!$I$5:$I$31,MATCH('In-Shop Emissions'!$C14,Usage!$D$5:$D$31,0))*(1-'Emission Factors'!$E$28),"--")</f>
        <v>5.9011200000000062E-7</v>
      </c>
      <c r="K14" s="97">
        <f ca="1">IFERROR(INDEX('Emission Factors'!J$7:J$24,MATCH(OFFSET(Usage!$D13,0,-2),'Emission Factors'!$B$7:$B$24,0))*INDEX(Usage!$I$5:$I$31,MATCH('In-Shop Emissions'!$C14,Usage!$D$5:$D$31,0))*(1-'Emission Factors'!$E$28),"--")</f>
        <v>4.371200000000004E-6</v>
      </c>
      <c r="L14" s="97">
        <f ca="1">IFERROR(INDEX('Emission Factors'!K$7:K$24,MATCH(OFFSET(Usage!$D13,0,-2),'Emission Factors'!$B$7:$B$24,0))*INDEX(Usage!$I$5:$I$31,MATCH('In-Shop Emissions'!$C14,Usage!$D$5:$D$31,0))*(1-'Emission Factors'!$E$28),"--")</f>
        <v>4.8083200000000041E-6</v>
      </c>
      <c r="M14" s="97">
        <f ca="1">IFERROR(INDEX('Emission Factors'!L$7:L$24,MATCH(OFFSET(Usage!$D13,0,-2),'Emission Factors'!$B$7:$B$24,0))*INDEX(Usage!$I$5:$I$31,MATCH('In-Shop Emissions'!$C14,Usage!$D$5:$D$31,0))*(1-'Emission Factors'!$E$28),"--")</f>
        <v>5.2454400000000051E-6</v>
      </c>
      <c r="N14" s="97">
        <f ca="1">IFERROR(INDEX('Emission Factors'!M$7:M$24,MATCH(OFFSET(Usage!$D13,0,-2),'Emission Factors'!$B$7:$B$24,0))*INDEX(Usage!$I$5:$I$31,MATCH('In-Shop Emissions'!$C14,Usage!$D$5:$D$31,0))*(1-'Emission Factors'!$E$28),"--")</f>
        <v>3.4969600000000033E-6</v>
      </c>
      <c r="O14" s="97" t="str">
        <f ca="1">IFERROR(INDEX('Emission Factors'!N$7:N$24,MATCH(OFFSET(Usage!$D13,0,-2),'Emission Factors'!$B$7:$B$24,0))*INDEX(Usage!$I$5:$I$31,MATCH('In-Shop Emissions'!$C14,Usage!$D$5:$D$31,0))*(1-'Emission Factors'!$E$28),"--")</f>
        <v>--</v>
      </c>
      <c r="P14" s="97">
        <f ca="1">IFERROR(INDEX('Emission Factors'!O$7:O$24,MATCH(OFFSET(Usage!$D13,0,-2),'Emission Factors'!$B$7:$B$24,0))*INDEX(Usage!$I$5:$I$31,MATCH('In-Shop Emissions'!$C14,Usage!$D$5:$D$31,0))*(1-'Emission Factors'!$E$28),"--")</f>
        <v>1.0284224478462094E-5</v>
      </c>
      <c r="Q14" s="97" t="str">
        <f ca="1">IFERROR(INDEX('Emission Factors'!P$7:P$24,MATCH(OFFSET(Usage!$D13,0,-2),'Emission Factors'!$B$7:$B$24,0))*INDEX(Usage!$I$5:$I$31,MATCH('In-Shop Emissions'!$C14,Usage!$D$5:$D$31,0))*(1-'Emission Factors'!$E$28),"--")</f>
        <v>--</v>
      </c>
      <c r="R14" s="301" t="str">
        <f ca="1">IFERROR(INDEX('Emission Factors'!Q$7:Q$24,MATCH(OFFSET(Usage!$D13,0,-2),'Emission Factors'!$B$7:$B$24,0))*INDEX(Usage!$I$5:$I$31,MATCH('In-Shop Emissions'!$C14,Usage!$D$5:$D$31,0))*(1-'Emission Factors'!$E$28),"--")</f>
        <v>--</v>
      </c>
      <c r="S14" s="281" t="str">
        <f ca="1">IFERROR(INDEX('Emission Factors'!R$7:R$24,MATCH(OFFSET(Usage!$D13,0,-2),'Emission Factors'!$B$7:$B$24,0))*INDEX(Usage!$I$5:$I$31,MATCH('In-Shop Emissions'!$C14,Usage!$D$5:$D$31,0))*(1-'Emission Factors'!$E$28),"--")</f>
        <v>--</v>
      </c>
      <c r="T14" s="281">
        <f ca="1">IFERROR(INDEX('Emission Factors'!S$7:S$24,MATCH(OFFSET(Usage!$D13,0,-2),'Emission Factors'!$B$7:$B$24,0))*INDEX(Usage!$I$5:$I$31,MATCH('In-Shop Emissions'!$C14,Usage!$D$5:$D$31,0))*(1-'Emission Factors'!$E$28),"--")</f>
        <v>6.8853575237102722E-6</v>
      </c>
    </row>
    <row r="15" spans="2:20" x14ac:dyDescent="0.25">
      <c r="B15" s="190" t="s">
        <v>36</v>
      </c>
      <c r="C15" s="299" t="s">
        <v>76</v>
      </c>
      <c r="D15" s="300" t="str">
        <f ca="1">IFERROR(INDEX('Emission Factors'!C$7:C$24,MATCH(OFFSET(Usage!$D14,0,-2),'Emission Factors'!$B$7:$B$24,0))*INDEX(Usage!$I$5:$I$31,MATCH('In-Shop Emissions'!$C15,Usage!$D$5:$D$31,0))*(1-'Emission Factors'!$E$28),"--")</f>
        <v>--</v>
      </c>
      <c r="E15" s="97" t="str">
        <f ca="1">IFERROR(INDEX('Emission Factors'!D$7:D$24,MATCH(OFFSET(Usage!$D14,0,-2),'Emission Factors'!$B$7:$B$24,0))*INDEX(Usage!$I$5:$I$31,MATCH('In-Shop Emissions'!$C15,Usage!$D$5:$D$31,0))*(1-'Emission Factors'!$E$28),"--")</f>
        <v>--</v>
      </c>
      <c r="F15" s="97" t="str">
        <f ca="1">IFERROR(INDEX('Emission Factors'!E$7:E$24,MATCH(OFFSET(Usage!$D14,0,-2),'Emission Factors'!$B$7:$B$24,0))*INDEX(Usage!$I$5:$I$31,MATCH('In-Shop Emissions'!$C15,Usage!$D$5:$D$31,0))*(1-'Emission Factors'!$E$28),"--")</f>
        <v>--</v>
      </c>
      <c r="G15" s="97" t="str">
        <f ca="1">IFERROR(INDEX('Emission Factors'!F$7:F$24,MATCH(OFFSET(Usage!$D14,0,-2),'Emission Factors'!$B$7:$B$24,0))*INDEX(Usage!$I$5:$I$31,MATCH('In-Shop Emissions'!$C15,Usage!$D$5:$D$31,0))*(1-'Emission Factors'!$E$28),"--")</f>
        <v>--</v>
      </c>
      <c r="H15" s="97" t="str">
        <f ca="1">IFERROR(INDEX('Emission Factors'!G$7:G$24,MATCH(OFFSET(Usage!$D14,0,-2),'Emission Factors'!$B$7:$B$24,0))*INDEX(Usage!$I$5:$I$31,MATCH('In-Shop Emissions'!$C15,Usage!$D$5:$D$31,0))*(1-'Emission Factors'!$E$28),"--")</f>
        <v>--</v>
      </c>
      <c r="I15" s="97">
        <f ca="1">IFERROR(INDEX('Emission Factors'!H$7:H$24,MATCH(OFFSET(Usage!$D14,0,-2),'Emission Factors'!$B$7:$B$24,0))*INDEX(Usage!$I$5:$I$31,MATCH('In-Shop Emissions'!$C15,Usage!$D$5:$D$31,0))*(1-'Emission Factors'!$E$28),"--")</f>
        <v>6.4080000000000051E-5</v>
      </c>
      <c r="J15" s="97">
        <f ca="1">IFERROR(INDEX('Emission Factors'!I$7:I$24,MATCH(OFFSET(Usage!$D14,0,-2),'Emission Factors'!$B$7:$B$24,0))*INDEX(Usage!$I$5:$I$31,MATCH('In-Shop Emissions'!$C15,Usage!$D$5:$D$31,0))*(1-'Emission Factors'!$E$28),"--")</f>
        <v>3.2800000000000025E-6</v>
      </c>
      <c r="K15" s="97">
        <f ca="1">IFERROR(INDEX('Emission Factors'!J$7:J$24,MATCH(OFFSET(Usage!$D14,0,-2),'Emission Factors'!$B$7:$B$24,0))*INDEX(Usage!$I$5:$I$31,MATCH('In-Shop Emissions'!$C15,Usage!$D$5:$D$31,0))*(1-'Emission Factors'!$E$28),"--")</f>
        <v>5.6825600000000053E-6</v>
      </c>
      <c r="L15" s="97">
        <f ca="1">IFERROR(INDEX('Emission Factors'!K$7:K$24,MATCH(OFFSET(Usage!$D14,0,-2),'Emission Factors'!$B$7:$B$24,0))*INDEX(Usage!$I$5:$I$31,MATCH('In-Shop Emissions'!$C15,Usage!$D$5:$D$31,0))*(1-'Emission Factors'!$E$28),"--")</f>
        <v>2.5440000000000022E-4</v>
      </c>
      <c r="M15" s="97">
        <f ca="1">IFERROR(INDEX('Emission Factors'!L$7:L$24,MATCH(OFFSET(Usage!$D14,0,-2),'Emission Factors'!$B$7:$B$24,0))*INDEX(Usage!$I$5:$I$31,MATCH('In-Shop Emissions'!$C15,Usage!$D$5:$D$31,0))*(1-'Emission Factors'!$E$28),"--")</f>
        <v>8.000000000000006E-7</v>
      </c>
      <c r="N15" s="97">
        <f ca="1">IFERROR(INDEX('Emission Factors'!M$7:M$24,MATCH(OFFSET(Usage!$D14,0,-2),'Emission Factors'!$B$7:$B$24,0))*INDEX(Usage!$I$5:$I$31,MATCH('In-Shop Emissions'!$C15,Usage!$D$5:$D$31,0))*(1-'Emission Factors'!$E$28),"--")</f>
        <v>2.8412800000000025E-7</v>
      </c>
      <c r="O15" s="97" t="str">
        <f ca="1">IFERROR(INDEX('Emission Factors'!N$7:N$24,MATCH(OFFSET(Usage!$D14,0,-2),'Emission Factors'!$B$7:$B$24,0))*INDEX(Usage!$I$5:$I$31,MATCH('In-Shop Emissions'!$C15,Usage!$D$5:$D$31,0))*(1-'Emission Factors'!$E$28),"--")</f>
        <v>--</v>
      </c>
      <c r="P15" s="97">
        <f ca="1">IFERROR(INDEX('Emission Factors'!O$7:O$24,MATCH(OFFSET(Usage!$D14,0,-2),'Emission Factors'!$B$7:$B$24,0))*INDEX(Usage!$I$5:$I$31,MATCH('In-Shop Emissions'!$C15,Usage!$D$5:$D$31,0))*(1-'Emission Factors'!$E$28),"--")</f>
        <v>4.1323883813456784E-5</v>
      </c>
      <c r="Q15" s="97">
        <f ca="1">IFERROR(INDEX('Emission Factors'!P$7:P$24,MATCH(OFFSET(Usage!$D14,0,-2),'Emission Factors'!$B$7:$B$24,0))*INDEX(Usage!$I$5:$I$31,MATCH('In-Shop Emissions'!$C15,Usage!$D$5:$D$31,0))*(1-'Emission Factors'!$E$28),"--")</f>
        <v>3.4095360000000024E-7</v>
      </c>
      <c r="R15" s="301" t="str">
        <f ca="1">IFERROR(INDEX('Emission Factors'!Q$7:Q$24,MATCH(OFFSET(Usage!$D14,0,-2),'Emission Factors'!$B$7:$B$24,0))*INDEX(Usage!$I$5:$I$31,MATCH('In-Shop Emissions'!$C15,Usage!$D$5:$D$31,0))*(1-'Emission Factors'!$E$28),"--")</f>
        <v>--</v>
      </c>
      <c r="S15" s="281" t="str">
        <f ca="1">IFERROR(INDEX('Emission Factors'!R$7:R$24,MATCH(OFFSET(Usage!$D14,0,-2),'Emission Factors'!$B$7:$B$24,0))*INDEX(Usage!$I$5:$I$31,MATCH('In-Shop Emissions'!$C15,Usage!$D$5:$D$31,0))*(1-'Emission Factors'!$E$28),"--")</f>
        <v>--</v>
      </c>
      <c r="T15" s="281">
        <f ca="1">IFERROR(INDEX('Emission Factors'!S$7:S$24,MATCH(OFFSET(Usage!$D14,0,-2),'Emission Factors'!$B$7:$B$24,0))*INDEX(Usage!$I$5:$I$31,MATCH('In-Shop Emissions'!$C15,Usage!$D$5:$D$31,0))*(1-'Emission Factors'!$E$28),"--")</f>
        <v>2.5574185088066719E-6</v>
      </c>
    </row>
    <row r="16" spans="2:20" x14ac:dyDescent="0.25">
      <c r="B16" s="190" t="s">
        <v>39</v>
      </c>
      <c r="C16" s="299" t="s">
        <v>77</v>
      </c>
      <c r="D16" s="300" t="str">
        <f ca="1">IFERROR(INDEX('Emission Factors'!C$7:C$24,MATCH(OFFSET(Usage!$D15,0,-2),'Emission Factors'!$B$7:$B$24,0))*INDEX(Usage!$I$5:$I$31,MATCH('In-Shop Emissions'!$C16,Usage!$D$5:$D$31,0))*(1-'Emission Factors'!$E$28),"--")</f>
        <v>--</v>
      </c>
      <c r="E16" s="97" t="str">
        <f ca="1">IFERROR(INDEX('Emission Factors'!D$7:D$24,MATCH(OFFSET(Usage!$D15,0,-2),'Emission Factors'!$B$7:$B$24,0))*INDEX(Usage!$I$5:$I$31,MATCH('In-Shop Emissions'!$C16,Usage!$D$5:$D$31,0))*(1-'Emission Factors'!$E$28),"--")</f>
        <v>--</v>
      </c>
      <c r="F16" s="97" t="str">
        <f ca="1">IFERROR(INDEX('Emission Factors'!E$7:E$24,MATCH(OFFSET(Usage!$D15,0,-2),'Emission Factors'!$B$7:$B$24,0))*INDEX(Usage!$I$5:$I$31,MATCH('In-Shop Emissions'!$C16,Usage!$D$5:$D$31,0))*(1-'Emission Factors'!$E$28),"--")</f>
        <v>--</v>
      </c>
      <c r="G16" s="97" t="str">
        <f ca="1">IFERROR(INDEX('Emission Factors'!F$7:F$24,MATCH(OFFSET(Usage!$D15,0,-2),'Emission Factors'!$B$7:$B$24,0))*INDEX(Usage!$I$5:$I$31,MATCH('In-Shop Emissions'!$C16,Usage!$D$5:$D$31,0))*(1-'Emission Factors'!$E$28),"--")</f>
        <v>--</v>
      </c>
      <c r="H16" s="97" t="str">
        <f ca="1">IFERROR(INDEX('Emission Factors'!G$7:G$24,MATCH(OFFSET(Usage!$D15,0,-2),'Emission Factors'!$B$7:$B$24,0))*INDEX(Usage!$I$5:$I$31,MATCH('In-Shop Emissions'!$C16,Usage!$D$5:$D$31,0))*(1-'Emission Factors'!$E$28),"--")</f>
        <v>--</v>
      </c>
      <c r="I16" s="97">
        <f ca="1">IFERROR(INDEX('Emission Factors'!H$7:H$24,MATCH(OFFSET(Usage!$D15,0,-2),'Emission Factors'!$B$7:$B$24,0))*INDEX(Usage!$I$5:$I$31,MATCH('In-Shop Emissions'!$C16,Usage!$D$5:$D$31,0))*(1-'Emission Factors'!$E$28),"--")</f>
        <v>2.1856000000000022E-5</v>
      </c>
      <c r="J16" s="97">
        <f ca="1">IFERROR(INDEX('Emission Factors'!I$7:I$24,MATCH(OFFSET(Usage!$D15,0,-2),'Emission Factors'!$B$7:$B$24,0))*INDEX(Usage!$I$5:$I$31,MATCH('In-Shop Emissions'!$C16,Usage!$D$5:$D$31,0))*(1-'Emission Factors'!$E$28),"--")</f>
        <v>1.092800000000001E-6</v>
      </c>
      <c r="K16" s="97">
        <f ca="1">IFERROR(INDEX('Emission Factors'!J$7:J$24,MATCH(OFFSET(Usage!$D15,0,-2),'Emission Factors'!$B$7:$B$24,0))*INDEX(Usage!$I$5:$I$31,MATCH('In-Shop Emissions'!$C16,Usage!$D$5:$D$31,0))*(1-'Emission Factors'!$E$28),"--")</f>
        <v>4.371200000000004E-6</v>
      </c>
      <c r="L16" s="97">
        <f ca="1">IFERROR(INDEX('Emission Factors'!K$7:K$24,MATCH(OFFSET(Usage!$D15,0,-2),'Emission Factors'!$B$7:$B$24,0))*INDEX(Usage!$I$5:$I$31,MATCH('In-Shop Emissions'!$C16,Usage!$D$5:$D$31,0))*(1-'Emission Factors'!$E$28),"--")</f>
        <v>4.8083200000000041E-6</v>
      </c>
      <c r="M16" s="97">
        <f ca="1">IFERROR(INDEX('Emission Factors'!L$7:L$24,MATCH(OFFSET(Usage!$D15,0,-2),'Emission Factors'!$B$7:$B$24,0))*INDEX(Usage!$I$5:$I$31,MATCH('In-Shop Emissions'!$C16,Usage!$D$5:$D$31,0))*(1-'Emission Factors'!$E$28),"--")</f>
        <v>5.2454400000000051E-6</v>
      </c>
      <c r="N16" s="97">
        <f ca="1">IFERROR(INDEX('Emission Factors'!M$7:M$24,MATCH(OFFSET(Usage!$D15,0,-2),'Emission Factors'!$B$7:$B$24,0))*INDEX(Usage!$I$5:$I$31,MATCH('In-Shop Emissions'!$C16,Usage!$D$5:$D$31,0))*(1-'Emission Factors'!$E$28),"--")</f>
        <v>3.4969600000000033E-6</v>
      </c>
      <c r="O16" s="97" t="str">
        <f ca="1">IFERROR(INDEX('Emission Factors'!N$7:N$24,MATCH(OFFSET(Usage!$D15,0,-2),'Emission Factors'!$B$7:$B$24,0))*INDEX(Usage!$I$5:$I$31,MATCH('In-Shop Emissions'!$C16,Usage!$D$5:$D$31,0))*(1-'Emission Factors'!$E$28),"--")</f>
        <v>--</v>
      </c>
      <c r="P16" s="97">
        <f ca="1">IFERROR(INDEX('Emission Factors'!O$7:O$24,MATCH(OFFSET(Usage!$D15,0,-2),'Emission Factors'!$B$7:$B$24,0))*INDEX(Usage!$I$5:$I$31,MATCH('In-Shop Emissions'!$C16,Usage!$D$5:$D$31,0))*(1-'Emission Factors'!$E$28),"--")</f>
        <v>1.0284224478462094E-5</v>
      </c>
      <c r="Q16" s="97" t="str">
        <f ca="1">IFERROR(INDEX('Emission Factors'!P$7:P$24,MATCH(OFFSET(Usage!$D15,0,-2),'Emission Factors'!$B$7:$B$24,0))*INDEX(Usage!$I$5:$I$31,MATCH('In-Shop Emissions'!$C16,Usage!$D$5:$D$31,0))*(1-'Emission Factors'!$E$28),"--")</f>
        <v>--</v>
      </c>
      <c r="R16" s="301" t="str">
        <f ca="1">IFERROR(INDEX('Emission Factors'!Q$7:Q$24,MATCH(OFFSET(Usage!$D15,0,-2),'Emission Factors'!$B$7:$B$24,0))*INDEX(Usage!$I$5:$I$31,MATCH('In-Shop Emissions'!$C16,Usage!$D$5:$D$31,0))*(1-'Emission Factors'!$E$28),"--")</f>
        <v>--</v>
      </c>
      <c r="S16" s="281" t="str">
        <f ca="1">IFERROR(INDEX('Emission Factors'!R$7:R$24,MATCH(OFFSET(Usage!$D15,0,-2),'Emission Factors'!$B$7:$B$24,0))*INDEX(Usage!$I$5:$I$31,MATCH('In-Shop Emissions'!$C16,Usage!$D$5:$D$31,0))*(1-'Emission Factors'!$E$28),"--")</f>
        <v>--</v>
      </c>
      <c r="T16" s="281">
        <f ca="1">IFERROR(INDEX('Emission Factors'!S$7:S$24,MATCH(OFFSET(Usage!$D15,0,-2),'Emission Factors'!$B$7:$B$24,0))*INDEX(Usage!$I$5:$I$31,MATCH('In-Shop Emissions'!$C16,Usage!$D$5:$D$31,0))*(1-'Emission Factors'!$E$28),"--")</f>
        <v>1.3770715047420544E-5</v>
      </c>
    </row>
    <row r="17" spans="2:20" x14ac:dyDescent="0.25">
      <c r="B17" s="190">
        <v>6010</v>
      </c>
      <c r="C17" s="299" t="s">
        <v>78</v>
      </c>
      <c r="D17" s="300" t="str">
        <f ca="1">IFERROR(INDEX('Emission Factors'!C$7:C$24,MATCH(OFFSET(Usage!$D16,0,-2),'Emission Factors'!$B$7:$B$24,0))*INDEX(Usage!$I$5:$I$31,MATCH('In-Shop Emissions'!$C17,Usage!$D$5:$D$31,0))*(1-'Emission Factors'!$E$28),"--")</f>
        <v>--</v>
      </c>
      <c r="E17" s="97" t="str">
        <f ca="1">IFERROR(INDEX('Emission Factors'!D$7:D$24,MATCH(OFFSET(Usage!$D16,0,-2),'Emission Factors'!$B$7:$B$24,0))*INDEX(Usage!$I$5:$I$31,MATCH('In-Shop Emissions'!$C17,Usage!$D$5:$D$31,0))*(1-'Emission Factors'!$E$28),"--")</f>
        <v>--</v>
      </c>
      <c r="F17" s="97" t="str">
        <f ca="1">IFERROR(INDEX('Emission Factors'!E$7:E$24,MATCH(OFFSET(Usage!$D16,0,-2),'Emission Factors'!$B$7:$B$24,0))*INDEX(Usage!$I$5:$I$31,MATCH('In-Shop Emissions'!$C17,Usage!$D$5:$D$31,0))*(1-'Emission Factors'!$E$28),"--")</f>
        <v>--</v>
      </c>
      <c r="G17" s="97" t="str">
        <f ca="1">IFERROR(INDEX('Emission Factors'!F$7:F$24,MATCH(OFFSET(Usage!$D16,0,-2),'Emission Factors'!$B$7:$B$24,0))*INDEX(Usage!$I$5:$I$31,MATCH('In-Shop Emissions'!$C17,Usage!$D$5:$D$31,0))*(1-'Emission Factors'!$E$28),"--")</f>
        <v>--</v>
      </c>
      <c r="H17" s="97" t="str">
        <f ca="1">IFERROR(INDEX('Emission Factors'!G$7:G$24,MATCH(OFFSET(Usage!$D16,0,-2),'Emission Factors'!$B$7:$B$24,0))*INDEX(Usage!$I$5:$I$31,MATCH('In-Shop Emissions'!$C17,Usage!$D$5:$D$31,0))*(1-'Emission Factors'!$E$28),"--")</f>
        <v>--</v>
      </c>
      <c r="I17" s="97">
        <f ca="1">IFERROR(INDEX('Emission Factors'!H$7:H$24,MATCH(OFFSET(Usage!$D16,0,-2),'Emission Factors'!$B$7:$B$24,0))*INDEX(Usage!$I$5:$I$31,MATCH('In-Shop Emissions'!$C17,Usage!$D$5:$D$31,0))*(1-'Emission Factors'!$E$28),"--")</f>
        <v>2.400000000000002E-6</v>
      </c>
      <c r="J17" s="97">
        <f ca="1">IFERROR(INDEX('Emission Factors'!I$7:I$24,MATCH(OFFSET(Usage!$D16,0,-2),'Emission Factors'!$B$7:$B$24,0))*INDEX(Usage!$I$5:$I$31,MATCH('In-Shop Emissions'!$C17,Usage!$D$5:$D$31,0))*(1-'Emission Factors'!$E$28),"--")</f>
        <v>8.000000000000006E-7</v>
      </c>
      <c r="K17" s="97" t="str">
        <f ca="1">IFERROR(INDEX('Emission Factors'!J$7:J$24,MATCH(OFFSET(Usage!$D16,0,-2),'Emission Factors'!$B$7:$B$24,0))*INDEX(Usage!$I$5:$I$31,MATCH('In-Shop Emissions'!$C17,Usage!$D$5:$D$31,0))*(1-'Emission Factors'!$E$28),"--")</f>
        <v>--</v>
      </c>
      <c r="L17" s="97">
        <f ca="1">IFERROR(INDEX('Emission Factors'!K$7:K$24,MATCH(OFFSET(Usage!$D16,0,-2),'Emission Factors'!$B$7:$B$24,0))*INDEX(Usage!$I$5:$I$31,MATCH('In-Shop Emissions'!$C17,Usage!$D$5:$D$31,0))*(1-'Emission Factors'!$E$28),"--")</f>
        <v>7.9280000000000062E-4</v>
      </c>
      <c r="M17" s="97">
        <f ca="1">IFERROR(INDEX('Emission Factors'!L$7:L$24,MATCH(OFFSET(Usage!$D16,0,-2),'Emission Factors'!$B$7:$B$24,0))*INDEX(Usage!$I$5:$I$31,MATCH('In-Shop Emissions'!$C17,Usage!$D$5:$D$31,0))*(1-'Emission Factors'!$E$28),"--")</f>
        <v>3.2000000000000024E-6</v>
      </c>
      <c r="N17" s="97" t="str">
        <f ca="1">IFERROR(INDEX('Emission Factors'!M$7:M$24,MATCH(OFFSET(Usage!$D16,0,-2),'Emission Factors'!$B$7:$B$24,0))*INDEX(Usage!$I$5:$I$31,MATCH('In-Shop Emissions'!$C17,Usage!$D$5:$D$31,0))*(1-'Emission Factors'!$E$28),"--")</f>
        <v>--</v>
      </c>
      <c r="O17" s="97" t="str">
        <f ca="1">IFERROR(INDEX('Emission Factors'!N$7:N$24,MATCH(OFFSET(Usage!$D16,0,-2),'Emission Factors'!$B$7:$B$24,0))*INDEX(Usage!$I$5:$I$31,MATCH('In-Shop Emissions'!$C17,Usage!$D$5:$D$31,0))*(1-'Emission Factors'!$E$28),"--")</f>
        <v>--</v>
      </c>
      <c r="P17" s="97">
        <f ca="1">IFERROR(INDEX('Emission Factors'!O$7:O$24,MATCH(OFFSET(Usage!$D16,0,-2),'Emission Factors'!$B$7:$B$24,0))*INDEX(Usage!$I$5:$I$31,MATCH('In-Shop Emissions'!$C17,Usage!$D$5:$D$31,0))*(1-'Emission Factors'!$E$28),"--")</f>
        <v>8.664278263149279E-5</v>
      </c>
      <c r="Q17" s="97" t="str">
        <f ca="1">IFERROR(INDEX('Emission Factors'!P$7:P$24,MATCH(OFFSET(Usage!$D16,0,-2),'Emission Factors'!$B$7:$B$24,0))*INDEX(Usage!$I$5:$I$31,MATCH('In-Shop Emissions'!$C17,Usage!$D$5:$D$31,0))*(1-'Emission Factors'!$E$28),"--")</f>
        <v>--</v>
      </c>
      <c r="R17" s="301" t="str">
        <f ca="1">IFERROR(INDEX('Emission Factors'!Q$7:Q$24,MATCH(OFFSET(Usage!$D16,0,-2),'Emission Factors'!$B$7:$B$24,0))*INDEX(Usage!$I$5:$I$31,MATCH('In-Shop Emissions'!$C17,Usage!$D$5:$D$31,0))*(1-'Emission Factors'!$E$28),"--")</f>
        <v>--</v>
      </c>
      <c r="S17" s="281" t="str">
        <f ca="1">IFERROR(INDEX('Emission Factors'!R$7:R$24,MATCH(OFFSET(Usage!$D16,0,-2),'Emission Factors'!$B$7:$B$24,0))*INDEX(Usage!$I$5:$I$31,MATCH('In-Shop Emissions'!$C17,Usage!$D$5:$D$31,0))*(1-'Emission Factors'!$E$28),"--")</f>
        <v>--</v>
      </c>
      <c r="T17" s="281" t="str">
        <f ca="1">IFERROR(INDEX('Emission Factors'!S$7:S$24,MATCH(OFFSET(Usage!$D16,0,-2),'Emission Factors'!$B$7:$B$24,0))*INDEX(Usage!$I$5:$I$31,MATCH('In-Shop Emissions'!$C17,Usage!$D$5:$D$31,0))*(1-'Emission Factors'!$E$28),"--")</f>
        <v>--</v>
      </c>
    </row>
    <row r="18" spans="2:20" x14ac:dyDescent="0.25">
      <c r="B18" s="190">
        <v>6010</v>
      </c>
      <c r="C18" s="299" t="s">
        <v>79</v>
      </c>
      <c r="D18" s="300" t="str">
        <f ca="1">IFERROR(INDEX('Emission Factors'!C$7:C$24,MATCH(OFFSET(Usage!$D17,0,-2),'Emission Factors'!$B$7:$B$24,0))*INDEX(Usage!$I$5:$I$31,MATCH('In-Shop Emissions'!$C18,Usage!$D$5:$D$31,0))*(1-'Emission Factors'!$E$28),"--")</f>
        <v>--</v>
      </c>
      <c r="E18" s="97" t="str">
        <f ca="1">IFERROR(INDEX('Emission Factors'!D$7:D$24,MATCH(OFFSET(Usage!$D17,0,-2),'Emission Factors'!$B$7:$B$24,0))*INDEX(Usage!$I$5:$I$31,MATCH('In-Shop Emissions'!$C18,Usage!$D$5:$D$31,0))*(1-'Emission Factors'!$E$28),"--")</f>
        <v>--</v>
      </c>
      <c r="F18" s="97" t="str">
        <f ca="1">IFERROR(INDEX('Emission Factors'!E$7:E$24,MATCH(OFFSET(Usage!$D17,0,-2),'Emission Factors'!$B$7:$B$24,0))*INDEX(Usage!$I$5:$I$31,MATCH('In-Shop Emissions'!$C18,Usage!$D$5:$D$31,0))*(1-'Emission Factors'!$E$28),"--")</f>
        <v>--</v>
      </c>
      <c r="G18" s="97" t="str">
        <f ca="1">IFERROR(INDEX('Emission Factors'!F$7:F$24,MATCH(OFFSET(Usage!$D17,0,-2),'Emission Factors'!$B$7:$B$24,0))*INDEX(Usage!$I$5:$I$31,MATCH('In-Shop Emissions'!$C18,Usage!$D$5:$D$31,0))*(1-'Emission Factors'!$E$28),"--")</f>
        <v>--</v>
      </c>
      <c r="H18" s="97" t="str">
        <f ca="1">IFERROR(INDEX('Emission Factors'!G$7:G$24,MATCH(OFFSET(Usage!$D17,0,-2),'Emission Factors'!$B$7:$B$24,0))*INDEX(Usage!$I$5:$I$31,MATCH('In-Shop Emissions'!$C18,Usage!$D$5:$D$31,0))*(1-'Emission Factors'!$E$28),"--")</f>
        <v>--</v>
      </c>
      <c r="I18" s="97">
        <f ca="1">IFERROR(INDEX('Emission Factors'!H$7:H$24,MATCH(OFFSET(Usage!$D17,0,-2),'Emission Factors'!$B$7:$B$24,0))*INDEX(Usage!$I$5:$I$31,MATCH('In-Shop Emissions'!$C18,Usage!$D$5:$D$31,0))*(1-'Emission Factors'!$E$28),"--")</f>
        <v>2.400000000000002E-6</v>
      </c>
      <c r="J18" s="97">
        <f ca="1">IFERROR(INDEX('Emission Factors'!I$7:I$24,MATCH(OFFSET(Usage!$D17,0,-2),'Emission Factors'!$B$7:$B$24,0))*INDEX(Usage!$I$5:$I$31,MATCH('In-Shop Emissions'!$C18,Usage!$D$5:$D$31,0))*(1-'Emission Factors'!$E$28),"--")</f>
        <v>8.000000000000006E-7</v>
      </c>
      <c r="K18" s="97" t="str">
        <f ca="1">IFERROR(INDEX('Emission Factors'!J$7:J$24,MATCH(OFFSET(Usage!$D17,0,-2),'Emission Factors'!$B$7:$B$24,0))*INDEX(Usage!$I$5:$I$31,MATCH('In-Shop Emissions'!$C18,Usage!$D$5:$D$31,0))*(1-'Emission Factors'!$E$28),"--")</f>
        <v>--</v>
      </c>
      <c r="L18" s="97">
        <f ca="1">IFERROR(INDEX('Emission Factors'!K$7:K$24,MATCH(OFFSET(Usage!$D17,0,-2),'Emission Factors'!$B$7:$B$24,0))*INDEX(Usage!$I$5:$I$31,MATCH('In-Shop Emissions'!$C18,Usage!$D$5:$D$31,0))*(1-'Emission Factors'!$E$28),"--")</f>
        <v>7.9280000000000062E-4</v>
      </c>
      <c r="M18" s="97">
        <f ca="1">IFERROR(INDEX('Emission Factors'!L$7:L$24,MATCH(OFFSET(Usage!$D17,0,-2),'Emission Factors'!$B$7:$B$24,0))*INDEX(Usage!$I$5:$I$31,MATCH('In-Shop Emissions'!$C18,Usage!$D$5:$D$31,0))*(1-'Emission Factors'!$E$28),"--")</f>
        <v>3.2000000000000024E-6</v>
      </c>
      <c r="N18" s="97" t="str">
        <f ca="1">IFERROR(INDEX('Emission Factors'!M$7:M$24,MATCH(OFFSET(Usage!$D17,0,-2),'Emission Factors'!$B$7:$B$24,0))*INDEX(Usage!$I$5:$I$31,MATCH('In-Shop Emissions'!$C18,Usage!$D$5:$D$31,0))*(1-'Emission Factors'!$E$28),"--")</f>
        <v>--</v>
      </c>
      <c r="O18" s="97" t="str">
        <f ca="1">IFERROR(INDEX('Emission Factors'!N$7:N$24,MATCH(OFFSET(Usage!$D17,0,-2),'Emission Factors'!$B$7:$B$24,0))*INDEX(Usage!$I$5:$I$31,MATCH('In-Shop Emissions'!$C18,Usage!$D$5:$D$31,0))*(1-'Emission Factors'!$E$28),"--")</f>
        <v>--</v>
      </c>
      <c r="P18" s="97">
        <f ca="1">IFERROR(INDEX('Emission Factors'!O$7:O$24,MATCH(OFFSET(Usage!$D17,0,-2),'Emission Factors'!$B$7:$B$24,0))*INDEX(Usage!$I$5:$I$31,MATCH('In-Shop Emissions'!$C18,Usage!$D$5:$D$31,0))*(1-'Emission Factors'!$E$28),"--")</f>
        <v>8.664278263149279E-5</v>
      </c>
      <c r="Q18" s="97" t="str">
        <f ca="1">IFERROR(INDEX('Emission Factors'!P$7:P$24,MATCH(OFFSET(Usage!$D17,0,-2),'Emission Factors'!$B$7:$B$24,0))*INDEX(Usage!$I$5:$I$31,MATCH('In-Shop Emissions'!$C18,Usage!$D$5:$D$31,0))*(1-'Emission Factors'!$E$28),"--")</f>
        <v>--</v>
      </c>
      <c r="R18" s="301" t="str">
        <f ca="1">IFERROR(INDEX('Emission Factors'!Q$7:Q$24,MATCH(OFFSET(Usage!$D17,0,-2),'Emission Factors'!$B$7:$B$24,0))*INDEX(Usage!$I$5:$I$31,MATCH('In-Shop Emissions'!$C18,Usage!$D$5:$D$31,0))*(1-'Emission Factors'!$E$28),"--")</f>
        <v>--</v>
      </c>
      <c r="S18" s="281" t="str">
        <f ca="1">IFERROR(INDEX('Emission Factors'!R$7:R$24,MATCH(OFFSET(Usage!$D17,0,-2),'Emission Factors'!$B$7:$B$24,0))*INDEX(Usage!$I$5:$I$31,MATCH('In-Shop Emissions'!$C18,Usage!$D$5:$D$31,0))*(1-'Emission Factors'!$E$28),"--")</f>
        <v>--</v>
      </c>
      <c r="T18" s="281" t="str">
        <f ca="1">IFERROR(INDEX('Emission Factors'!S$7:S$24,MATCH(OFFSET(Usage!$D17,0,-2),'Emission Factors'!$B$7:$B$24,0))*INDEX(Usage!$I$5:$I$31,MATCH('In-Shop Emissions'!$C18,Usage!$D$5:$D$31,0))*(1-'Emission Factors'!$E$28),"--")</f>
        <v>--</v>
      </c>
    </row>
    <row r="19" spans="2:20" x14ac:dyDescent="0.25">
      <c r="B19" s="190">
        <v>6010</v>
      </c>
      <c r="C19" s="299" t="s">
        <v>80</v>
      </c>
      <c r="D19" s="300" t="str">
        <f ca="1">IFERROR(INDEX('Emission Factors'!C$7:C$24,MATCH(OFFSET(Usage!$D18,0,-2),'Emission Factors'!$B$7:$B$24,0))*INDEX(Usage!$I$5:$I$31,MATCH('In-Shop Emissions'!$C19,Usage!$D$5:$D$31,0))*(1-'Emission Factors'!$E$28),"--")</f>
        <v>--</v>
      </c>
      <c r="E19" s="97" t="str">
        <f ca="1">IFERROR(INDEX('Emission Factors'!D$7:D$24,MATCH(OFFSET(Usage!$D18,0,-2),'Emission Factors'!$B$7:$B$24,0))*INDEX(Usage!$I$5:$I$31,MATCH('In-Shop Emissions'!$C19,Usage!$D$5:$D$31,0))*(1-'Emission Factors'!$E$28),"--")</f>
        <v>--</v>
      </c>
      <c r="F19" s="97" t="str">
        <f ca="1">IFERROR(INDEX('Emission Factors'!E$7:E$24,MATCH(OFFSET(Usage!$D18,0,-2),'Emission Factors'!$B$7:$B$24,0))*INDEX(Usage!$I$5:$I$31,MATCH('In-Shop Emissions'!$C19,Usage!$D$5:$D$31,0))*(1-'Emission Factors'!$E$28),"--")</f>
        <v>--</v>
      </c>
      <c r="G19" s="97" t="str">
        <f ca="1">IFERROR(INDEX('Emission Factors'!F$7:F$24,MATCH(OFFSET(Usage!$D18,0,-2),'Emission Factors'!$B$7:$B$24,0))*INDEX(Usage!$I$5:$I$31,MATCH('In-Shop Emissions'!$C19,Usage!$D$5:$D$31,0))*(1-'Emission Factors'!$E$28),"--")</f>
        <v>--</v>
      </c>
      <c r="H19" s="97" t="str">
        <f ca="1">IFERROR(INDEX('Emission Factors'!G$7:G$24,MATCH(OFFSET(Usage!$D18,0,-2),'Emission Factors'!$B$7:$B$24,0))*INDEX(Usage!$I$5:$I$31,MATCH('In-Shop Emissions'!$C19,Usage!$D$5:$D$31,0))*(1-'Emission Factors'!$E$28),"--")</f>
        <v>--</v>
      </c>
      <c r="I19" s="97">
        <f ca="1">IFERROR(INDEX('Emission Factors'!H$7:H$24,MATCH(OFFSET(Usage!$D18,0,-2),'Emission Factors'!$B$7:$B$24,0))*INDEX(Usage!$I$5:$I$31,MATCH('In-Shop Emissions'!$C19,Usage!$D$5:$D$31,0))*(1-'Emission Factors'!$E$28),"--")</f>
        <v>2.400000000000002E-6</v>
      </c>
      <c r="J19" s="97">
        <f ca="1">IFERROR(INDEX('Emission Factors'!I$7:I$24,MATCH(OFFSET(Usage!$D18,0,-2),'Emission Factors'!$B$7:$B$24,0))*INDEX(Usage!$I$5:$I$31,MATCH('In-Shop Emissions'!$C19,Usage!$D$5:$D$31,0))*(1-'Emission Factors'!$E$28),"--")</f>
        <v>8.000000000000006E-7</v>
      </c>
      <c r="K19" s="97" t="str">
        <f ca="1">IFERROR(INDEX('Emission Factors'!J$7:J$24,MATCH(OFFSET(Usage!$D18,0,-2),'Emission Factors'!$B$7:$B$24,0))*INDEX(Usage!$I$5:$I$31,MATCH('In-Shop Emissions'!$C19,Usage!$D$5:$D$31,0))*(1-'Emission Factors'!$E$28),"--")</f>
        <v>--</v>
      </c>
      <c r="L19" s="97">
        <f ca="1">IFERROR(INDEX('Emission Factors'!K$7:K$24,MATCH(OFFSET(Usage!$D18,0,-2),'Emission Factors'!$B$7:$B$24,0))*INDEX(Usage!$I$5:$I$31,MATCH('In-Shop Emissions'!$C19,Usage!$D$5:$D$31,0))*(1-'Emission Factors'!$E$28),"--")</f>
        <v>7.9280000000000062E-4</v>
      </c>
      <c r="M19" s="97">
        <f ca="1">IFERROR(INDEX('Emission Factors'!L$7:L$24,MATCH(OFFSET(Usage!$D18,0,-2),'Emission Factors'!$B$7:$B$24,0))*INDEX(Usage!$I$5:$I$31,MATCH('In-Shop Emissions'!$C19,Usage!$D$5:$D$31,0))*(1-'Emission Factors'!$E$28),"--")</f>
        <v>3.2000000000000024E-6</v>
      </c>
      <c r="N19" s="97" t="str">
        <f ca="1">IFERROR(INDEX('Emission Factors'!M$7:M$24,MATCH(OFFSET(Usage!$D18,0,-2),'Emission Factors'!$B$7:$B$24,0))*INDEX(Usage!$I$5:$I$31,MATCH('In-Shop Emissions'!$C19,Usage!$D$5:$D$31,0))*(1-'Emission Factors'!$E$28),"--")</f>
        <v>--</v>
      </c>
      <c r="O19" s="97" t="str">
        <f ca="1">IFERROR(INDEX('Emission Factors'!N$7:N$24,MATCH(OFFSET(Usage!$D18,0,-2),'Emission Factors'!$B$7:$B$24,0))*INDEX(Usage!$I$5:$I$31,MATCH('In-Shop Emissions'!$C19,Usage!$D$5:$D$31,0))*(1-'Emission Factors'!$E$28),"--")</f>
        <v>--</v>
      </c>
      <c r="P19" s="97">
        <f ca="1">IFERROR(INDEX('Emission Factors'!O$7:O$24,MATCH(OFFSET(Usage!$D18,0,-2),'Emission Factors'!$B$7:$B$24,0))*INDEX(Usage!$I$5:$I$31,MATCH('In-Shop Emissions'!$C19,Usage!$D$5:$D$31,0))*(1-'Emission Factors'!$E$28),"--")</f>
        <v>8.664278263149279E-5</v>
      </c>
      <c r="Q19" s="97" t="str">
        <f ca="1">IFERROR(INDEX('Emission Factors'!P$7:P$24,MATCH(OFFSET(Usage!$D18,0,-2),'Emission Factors'!$B$7:$B$24,0))*INDEX(Usage!$I$5:$I$31,MATCH('In-Shop Emissions'!$C19,Usage!$D$5:$D$31,0))*(1-'Emission Factors'!$E$28),"--")</f>
        <v>--</v>
      </c>
      <c r="R19" s="301" t="str">
        <f ca="1">IFERROR(INDEX('Emission Factors'!Q$7:Q$24,MATCH(OFFSET(Usage!$D18,0,-2),'Emission Factors'!$B$7:$B$24,0))*INDEX(Usage!$I$5:$I$31,MATCH('In-Shop Emissions'!$C19,Usage!$D$5:$D$31,0))*(1-'Emission Factors'!$E$28),"--")</f>
        <v>--</v>
      </c>
      <c r="S19" s="281" t="str">
        <f ca="1">IFERROR(INDEX('Emission Factors'!R$7:R$24,MATCH(OFFSET(Usage!$D18,0,-2),'Emission Factors'!$B$7:$B$24,0))*INDEX(Usage!$I$5:$I$31,MATCH('In-Shop Emissions'!$C19,Usage!$D$5:$D$31,0))*(1-'Emission Factors'!$E$28),"--")</f>
        <v>--</v>
      </c>
      <c r="T19" s="281" t="str">
        <f ca="1">IFERROR(INDEX('Emission Factors'!S$7:S$24,MATCH(OFFSET(Usage!$D18,0,-2),'Emission Factors'!$B$7:$B$24,0))*INDEX(Usage!$I$5:$I$31,MATCH('In-Shop Emissions'!$C19,Usage!$D$5:$D$31,0))*(1-'Emission Factors'!$E$28),"--")</f>
        <v>--</v>
      </c>
    </row>
    <row r="20" spans="2:20" x14ac:dyDescent="0.25">
      <c r="B20" s="190">
        <v>6011</v>
      </c>
      <c r="C20" s="299" t="s">
        <v>81</v>
      </c>
      <c r="D20" s="300" t="str">
        <f ca="1">IFERROR(INDEX('Emission Factors'!C$7:C$24,MATCH(OFFSET(Usage!$D19,0,-2),'Emission Factors'!$B$7:$B$24,0))*INDEX(Usage!$I$5:$I$31,MATCH('In-Shop Emissions'!$C20,Usage!$D$5:$D$31,0))*(1-'Emission Factors'!$E$28),"--")</f>
        <v>--</v>
      </c>
      <c r="E20" s="97" t="str">
        <f ca="1">IFERROR(INDEX('Emission Factors'!D$7:D$24,MATCH(OFFSET(Usage!$D19,0,-2),'Emission Factors'!$B$7:$B$24,0))*INDEX(Usage!$I$5:$I$31,MATCH('In-Shop Emissions'!$C20,Usage!$D$5:$D$31,0))*(1-'Emission Factors'!$E$28),"--")</f>
        <v>--</v>
      </c>
      <c r="F20" s="97" t="str">
        <f ca="1">IFERROR(INDEX('Emission Factors'!E$7:E$24,MATCH(OFFSET(Usage!$D19,0,-2),'Emission Factors'!$B$7:$B$24,0))*INDEX(Usage!$I$5:$I$31,MATCH('In-Shop Emissions'!$C20,Usage!$D$5:$D$31,0))*(1-'Emission Factors'!$E$28),"--")</f>
        <v>--</v>
      </c>
      <c r="G20" s="97" t="str">
        <f ca="1">IFERROR(INDEX('Emission Factors'!F$7:F$24,MATCH(OFFSET(Usage!$D19,0,-2),'Emission Factors'!$B$7:$B$24,0))*INDEX(Usage!$I$5:$I$31,MATCH('In-Shop Emissions'!$C20,Usage!$D$5:$D$31,0))*(1-'Emission Factors'!$E$28),"--")</f>
        <v>--</v>
      </c>
      <c r="H20" s="97">
        <f ca="1">IFERROR(INDEX('Emission Factors'!G$7:G$24,MATCH(OFFSET(Usage!$D19,0,-2),'Emission Factors'!$B$7:$B$24,0))*INDEX(Usage!$I$5:$I$31,MATCH('In-Shop Emissions'!$C20,Usage!$D$5:$D$31,0))*(1-'Emission Factors'!$E$28),"--")</f>
        <v>4.000000000000003E-7</v>
      </c>
      <c r="I20" s="97">
        <f ca="1">IFERROR(INDEX('Emission Factors'!H$7:H$24,MATCH(OFFSET(Usage!$D19,0,-2),'Emission Factors'!$B$7:$B$24,0))*INDEX(Usage!$I$5:$I$31,MATCH('In-Shop Emissions'!$C20,Usage!$D$5:$D$31,0))*(1-'Emission Factors'!$E$28),"--")</f>
        <v>2.000000000000002E-6</v>
      </c>
      <c r="J20" s="97">
        <f ca="1">IFERROR(INDEX('Emission Factors'!I$7:I$24,MATCH(OFFSET(Usage!$D19,0,-2),'Emission Factors'!$B$7:$B$24,0))*INDEX(Usage!$I$5:$I$31,MATCH('In-Shop Emissions'!$C20,Usage!$D$5:$D$31,0))*(1-'Emission Factors'!$E$28),"--")</f>
        <v>1.1000000000000009E-6</v>
      </c>
      <c r="K20" s="97" t="str">
        <f ca="1">IFERROR(INDEX('Emission Factors'!J$7:J$24,MATCH(OFFSET(Usage!$D19,0,-2),'Emission Factors'!$B$7:$B$24,0))*INDEX(Usage!$I$5:$I$31,MATCH('In-Shop Emissions'!$C20,Usage!$D$5:$D$31,0))*(1-'Emission Factors'!$E$28),"--")</f>
        <v>--</v>
      </c>
      <c r="L20" s="97">
        <f ca="1">IFERROR(INDEX('Emission Factors'!K$7:K$24,MATCH(OFFSET(Usage!$D19,0,-2),'Emission Factors'!$B$7:$B$24,0))*INDEX(Usage!$I$5:$I$31,MATCH('In-Shop Emissions'!$C20,Usage!$D$5:$D$31,0))*(1-'Emission Factors'!$E$28),"--")</f>
        <v>3.9920000000000032E-4</v>
      </c>
      <c r="M20" s="97">
        <f ca="1">IFERROR(INDEX('Emission Factors'!L$7:L$24,MATCH(OFFSET(Usage!$D19,0,-2),'Emission Factors'!$B$7:$B$24,0))*INDEX(Usage!$I$5:$I$31,MATCH('In-Shop Emissions'!$C20,Usage!$D$5:$D$31,0))*(1-'Emission Factors'!$E$28),"--")</f>
        <v>2.000000000000002E-6</v>
      </c>
      <c r="N20" s="97" t="str">
        <f ca="1">IFERROR(INDEX('Emission Factors'!M$7:M$24,MATCH(OFFSET(Usage!$D19,0,-2),'Emission Factors'!$B$7:$B$24,0))*INDEX(Usage!$I$5:$I$31,MATCH('In-Shop Emissions'!$C20,Usage!$D$5:$D$31,0))*(1-'Emission Factors'!$E$28),"--")</f>
        <v>--</v>
      </c>
      <c r="O20" s="97" t="str">
        <f ca="1">IFERROR(INDEX('Emission Factors'!N$7:N$24,MATCH(OFFSET(Usage!$D19,0,-2),'Emission Factors'!$B$7:$B$24,0))*INDEX(Usage!$I$5:$I$31,MATCH('In-Shop Emissions'!$C20,Usage!$D$5:$D$31,0))*(1-'Emission Factors'!$E$28),"--")</f>
        <v>--</v>
      </c>
      <c r="P20" s="97">
        <f ca="1">IFERROR(INDEX('Emission Factors'!O$7:O$24,MATCH(OFFSET(Usage!$D19,0,-2),'Emission Factors'!$B$7:$B$24,0))*INDEX(Usage!$I$5:$I$31,MATCH('In-Shop Emissions'!$C20,Usage!$D$5:$D$31,0))*(1-'Emission Factors'!$E$28),"--")</f>
        <v>2.4203520000000015E-5</v>
      </c>
      <c r="Q20" s="97" t="str">
        <f ca="1">IFERROR(INDEX('Emission Factors'!P$7:P$24,MATCH(OFFSET(Usage!$D19,0,-2),'Emission Factors'!$B$7:$B$24,0))*INDEX(Usage!$I$5:$I$31,MATCH('In-Shop Emissions'!$C20,Usage!$D$5:$D$31,0))*(1-'Emission Factors'!$E$28),"--")</f>
        <v>--</v>
      </c>
      <c r="R20" s="301" t="str">
        <f ca="1">IFERROR(INDEX('Emission Factors'!Q$7:Q$24,MATCH(OFFSET(Usage!$D19,0,-2),'Emission Factors'!$B$7:$B$24,0))*INDEX(Usage!$I$5:$I$31,MATCH('In-Shop Emissions'!$C20,Usage!$D$5:$D$31,0))*(1-'Emission Factors'!$E$28),"--")</f>
        <v>--</v>
      </c>
      <c r="S20" s="281" t="str">
        <f ca="1">IFERROR(INDEX('Emission Factors'!R$7:R$24,MATCH(OFFSET(Usage!$D19,0,-2),'Emission Factors'!$B$7:$B$24,0))*INDEX(Usage!$I$5:$I$31,MATCH('In-Shop Emissions'!$C20,Usage!$D$5:$D$31,0))*(1-'Emission Factors'!$E$28),"--")</f>
        <v>--</v>
      </c>
      <c r="T20" s="281" t="str">
        <f ca="1">IFERROR(INDEX('Emission Factors'!S$7:S$24,MATCH(OFFSET(Usage!$D19,0,-2),'Emission Factors'!$B$7:$B$24,0))*INDEX(Usage!$I$5:$I$31,MATCH('In-Shop Emissions'!$C20,Usage!$D$5:$D$31,0))*(1-'Emission Factors'!$E$28),"--")</f>
        <v>--</v>
      </c>
    </row>
    <row r="21" spans="2:20" x14ac:dyDescent="0.25">
      <c r="B21" s="190" t="s">
        <v>45</v>
      </c>
      <c r="C21" s="299" t="s">
        <v>82</v>
      </c>
      <c r="D21" s="300" t="str">
        <f ca="1">IFERROR(INDEX('Emission Factors'!C$7:C$24,MATCH(OFFSET(Usage!$D20,0,-2),'Emission Factors'!$B$7:$B$24,0))*INDEX(Usage!$I$5:$I$31,MATCH('In-Shop Emissions'!$C21,Usage!$D$5:$D$31,0))*(1-'Emission Factors'!$E$28),"--")</f>
        <v>--</v>
      </c>
      <c r="E21" s="97">
        <f ca="1">IFERROR(INDEX('Emission Factors'!D$7:D$24,MATCH(OFFSET(Usage!$D20,0,-2),'Emission Factors'!$B$7:$B$24,0))*INDEX(Usage!$I$5:$I$31,MATCH('In-Shop Emissions'!$C21,Usage!$D$5:$D$31,0))*(1-'Emission Factors'!$E$28),"--")</f>
        <v>2.6685749705766992E-6</v>
      </c>
      <c r="F21" s="97" t="str">
        <f ca="1">IFERROR(INDEX('Emission Factors'!E$7:E$24,MATCH(OFFSET(Usage!$D20,0,-2),'Emission Factors'!$B$7:$B$24,0))*INDEX(Usage!$I$5:$I$31,MATCH('In-Shop Emissions'!$C21,Usage!$D$5:$D$31,0))*(1-'Emission Factors'!$E$28),"--")</f>
        <v>--</v>
      </c>
      <c r="G21" s="97" t="str">
        <f ca="1">IFERROR(INDEX('Emission Factors'!F$7:F$24,MATCH(OFFSET(Usage!$D20,0,-2),'Emission Factors'!$B$7:$B$24,0))*INDEX(Usage!$I$5:$I$31,MATCH('In-Shop Emissions'!$C21,Usage!$D$5:$D$31,0))*(1-'Emission Factors'!$E$28),"--")</f>
        <v>--</v>
      </c>
      <c r="H21" s="97" t="str">
        <f ca="1">IFERROR(INDEX('Emission Factors'!G$7:G$24,MATCH(OFFSET(Usage!$D20,0,-2),'Emission Factors'!$B$7:$B$24,0))*INDEX(Usage!$I$5:$I$31,MATCH('In-Shop Emissions'!$C21,Usage!$D$5:$D$31,0))*(1-'Emission Factors'!$E$28),"--")</f>
        <v>--</v>
      </c>
      <c r="I21" s="97">
        <f ca="1">IFERROR(INDEX('Emission Factors'!H$7:H$24,MATCH(OFFSET(Usage!$D20,0,-2),'Emission Factors'!$B$7:$B$24,0))*INDEX(Usage!$I$5:$I$31,MATCH('In-Shop Emissions'!$C21,Usage!$D$5:$D$31,0))*(1-'Emission Factors'!$E$28),"--")</f>
        <v>3.2088000000000028E-4</v>
      </c>
      <c r="J21" s="97">
        <f ca="1">IFERROR(INDEX('Emission Factors'!I$7:I$24,MATCH(OFFSET(Usage!$D20,0,-2),'Emission Factors'!$B$7:$B$24,0))*INDEX(Usage!$I$5:$I$31,MATCH('In-Shop Emissions'!$C21,Usage!$D$5:$D$31,0))*(1-'Emission Factors'!$E$28),"--")</f>
        <v>1.7648400000000016E-4</v>
      </c>
      <c r="K21" s="97" t="str">
        <f ca="1">IFERROR(INDEX('Emission Factors'!J$7:J$24,MATCH(OFFSET(Usage!$D20,0,-2),'Emission Factors'!$B$7:$B$24,0))*INDEX(Usage!$I$5:$I$31,MATCH('In-Shop Emissions'!$C21,Usage!$D$5:$D$31,0))*(1-'Emission Factors'!$E$28),"--")</f>
        <v>--</v>
      </c>
      <c r="L21" s="97">
        <f ca="1">IFERROR(INDEX('Emission Factors'!K$7:K$24,MATCH(OFFSET(Usage!$D20,0,-2),'Emission Factors'!$B$7:$B$24,0))*INDEX(Usage!$I$5:$I$31,MATCH('In-Shop Emissions'!$C21,Usage!$D$5:$D$31,0))*(1-'Emission Factors'!$E$28),"--")</f>
        <v>2.7504000000000027E-5</v>
      </c>
      <c r="M21" s="97">
        <f ca="1">IFERROR(INDEX('Emission Factors'!L$7:L$24,MATCH(OFFSET(Usage!$D20,0,-2),'Emission Factors'!$B$7:$B$24,0))*INDEX(Usage!$I$5:$I$31,MATCH('In-Shop Emissions'!$C21,Usage!$D$5:$D$31,0))*(1-'Emission Factors'!$E$28),"--")</f>
        <v>5.0424000000000044E-6</v>
      </c>
      <c r="N21" s="97" t="str">
        <f ca="1">IFERROR(INDEX('Emission Factors'!M$7:M$24,MATCH(OFFSET(Usage!$D20,0,-2),'Emission Factors'!$B$7:$B$24,0))*INDEX(Usage!$I$5:$I$31,MATCH('In-Shop Emissions'!$C21,Usage!$D$5:$D$31,0))*(1-'Emission Factors'!$E$28),"--")</f>
        <v>--</v>
      </c>
      <c r="O21" s="97" t="str">
        <f ca="1">IFERROR(INDEX('Emission Factors'!N$7:N$24,MATCH(OFFSET(Usage!$D20,0,-2),'Emission Factors'!$B$7:$B$24,0))*INDEX(Usage!$I$5:$I$31,MATCH('In-Shop Emissions'!$C21,Usage!$D$5:$D$31,0))*(1-'Emission Factors'!$E$28),"--")</f>
        <v>--</v>
      </c>
      <c r="P21" s="97">
        <f ca="1">IFERROR(INDEX('Emission Factors'!O$7:O$24,MATCH(OFFSET(Usage!$D20,0,-2),'Emission Factors'!$B$7:$B$24,0))*INDEX(Usage!$I$5:$I$31,MATCH('In-Shop Emissions'!$C21,Usage!$D$5:$D$31,0))*(1-'Emission Factors'!$E$28),"--")</f>
        <v>1.0784884015663945E-5</v>
      </c>
      <c r="Q21" s="97">
        <f ca="1">IFERROR(INDEX('Emission Factors'!P$7:P$24,MATCH(OFFSET(Usage!$D20,0,-2),'Emission Factors'!$B$7:$B$24,0))*INDEX(Usage!$I$5:$I$31,MATCH('In-Shop Emissions'!$C21,Usage!$D$5:$D$31,0))*(1-'Emission Factors'!$E$28),"--")</f>
        <v>5.0424000000000044E-6</v>
      </c>
      <c r="R21" s="301" t="str">
        <f ca="1">IFERROR(INDEX('Emission Factors'!Q$7:Q$24,MATCH(OFFSET(Usage!$D20,0,-2),'Emission Factors'!$B$7:$B$24,0))*INDEX(Usage!$I$5:$I$31,MATCH('In-Shop Emissions'!$C21,Usage!$D$5:$D$31,0))*(1-'Emission Factors'!$E$28),"--")</f>
        <v>--</v>
      </c>
      <c r="S21" s="281">
        <f ca="1">IFERROR(INDEX('Emission Factors'!R$7:R$24,MATCH(OFFSET(Usage!$D20,0,-2),'Emission Factors'!$B$7:$B$24,0))*INDEX(Usage!$I$5:$I$31,MATCH('In-Shop Emissions'!$C21,Usage!$D$5:$D$31,0))*(1-'Emission Factors'!$E$28),"--")</f>
        <v>0</v>
      </c>
      <c r="T21" s="281">
        <f ca="1">IFERROR(INDEX('Emission Factors'!S$7:S$24,MATCH(OFFSET(Usage!$D20,0,-2),'Emission Factors'!$B$7:$B$24,0))*INDEX(Usage!$I$5:$I$31,MATCH('In-Shop Emissions'!$C21,Usage!$D$5:$D$31,0))*(1-'Emission Factors'!$E$28),"--")</f>
        <v>4.126029973944766E-5</v>
      </c>
    </row>
    <row r="22" spans="2:20" x14ac:dyDescent="0.25">
      <c r="B22" s="190" t="s">
        <v>49</v>
      </c>
      <c r="C22" s="299" t="s">
        <v>83</v>
      </c>
      <c r="D22" s="300">
        <f ca="1">IFERROR(INDEX('Emission Factors'!C$7:C$24,MATCH(OFFSET(Usage!$D21,0,-2),'Emission Factors'!$B$7:$B$24,0))*INDEX(Usage!$I$5:$I$31,MATCH('In-Shop Emissions'!$C22,Usage!$D$5:$D$31,0))*(1-'Emission Factors'!$E$28),"--")</f>
        <v>2.4229671520929951E-6</v>
      </c>
      <c r="E22" s="97" t="str">
        <f ca="1">IFERROR(INDEX('Emission Factors'!D$7:D$24,MATCH(OFFSET(Usage!$D21,0,-2),'Emission Factors'!$B$7:$B$24,0))*INDEX(Usage!$I$5:$I$31,MATCH('In-Shop Emissions'!$C22,Usage!$D$5:$D$31,0))*(1-'Emission Factors'!$E$28),"--")</f>
        <v>--</v>
      </c>
      <c r="F22" s="97" t="str">
        <f ca="1">IFERROR(INDEX('Emission Factors'!E$7:E$24,MATCH(OFFSET(Usage!$D21,0,-2),'Emission Factors'!$B$7:$B$24,0))*INDEX(Usage!$I$5:$I$31,MATCH('In-Shop Emissions'!$C22,Usage!$D$5:$D$31,0))*(1-'Emission Factors'!$E$28),"--")</f>
        <v>--</v>
      </c>
      <c r="G22" s="97" t="str">
        <f ca="1">IFERROR(INDEX('Emission Factors'!F$7:F$24,MATCH(OFFSET(Usage!$D21,0,-2),'Emission Factors'!$B$7:$B$24,0))*INDEX(Usage!$I$5:$I$31,MATCH('In-Shop Emissions'!$C22,Usage!$D$5:$D$31,0))*(1-'Emission Factors'!$E$28),"--")</f>
        <v>--</v>
      </c>
      <c r="H22" s="97" t="str">
        <f ca="1">IFERROR(INDEX('Emission Factors'!G$7:G$24,MATCH(OFFSET(Usage!$D21,0,-2),'Emission Factors'!$B$7:$B$24,0))*INDEX(Usage!$I$5:$I$31,MATCH('In-Shop Emissions'!$C22,Usage!$D$5:$D$31,0))*(1-'Emission Factors'!$E$28),"--")</f>
        <v>--</v>
      </c>
      <c r="I22" s="97">
        <f ca="1">IFERROR(INDEX('Emission Factors'!H$7:H$24,MATCH(OFFSET(Usage!$D21,0,-2),'Emission Factors'!$B$7:$B$24,0))*INDEX(Usage!$I$5:$I$31,MATCH('In-Shop Emissions'!$C22,Usage!$D$5:$D$31,0))*(1-'Emission Factors'!$E$28),"--")</f>
        <v>2.5212000000000026E-4</v>
      </c>
      <c r="J22" s="97">
        <f ca="1">IFERROR(INDEX('Emission Factors'!I$7:I$24,MATCH(OFFSET(Usage!$D21,0,-2),'Emission Factors'!$B$7:$B$24,0))*INDEX(Usage!$I$5:$I$31,MATCH('In-Shop Emissions'!$C22,Usage!$D$5:$D$31,0))*(1-'Emission Factors'!$E$28),"--")</f>
        <v>1.3866600000000013E-4</v>
      </c>
      <c r="K22" s="97" t="str">
        <f ca="1">IFERROR(INDEX('Emission Factors'!J$7:J$24,MATCH(OFFSET(Usage!$D21,0,-2),'Emission Factors'!$B$7:$B$24,0))*INDEX(Usage!$I$5:$I$31,MATCH('In-Shop Emissions'!$C22,Usage!$D$5:$D$31,0))*(1-'Emission Factors'!$E$28),"--")</f>
        <v>--</v>
      </c>
      <c r="L22" s="97">
        <f ca="1">IFERROR(INDEX('Emission Factors'!K$7:K$24,MATCH(OFFSET(Usage!$D21,0,-2),'Emission Factors'!$B$7:$B$24,0))*INDEX(Usage!$I$5:$I$31,MATCH('In-Shop Emissions'!$C22,Usage!$D$5:$D$31,0))*(1-'Emission Factors'!$E$28),"--")</f>
        <v>5.0424000000000044E-6</v>
      </c>
      <c r="M22" s="97">
        <f ca="1">IFERROR(INDEX('Emission Factors'!L$7:L$24,MATCH(OFFSET(Usage!$D21,0,-2),'Emission Factors'!$B$7:$B$24,0))*INDEX(Usage!$I$5:$I$31,MATCH('In-Shop Emissions'!$C22,Usage!$D$5:$D$31,0))*(1-'Emission Factors'!$E$28),"--")</f>
        <v>9.1680000000000084E-5</v>
      </c>
      <c r="N22" s="97" t="str">
        <f ca="1">IFERROR(INDEX('Emission Factors'!M$7:M$24,MATCH(OFFSET(Usage!$D21,0,-2),'Emission Factors'!$B$7:$B$24,0))*INDEX(Usage!$I$5:$I$31,MATCH('In-Shop Emissions'!$C22,Usage!$D$5:$D$31,0))*(1-'Emission Factors'!$E$28),"--")</f>
        <v>--</v>
      </c>
      <c r="O22" s="97" t="str">
        <f ca="1">IFERROR(INDEX('Emission Factors'!N$7:N$24,MATCH(OFFSET(Usage!$D21,0,-2),'Emission Factors'!$B$7:$B$24,0))*INDEX(Usage!$I$5:$I$31,MATCH('In-Shop Emissions'!$C22,Usage!$D$5:$D$31,0))*(1-'Emission Factors'!$E$28),"--")</f>
        <v>--</v>
      </c>
      <c r="P22" s="97">
        <f ca="1">IFERROR(INDEX('Emission Factors'!O$7:O$24,MATCH(OFFSET(Usage!$D21,0,-2),'Emission Factors'!$B$7:$B$24,0))*INDEX(Usage!$I$5:$I$31,MATCH('In-Shop Emissions'!$C22,Usage!$D$5:$D$31,0))*(1-'Emission Factors'!$E$28),"--")</f>
        <v>9.1680000000000078E-6</v>
      </c>
      <c r="Q22" s="97" t="str">
        <f ca="1">IFERROR(INDEX('Emission Factors'!P$7:P$24,MATCH(OFFSET(Usage!$D21,0,-2),'Emission Factors'!$B$7:$B$24,0))*INDEX(Usage!$I$5:$I$31,MATCH('In-Shop Emissions'!$C22,Usage!$D$5:$D$31,0))*(1-'Emission Factors'!$E$28),"--")</f>
        <v>--</v>
      </c>
      <c r="R22" s="301" t="str">
        <f ca="1">IFERROR(INDEX('Emission Factors'!Q$7:Q$24,MATCH(OFFSET(Usage!$D21,0,-2),'Emission Factors'!$B$7:$B$24,0))*INDEX(Usage!$I$5:$I$31,MATCH('In-Shop Emissions'!$C22,Usage!$D$5:$D$31,0))*(1-'Emission Factors'!$E$28),"--")</f>
        <v>--</v>
      </c>
      <c r="S22" s="281">
        <f ca="1">IFERROR(INDEX('Emission Factors'!R$7:R$24,MATCH(OFFSET(Usage!$D21,0,-2),'Emission Factors'!$B$7:$B$24,0))*INDEX(Usage!$I$5:$I$31,MATCH('In-Shop Emissions'!$C22,Usage!$D$5:$D$31,0))*(1-'Emission Factors'!$E$28),"--")</f>
        <v>1.338222791293215E-5</v>
      </c>
      <c r="T22" s="281">
        <f ca="1">IFERROR(INDEX('Emission Factors'!S$7:S$24,MATCH(OFFSET(Usage!$D21,0,-2),'Emission Factors'!$B$7:$B$24,0))*INDEX(Usage!$I$5:$I$31,MATCH('In-Shop Emissions'!$C22,Usage!$D$5:$D$31,0))*(1-'Emission Factors'!$E$28),"--")</f>
        <v>7.5643882855654044E-6</v>
      </c>
    </row>
    <row r="23" spans="2:20" x14ac:dyDescent="0.25">
      <c r="B23" s="190" t="s">
        <v>66</v>
      </c>
      <c r="C23" s="299" t="s">
        <v>84</v>
      </c>
      <c r="D23" s="300">
        <f ca="1">IFERROR(INDEX('Emission Factors'!C$7:C$24,MATCH(OFFSET(Usage!$D22,0,-2),'Emission Factors'!$B$7:$B$24,0))*INDEX(Usage!$I$5:$I$31,MATCH('In-Shop Emissions'!$C23,Usage!$D$5:$D$31,0))*(1-'Emission Factors'!$E$28),"--")</f>
        <v>0</v>
      </c>
      <c r="E23" s="97" t="str">
        <f ca="1">IFERROR(INDEX('Emission Factors'!D$7:D$24,MATCH(OFFSET(Usage!$D22,0,-2),'Emission Factors'!$B$7:$B$24,0))*INDEX(Usage!$I$5:$I$31,MATCH('In-Shop Emissions'!$C23,Usage!$D$5:$D$31,0))*(1-'Emission Factors'!$E$28),"--")</f>
        <v>--</v>
      </c>
      <c r="F23" s="97" t="str">
        <f ca="1">IFERROR(INDEX('Emission Factors'!E$7:E$24,MATCH(OFFSET(Usage!$D22,0,-2),'Emission Factors'!$B$7:$B$24,0))*INDEX(Usage!$I$5:$I$31,MATCH('In-Shop Emissions'!$C23,Usage!$D$5:$D$31,0))*(1-'Emission Factors'!$E$28),"--")</f>
        <v>--</v>
      </c>
      <c r="G23" s="97" t="str">
        <f ca="1">IFERROR(INDEX('Emission Factors'!F$7:F$24,MATCH(OFFSET(Usage!$D22,0,-2),'Emission Factors'!$B$7:$B$24,0))*INDEX(Usage!$I$5:$I$31,MATCH('In-Shop Emissions'!$C23,Usage!$D$5:$D$31,0))*(1-'Emission Factors'!$E$28),"--")</f>
        <v>--</v>
      </c>
      <c r="H23" s="97">
        <f ca="1">IFERROR(INDEX('Emission Factors'!G$7:G$24,MATCH(OFFSET(Usage!$D22,0,-2),'Emission Factors'!$B$7:$B$24,0))*INDEX(Usage!$I$5:$I$31,MATCH('In-Shop Emissions'!$C23,Usage!$D$5:$D$31,0))*(1-'Emission Factors'!$E$28),"--")</f>
        <v>0</v>
      </c>
      <c r="I23" s="97">
        <f ca="1">IFERROR(INDEX('Emission Factors'!H$7:H$24,MATCH(OFFSET(Usage!$D22,0,-2),'Emission Factors'!$B$7:$B$24,0))*INDEX(Usage!$I$5:$I$31,MATCH('In-Shop Emissions'!$C23,Usage!$D$5:$D$31,0))*(1-'Emission Factors'!$E$28),"--")</f>
        <v>0</v>
      </c>
      <c r="J23" s="97">
        <f ca="1">IFERROR(INDEX('Emission Factors'!I$7:I$24,MATCH(OFFSET(Usage!$D22,0,-2),'Emission Factors'!$B$7:$B$24,0))*INDEX(Usage!$I$5:$I$31,MATCH('In-Shop Emissions'!$C23,Usage!$D$5:$D$31,0))*(1-'Emission Factors'!$E$28),"--")</f>
        <v>0</v>
      </c>
      <c r="K23" s="97">
        <f ca="1">IFERROR(INDEX('Emission Factors'!J$7:J$24,MATCH(OFFSET(Usage!$D22,0,-2),'Emission Factors'!$B$7:$B$24,0))*INDEX(Usage!$I$5:$I$31,MATCH('In-Shop Emissions'!$C23,Usage!$D$5:$D$31,0))*(1-'Emission Factors'!$E$28),"--")</f>
        <v>0</v>
      </c>
      <c r="L23" s="97">
        <f ca="1">IFERROR(INDEX('Emission Factors'!K$7:K$24,MATCH(OFFSET(Usage!$D22,0,-2),'Emission Factors'!$B$7:$B$24,0))*INDEX(Usage!$I$5:$I$31,MATCH('In-Shop Emissions'!$C23,Usage!$D$5:$D$31,0))*(1-'Emission Factors'!$E$28),"--")</f>
        <v>0</v>
      </c>
      <c r="M23" s="97">
        <f ca="1">IFERROR(INDEX('Emission Factors'!L$7:L$24,MATCH(OFFSET(Usage!$D22,0,-2),'Emission Factors'!$B$7:$B$24,0))*INDEX(Usage!$I$5:$I$31,MATCH('In-Shop Emissions'!$C23,Usage!$D$5:$D$31,0))*(1-'Emission Factors'!$E$28),"--")</f>
        <v>0</v>
      </c>
      <c r="N23" s="97">
        <f ca="1">IFERROR(INDEX('Emission Factors'!M$7:M$24,MATCH(OFFSET(Usage!$D22,0,-2),'Emission Factors'!$B$7:$B$24,0))*INDEX(Usage!$I$5:$I$31,MATCH('In-Shop Emissions'!$C23,Usage!$D$5:$D$31,0))*(1-'Emission Factors'!$E$28),"--")</f>
        <v>0</v>
      </c>
      <c r="O23" s="97" t="str">
        <f ca="1">IFERROR(INDEX('Emission Factors'!N$7:N$24,MATCH(OFFSET(Usage!$D22,0,-2),'Emission Factors'!$B$7:$B$24,0))*INDEX(Usage!$I$5:$I$31,MATCH('In-Shop Emissions'!$C23,Usage!$D$5:$D$31,0))*(1-'Emission Factors'!$E$28),"--")</f>
        <v>--</v>
      </c>
      <c r="P23" s="97">
        <f ca="1">IFERROR(INDEX('Emission Factors'!O$7:O$24,MATCH(OFFSET(Usage!$D22,0,-2),'Emission Factors'!$B$7:$B$24,0))*INDEX(Usage!$I$5:$I$31,MATCH('In-Shop Emissions'!$C23,Usage!$D$5:$D$31,0))*(1-'Emission Factors'!$E$28),"--")</f>
        <v>0</v>
      </c>
      <c r="Q23" s="97">
        <f ca="1">IFERROR(INDEX('Emission Factors'!P$7:P$24,MATCH(OFFSET(Usage!$D22,0,-2),'Emission Factors'!$B$7:$B$24,0))*INDEX(Usage!$I$5:$I$31,MATCH('In-Shop Emissions'!$C23,Usage!$D$5:$D$31,0))*(1-'Emission Factors'!$E$28),"--")</f>
        <v>0</v>
      </c>
      <c r="R23" s="301" t="str">
        <f ca="1">IFERROR(INDEX('Emission Factors'!Q$7:Q$24,MATCH(OFFSET(Usage!$D22,0,-2),'Emission Factors'!$B$7:$B$24,0))*INDEX(Usage!$I$5:$I$31,MATCH('In-Shop Emissions'!$C23,Usage!$D$5:$D$31,0))*(1-'Emission Factors'!$E$28),"--")</f>
        <v>--</v>
      </c>
      <c r="S23" s="281" t="str">
        <f ca="1">IFERROR(INDEX('Emission Factors'!R$7:R$24,MATCH(OFFSET(Usage!$D22,0,-2),'Emission Factors'!$B$7:$B$24,0))*INDEX(Usage!$I$5:$I$31,MATCH('In-Shop Emissions'!$C23,Usage!$D$5:$D$31,0))*(1-'Emission Factors'!$E$28),"--")</f>
        <v>--</v>
      </c>
      <c r="T23" s="281">
        <f ca="1">IFERROR(INDEX('Emission Factors'!S$7:S$24,MATCH(OFFSET(Usage!$D22,0,-2),'Emission Factors'!$B$7:$B$24,0))*INDEX(Usage!$I$5:$I$31,MATCH('In-Shop Emissions'!$C23,Usage!$D$5:$D$31,0))*(1-'Emission Factors'!$E$28),"--")</f>
        <v>0</v>
      </c>
    </row>
    <row r="24" spans="2:20" x14ac:dyDescent="0.25">
      <c r="B24" s="190" t="s">
        <v>43</v>
      </c>
      <c r="C24" s="299" t="s">
        <v>85</v>
      </c>
      <c r="D24" s="300">
        <f ca="1">IFERROR(INDEX('Emission Factors'!C$7:C$24,MATCH(OFFSET(Usage!$D23,0,-2),'Emission Factors'!$B$7:$B$24,0))*INDEX(Usage!$I$5:$I$31,MATCH('In-Shop Emissions'!$C24,Usage!$D$5:$D$31,0))*(1-'Emission Factors'!$E$28),"--")</f>
        <v>2.7504000000000027E-5</v>
      </c>
      <c r="E24" s="97" t="str">
        <f ca="1">IFERROR(INDEX('Emission Factors'!D$7:D$24,MATCH(OFFSET(Usage!$D23,0,-2),'Emission Factors'!$B$7:$B$24,0))*INDEX(Usage!$I$5:$I$31,MATCH('In-Shop Emissions'!$C24,Usage!$D$5:$D$31,0))*(1-'Emission Factors'!$E$28),"--")</f>
        <v>--</v>
      </c>
      <c r="F24" s="97" t="str">
        <f ca="1">IFERROR(INDEX('Emission Factors'!E$7:E$24,MATCH(OFFSET(Usage!$D23,0,-2),'Emission Factors'!$B$7:$B$24,0))*INDEX(Usage!$I$5:$I$31,MATCH('In-Shop Emissions'!$C24,Usage!$D$5:$D$31,0))*(1-'Emission Factors'!$E$28),"--")</f>
        <v>--</v>
      </c>
      <c r="G24" s="97" t="str">
        <f ca="1">IFERROR(INDEX('Emission Factors'!F$7:F$24,MATCH(OFFSET(Usage!$D23,0,-2),'Emission Factors'!$B$7:$B$24,0))*INDEX(Usage!$I$5:$I$31,MATCH('In-Shop Emissions'!$C24,Usage!$D$5:$D$31,0))*(1-'Emission Factors'!$E$28),"--")</f>
        <v>--</v>
      </c>
      <c r="H24" s="97" t="str">
        <f ca="1">IFERROR(INDEX('Emission Factors'!G$7:G$24,MATCH(OFFSET(Usage!$D23,0,-2),'Emission Factors'!$B$7:$B$24,0))*INDEX(Usage!$I$5:$I$31,MATCH('In-Shop Emissions'!$C24,Usage!$D$5:$D$31,0))*(1-'Emission Factors'!$E$28),"--")</f>
        <v>--</v>
      </c>
      <c r="I24" s="97" t="str">
        <f ca="1">IFERROR(INDEX('Emission Factors'!H$7:H$24,MATCH(OFFSET(Usage!$D23,0,-2),'Emission Factors'!$B$7:$B$24,0))*INDEX(Usage!$I$5:$I$31,MATCH('In-Shop Emissions'!$C24,Usage!$D$5:$D$31,0))*(1-'Emission Factors'!$E$28),"--")</f>
        <v>--</v>
      </c>
      <c r="J24" s="97" t="str">
        <f ca="1">IFERROR(INDEX('Emission Factors'!I$7:I$24,MATCH(OFFSET(Usage!$D23,0,-2),'Emission Factors'!$B$7:$B$24,0))*INDEX(Usage!$I$5:$I$31,MATCH('In-Shop Emissions'!$C24,Usage!$D$5:$D$31,0))*(1-'Emission Factors'!$E$28),"--")</f>
        <v>--</v>
      </c>
      <c r="K24" s="97" t="str">
        <f ca="1">IFERROR(INDEX('Emission Factors'!J$7:J$24,MATCH(OFFSET(Usage!$D23,0,-2),'Emission Factors'!$B$7:$B$24,0))*INDEX(Usage!$I$5:$I$31,MATCH('In-Shop Emissions'!$C24,Usage!$D$5:$D$31,0))*(1-'Emission Factors'!$E$28),"--")</f>
        <v>--</v>
      </c>
      <c r="L24" s="97" t="str">
        <f ca="1">IFERROR(INDEX('Emission Factors'!K$7:K$24,MATCH(OFFSET(Usage!$D23,0,-2),'Emission Factors'!$B$7:$B$24,0))*INDEX(Usage!$I$5:$I$31,MATCH('In-Shop Emissions'!$C24,Usage!$D$5:$D$31,0))*(1-'Emission Factors'!$E$28),"--")</f>
        <v>--</v>
      </c>
      <c r="M24" s="97">
        <f ca="1">IFERROR(INDEX('Emission Factors'!L$7:L$24,MATCH(OFFSET(Usage!$D23,0,-2),'Emission Factors'!$B$7:$B$24,0))*INDEX(Usage!$I$5:$I$31,MATCH('In-Shop Emissions'!$C24,Usage!$D$5:$D$31,0))*(1-'Emission Factors'!$E$28),"--")</f>
        <v>2.5212000000000026E-4</v>
      </c>
      <c r="N24" s="97" t="str">
        <f ca="1">IFERROR(INDEX('Emission Factors'!M$7:M$24,MATCH(OFFSET(Usage!$D23,0,-2),'Emission Factors'!$B$7:$B$24,0))*INDEX(Usage!$I$5:$I$31,MATCH('In-Shop Emissions'!$C24,Usage!$D$5:$D$31,0))*(1-'Emission Factors'!$E$28),"--")</f>
        <v>--</v>
      </c>
      <c r="O24" s="97" t="str">
        <f ca="1">IFERROR(INDEX('Emission Factors'!N$7:N$24,MATCH(OFFSET(Usage!$D23,0,-2),'Emission Factors'!$B$7:$B$24,0))*INDEX(Usage!$I$5:$I$31,MATCH('In-Shop Emissions'!$C24,Usage!$D$5:$D$31,0))*(1-'Emission Factors'!$E$28),"--")</f>
        <v>--</v>
      </c>
      <c r="P24" s="97" t="str">
        <f ca="1">IFERROR(INDEX('Emission Factors'!O$7:O$24,MATCH(OFFSET(Usage!$D23,0,-2),'Emission Factors'!$B$7:$B$24,0))*INDEX(Usage!$I$5:$I$31,MATCH('In-Shop Emissions'!$C24,Usage!$D$5:$D$31,0))*(1-'Emission Factors'!$E$28),"--")</f>
        <v>--</v>
      </c>
      <c r="Q24" s="97" t="str">
        <f ca="1">IFERROR(INDEX('Emission Factors'!P$7:P$24,MATCH(OFFSET(Usage!$D23,0,-2),'Emission Factors'!$B$7:$B$24,0))*INDEX(Usage!$I$5:$I$31,MATCH('In-Shop Emissions'!$C24,Usage!$D$5:$D$31,0))*(1-'Emission Factors'!$E$28),"--")</f>
        <v>--</v>
      </c>
      <c r="R24" s="301" t="str">
        <f ca="1">IFERROR(INDEX('Emission Factors'!Q$7:Q$24,MATCH(OFFSET(Usage!$D23,0,-2),'Emission Factors'!$B$7:$B$24,0))*INDEX(Usage!$I$5:$I$31,MATCH('In-Shop Emissions'!$C24,Usage!$D$5:$D$31,0))*(1-'Emission Factors'!$E$28),"--")</f>
        <v>--</v>
      </c>
      <c r="S24" s="281">
        <f ca="1">IFERROR(INDEX('Emission Factors'!R$7:R$24,MATCH(OFFSET(Usage!$D23,0,-2),'Emission Factors'!$B$7:$B$24,0))*INDEX(Usage!$I$5:$I$31,MATCH('In-Shop Emissions'!$C24,Usage!$D$5:$D$31,0))*(1-'Emission Factors'!$E$28),"--")</f>
        <v>1.338222791293215E-5</v>
      </c>
      <c r="T24" s="281" t="str">
        <f ca="1">IFERROR(INDEX('Emission Factors'!S$7:S$24,MATCH(OFFSET(Usage!$D23,0,-2),'Emission Factors'!$B$7:$B$24,0))*INDEX(Usage!$I$5:$I$31,MATCH('In-Shop Emissions'!$C24,Usage!$D$5:$D$31,0))*(1-'Emission Factors'!$E$28),"--")</f>
        <v>--</v>
      </c>
    </row>
    <row r="25" spans="2:20" x14ac:dyDescent="0.25">
      <c r="B25" s="190">
        <v>7018</v>
      </c>
      <c r="C25" s="299" t="s">
        <v>86</v>
      </c>
      <c r="D25" s="300" t="str">
        <f ca="1">IFERROR(INDEX('Emission Factors'!C$7:C$24,MATCH(OFFSET(Usage!$D24,0,-2),'Emission Factors'!$B$7:$B$24,0))*INDEX(Usage!$I$5:$I$31,MATCH('In-Shop Emissions'!$C25,Usage!$D$5:$D$31,0))*(1-'Emission Factors'!$E$28),"--")</f>
        <v>--</v>
      </c>
      <c r="E25" s="97" t="str">
        <f ca="1">IFERROR(INDEX('Emission Factors'!D$7:D$24,MATCH(OFFSET(Usage!$D24,0,-2),'Emission Factors'!$B$7:$B$24,0))*INDEX(Usage!$I$5:$I$31,MATCH('In-Shop Emissions'!$C25,Usage!$D$5:$D$31,0))*(1-'Emission Factors'!$E$28),"--")</f>
        <v>--</v>
      </c>
      <c r="F25" s="97" t="str">
        <f ca="1">IFERROR(INDEX('Emission Factors'!E$7:E$24,MATCH(OFFSET(Usage!$D24,0,-2),'Emission Factors'!$B$7:$B$24,0))*INDEX(Usage!$I$5:$I$31,MATCH('In-Shop Emissions'!$C25,Usage!$D$5:$D$31,0))*(1-'Emission Factors'!$E$28),"--")</f>
        <v>--</v>
      </c>
      <c r="G25" s="97" t="str">
        <f ca="1">IFERROR(INDEX('Emission Factors'!F$7:F$24,MATCH(OFFSET(Usage!$D24,0,-2),'Emission Factors'!$B$7:$B$24,0))*INDEX(Usage!$I$5:$I$31,MATCH('In-Shop Emissions'!$C25,Usage!$D$5:$D$31,0))*(1-'Emission Factors'!$E$28),"--")</f>
        <v>--</v>
      </c>
      <c r="H25" s="97">
        <f ca="1">IFERROR(INDEX('Emission Factors'!G$7:G$24,MATCH(OFFSET(Usage!$D24,0,-2),'Emission Factors'!$B$7:$B$24,0))*INDEX(Usage!$I$5:$I$31,MATCH('In-Shop Emissions'!$C25,Usage!$D$5:$D$31,0))*(1-'Emission Factors'!$E$28),"--")</f>
        <v>8.000000000000006E-7</v>
      </c>
      <c r="I25" s="97">
        <f ca="1">IFERROR(INDEX('Emission Factors'!H$7:H$24,MATCH(OFFSET(Usage!$D24,0,-2),'Emission Factors'!$B$7:$B$24,0))*INDEX(Usage!$I$5:$I$31,MATCH('In-Shop Emissions'!$C25,Usage!$D$5:$D$31,0))*(1-'Emission Factors'!$E$28),"--")</f>
        <v>9.3600000000000086E-6</v>
      </c>
      <c r="J25" s="97">
        <f ca="1">IFERROR(INDEX('Emission Factors'!I$7:I$24,MATCH(OFFSET(Usage!$D24,0,-2),'Emission Factors'!$B$7:$B$24,0))*INDEX(Usage!$I$5:$I$31,MATCH('In-Shop Emissions'!$C25,Usage!$D$5:$D$31,0))*(1-'Emission Factors'!$E$28),"--")</f>
        <v>5.1440000000000053E-6</v>
      </c>
      <c r="K25" s="97" t="str">
        <f ca="1">IFERROR(INDEX('Emission Factors'!J$7:J$24,MATCH(OFFSET(Usage!$D24,0,-2),'Emission Factors'!$B$7:$B$24,0))*INDEX(Usage!$I$5:$I$31,MATCH('In-Shop Emissions'!$C25,Usage!$D$5:$D$31,0))*(1-'Emission Factors'!$E$28),"--")</f>
        <v>--</v>
      </c>
      <c r="L25" s="97">
        <f ca="1">IFERROR(INDEX('Emission Factors'!K$7:K$24,MATCH(OFFSET(Usage!$D24,0,-2),'Emission Factors'!$B$7:$B$24,0))*INDEX(Usage!$I$5:$I$31,MATCH('In-Shop Emissions'!$C25,Usage!$D$5:$D$31,0))*(1-'Emission Factors'!$E$28),"--")</f>
        <v>8.2400000000000073E-4</v>
      </c>
      <c r="M25" s="97">
        <f ca="1">IFERROR(INDEX('Emission Factors'!L$7:L$24,MATCH(OFFSET(Usage!$D24,0,-2),'Emission Factors'!$B$7:$B$24,0))*INDEX(Usage!$I$5:$I$31,MATCH('In-Shop Emissions'!$C25,Usage!$D$5:$D$31,0))*(1-'Emission Factors'!$E$28),"--")</f>
        <v>1.6000000000000012E-6</v>
      </c>
      <c r="N25" s="97" t="str">
        <f ca="1">IFERROR(INDEX('Emission Factors'!M$7:M$24,MATCH(OFFSET(Usage!$D24,0,-2),'Emission Factors'!$B$7:$B$24,0))*INDEX(Usage!$I$5:$I$31,MATCH('In-Shop Emissions'!$C25,Usage!$D$5:$D$31,0))*(1-'Emission Factors'!$E$28),"--")</f>
        <v>--</v>
      </c>
      <c r="O25" s="97" t="str">
        <f ca="1">IFERROR(INDEX('Emission Factors'!N$7:N$24,MATCH(OFFSET(Usage!$D24,0,-2),'Emission Factors'!$B$7:$B$24,0))*INDEX(Usage!$I$5:$I$31,MATCH('In-Shop Emissions'!$C25,Usage!$D$5:$D$31,0))*(1-'Emission Factors'!$E$28),"--")</f>
        <v>--</v>
      </c>
      <c r="P25" s="97">
        <f ca="1">IFERROR(INDEX('Emission Factors'!O$7:O$24,MATCH(OFFSET(Usage!$D24,0,-2),'Emission Factors'!$B$7:$B$24,0))*INDEX(Usage!$I$5:$I$31,MATCH('In-Shop Emissions'!$C25,Usage!$D$5:$D$31,0))*(1-'Emission Factors'!$E$28),"--")</f>
        <v>2.3195040000000017E-5</v>
      </c>
      <c r="Q25" s="97" t="str">
        <f ca="1">IFERROR(INDEX('Emission Factors'!P$7:P$24,MATCH(OFFSET(Usage!$D24,0,-2),'Emission Factors'!$B$7:$B$24,0))*INDEX(Usage!$I$5:$I$31,MATCH('In-Shop Emissions'!$C25,Usage!$D$5:$D$31,0))*(1-'Emission Factors'!$E$28),"--")</f>
        <v>--</v>
      </c>
      <c r="R25" s="301" t="str">
        <f ca="1">IFERROR(INDEX('Emission Factors'!Q$7:Q$24,MATCH(OFFSET(Usage!$D24,0,-2),'Emission Factors'!$B$7:$B$24,0))*INDEX(Usage!$I$5:$I$31,MATCH('In-Shop Emissions'!$C25,Usage!$D$5:$D$31,0))*(1-'Emission Factors'!$E$28),"--")</f>
        <v>--</v>
      </c>
      <c r="S25" s="281">
        <f ca="1">IFERROR(INDEX('Emission Factors'!R$7:R$24,MATCH(OFFSET(Usage!$D24,0,-2),'Emission Factors'!$B$7:$B$24,0))*INDEX(Usage!$I$5:$I$31,MATCH('In-Shop Emissions'!$C25,Usage!$D$5:$D$31,0))*(1-'Emission Factors'!$E$28),"--")</f>
        <v>1.2651840000000011E-4</v>
      </c>
      <c r="T25" s="281">
        <f ca="1">IFERROR(INDEX('Emission Factors'!S$7:S$24,MATCH(OFFSET(Usage!$D24,0,-2),'Emission Factors'!$B$7:$B$24,0))*INDEX(Usage!$I$5:$I$31,MATCH('In-Shop Emissions'!$C25,Usage!$D$5:$D$31,0))*(1-'Emission Factors'!$E$28),"--")</f>
        <v>3.479618611360086E-5</v>
      </c>
    </row>
    <row r="26" spans="2:20" x14ac:dyDescent="0.25">
      <c r="B26" s="190">
        <v>7018</v>
      </c>
      <c r="C26" s="299" t="s">
        <v>87</v>
      </c>
      <c r="D26" s="300" t="str">
        <f ca="1">IFERROR(INDEX('Emission Factors'!C$7:C$24,MATCH(OFFSET(Usage!$D25,0,-2),'Emission Factors'!$B$7:$B$24,0))*INDEX(Usage!$I$5:$I$31,MATCH('In-Shop Emissions'!$C26,Usage!$D$5:$D$31,0))*(1-'Emission Factors'!$E$28),"--")</f>
        <v>--</v>
      </c>
      <c r="E26" s="97" t="str">
        <f ca="1">IFERROR(INDEX('Emission Factors'!D$7:D$24,MATCH(OFFSET(Usage!$D25,0,-2),'Emission Factors'!$B$7:$B$24,0))*INDEX(Usage!$I$5:$I$31,MATCH('In-Shop Emissions'!$C26,Usage!$D$5:$D$31,0))*(1-'Emission Factors'!$E$28),"--")</f>
        <v>--</v>
      </c>
      <c r="F26" s="97" t="str">
        <f ca="1">IFERROR(INDEX('Emission Factors'!E$7:E$24,MATCH(OFFSET(Usage!$D25,0,-2),'Emission Factors'!$B$7:$B$24,0))*INDEX(Usage!$I$5:$I$31,MATCH('In-Shop Emissions'!$C26,Usage!$D$5:$D$31,0))*(1-'Emission Factors'!$E$28),"--")</f>
        <v>--</v>
      </c>
      <c r="G26" s="97" t="str">
        <f ca="1">IFERROR(INDEX('Emission Factors'!F$7:F$24,MATCH(OFFSET(Usage!$D25,0,-2),'Emission Factors'!$B$7:$B$24,0))*INDEX(Usage!$I$5:$I$31,MATCH('In-Shop Emissions'!$C26,Usage!$D$5:$D$31,0))*(1-'Emission Factors'!$E$28),"--")</f>
        <v>--</v>
      </c>
      <c r="H26" s="97">
        <f ca="1">IFERROR(INDEX('Emission Factors'!G$7:G$24,MATCH(OFFSET(Usage!$D25,0,-2),'Emission Factors'!$B$7:$B$24,0))*INDEX(Usage!$I$5:$I$31,MATCH('In-Shop Emissions'!$C26,Usage!$D$5:$D$31,0))*(1-'Emission Factors'!$E$28),"--")</f>
        <v>4.000000000000003E-7</v>
      </c>
      <c r="I26" s="97">
        <f ca="1">IFERROR(INDEX('Emission Factors'!H$7:H$24,MATCH(OFFSET(Usage!$D25,0,-2),'Emission Factors'!$B$7:$B$24,0))*INDEX(Usage!$I$5:$I$31,MATCH('In-Shop Emissions'!$C26,Usage!$D$5:$D$31,0))*(1-'Emission Factors'!$E$28),"--")</f>
        <v>4.6800000000000043E-6</v>
      </c>
      <c r="J26" s="97">
        <f ca="1">IFERROR(INDEX('Emission Factors'!I$7:I$24,MATCH(OFFSET(Usage!$D25,0,-2),'Emission Factors'!$B$7:$B$24,0))*INDEX(Usage!$I$5:$I$31,MATCH('In-Shop Emissions'!$C26,Usage!$D$5:$D$31,0))*(1-'Emission Factors'!$E$28),"--")</f>
        <v>2.5720000000000026E-6</v>
      </c>
      <c r="K26" s="97" t="str">
        <f ca="1">IFERROR(INDEX('Emission Factors'!J$7:J$24,MATCH(OFFSET(Usage!$D25,0,-2),'Emission Factors'!$B$7:$B$24,0))*INDEX(Usage!$I$5:$I$31,MATCH('In-Shop Emissions'!$C26,Usage!$D$5:$D$31,0))*(1-'Emission Factors'!$E$28),"--")</f>
        <v>--</v>
      </c>
      <c r="L26" s="97">
        <f ca="1">IFERROR(INDEX('Emission Factors'!K$7:K$24,MATCH(OFFSET(Usage!$D25,0,-2),'Emission Factors'!$B$7:$B$24,0))*INDEX(Usage!$I$5:$I$31,MATCH('In-Shop Emissions'!$C26,Usage!$D$5:$D$31,0))*(1-'Emission Factors'!$E$28),"--")</f>
        <v>4.1200000000000037E-4</v>
      </c>
      <c r="M26" s="97">
        <f ca="1">IFERROR(INDEX('Emission Factors'!L$7:L$24,MATCH(OFFSET(Usage!$D25,0,-2),'Emission Factors'!$B$7:$B$24,0))*INDEX(Usage!$I$5:$I$31,MATCH('In-Shop Emissions'!$C26,Usage!$D$5:$D$31,0))*(1-'Emission Factors'!$E$28),"--")</f>
        <v>8.000000000000006E-7</v>
      </c>
      <c r="N26" s="97" t="str">
        <f ca="1">IFERROR(INDEX('Emission Factors'!M$7:M$24,MATCH(OFFSET(Usage!$D25,0,-2),'Emission Factors'!$B$7:$B$24,0))*INDEX(Usage!$I$5:$I$31,MATCH('In-Shop Emissions'!$C26,Usage!$D$5:$D$31,0))*(1-'Emission Factors'!$E$28),"--")</f>
        <v>--</v>
      </c>
      <c r="O26" s="97" t="str">
        <f ca="1">IFERROR(INDEX('Emission Factors'!N$7:N$24,MATCH(OFFSET(Usage!$D25,0,-2),'Emission Factors'!$B$7:$B$24,0))*INDEX(Usage!$I$5:$I$31,MATCH('In-Shop Emissions'!$C26,Usage!$D$5:$D$31,0))*(1-'Emission Factors'!$E$28),"--")</f>
        <v>--</v>
      </c>
      <c r="P26" s="97">
        <f ca="1">IFERROR(INDEX('Emission Factors'!O$7:O$24,MATCH(OFFSET(Usage!$D25,0,-2),'Emission Factors'!$B$7:$B$24,0))*INDEX(Usage!$I$5:$I$31,MATCH('In-Shop Emissions'!$C26,Usage!$D$5:$D$31,0))*(1-'Emission Factors'!$E$28),"--")</f>
        <v>1.1597520000000009E-5</v>
      </c>
      <c r="Q26" s="97" t="str">
        <f ca="1">IFERROR(INDEX('Emission Factors'!P$7:P$24,MATCH(OFFSET(Usage!$D25,0,-2),'Emission Factors'!$B$7:$B$24,0))*INDEX(Usage!$I$5:$I$31,MATCH('In-Shop Emissions'!$C26,Usage!$D$5:$D$31,0))*(1-'Emission Factors'!$E$28),"--")</f>
        <v>--</v>
      </c>
      <c r="R26" s="301" t="str">
        <f ca="1">IFERROR(INDEX('Emission Factors'!Q$7:Q$24,MATCH(OFFSET(Usage!$D25,0,-2),'Emission Factors'!$B$7:$B$24,0))*INDEX(Usage!$I$5:$I$31,MATCH('In-Shop Emissions'!$C26,Usage!$D$5:$D$31,0))*(1-'Emission Factors'!$E$28),"--")</f>
        <v>--</v>
      </c>
      <c r="S26" s="281">
        <f ca="1">IFERROR(INDEX('Emission Factors'!R$7:R$24,MATCH(OFFSET(Usage!$D25,0,-2),'Emission Factors'!$B$7:$B$24,0))*INDEX(Usage!$I$5:$I$31,MATCH('In-Shop Emissions'!$C26,Usage!$D$5:$D$31,0))*(1-'Emission Factors'!$E$28),"--")</f>
        <v>6.3259200000000053E-5</v>
      </c>
      <c r="T26" s="281">
        <f ca="1">IFERROR(INDEX('Emission Factors'!S$7:S$24,MATCH(OFFSET(Usage!$D25,0,-2),'Emission Factors'!$B$7:$B$24,0))*INDEX(Usage!$I$5:$I$31,MATCH('In-Shop Emissions'!$C26,Usage!$D$5:$D$31,0))*(1-'Emission Factors'!$E$28),"--")</f>
        <v>1.739809305680043E-5</v>
      </c>
    </row>
    <row r="27" spans="2:20" x14ac:dyDescent="0.25">
      <c r="B27" s="190">
        <v>7018</v>
      </c>
      <c r="C27" s="299" t="s">
        <v>88</v>
      </c>
      <c r="D27" s="300" t="str">
        <f ca="1">IFERROR(INDEX('Emission Factors'!C$7:C$24,MATCH(OFFSET(Usage!$D26,0,-2),'Emission Factors'!$B$7:$B$24,0))*INDEX(Usage!$I$5:$I$31,MATCH('In-Shop Emissions'!$C27,Usage!$D$5:$D$31,0))*(1-'Emission Factors'!$E$28),"--")</f>
        <v>--</v>
      </c>
      <c r="E27" s="97" t="str">
        <f ca="1">IFERROR(INDEX('Emission Factors'!D$7:D$24,MATCH(OFFSET(Usage!$D26,0,-2),'Emission Factors'!$B$7:$B$24,0))*INDEX(Usage!$I$5:$I$31,MATCH('In-Shop Emissions'!$C27,Usage!$D$5:$D$31,0))*(1-'Emission Factors'!$E$28),"--")</f>
        <v>--</v>
      </c>
      <c r="F27" s="97" t="str">
        <f ca="1">IFERROR(INDEX('Emission Factors'!E$7:E$24,MATCH(OFFSET(Usage!$D26,0,-2),'Emission Factors'!$B$7:$B$24,0))*INDEX(Usage!$I$5:$I$31,MATCH('In-Shop Emissions'!$C27,Usage!$D$5:$D$31,0))*(1-'Emission Factors'!$E$28),"--")</f>
        <v>--</v>
      </c>
      <c r="G27" s="97" t="str">
        <f ca="1">IFERROR(INDEX('Emission Factors'!F$7:F$24,MATCH(OFFSET(Usage!$D26,0,-2),'Emission Factors'!$B$7:$B$24,0))*INDEX(Usage!$I$5:$I$31,MATCH('In-Shop Emissions'!$C27,Usage!$D$5:$D$31,0))*(1-'Emission Factors'!$E$28),"--")</f>
        <v>--</v>
      </c>
      <c r="H27" s="97">
        <f ca="1">IFERROR(INDEX('Emission Factors'!G$7:G$24,MATCH(OFFSET(Usage!$D26,0,-2),'Emission Factors'!$B$7:$B$24,0))*INDEX(Usage!$I$5:$I$31,MATCH('In-Shop Emissions'!$C27,Usage!$D$5:$D$31,0))*(1-'Emission Factors'!$E$28),"--")</f>
        <v>8.000000000000006E-7</v>
      </c>
      <c r="I27" s="97">
        <f ca="1">IFERROR(INDEX('Emission Factors'!H$7:H$24,MATCH(OFFSET(Usage!$D26,0,-2),'Emission Factors'!$B$7:$B$24,0))*INDEX(Usage!$I$5:$I$31,MATCH('In-Shop Emissions'!$C27,Usage!$D$5:$D$31,0))*(1-'Emission Factors'!$E$28),"--")</f>
        <v>9.3600000000000086E-6</v>
      </c>
      <c r="J27" s="97">
        <f ca="1">IFERROR(INDEX('Emission Factors'!I$7:I$24,MATCH(OFFSET(Usage!$D26,0,-2),'Emission Factors'!$B$7:$B$24,0))*INDEX(Usage!$I$5:$I$31,MATCH('In-Shop Emissions'!$C27,Usage!$D$5:$D$31,0))*(1-'Emission Factors'!$E$28),"--")</f>
        <v>5.1440000000000053E-6</v>
      </c>
      <c r="K27" s="97" t="str">
        <f ca="1">IFERROR(INDEX('Emission Factors'!J$7:J$24,MATCH(OFFSET(Usage!$D26,0,-2),'Emission Factors'!$B$7:$B$24,0))*INDEX(Usage!$I$5:$I$31,MATCH('In-Shop Emissions'!$C27,Usage!$D$5:$D$31,0))*(1-'Emission Factors'!$E$28),"--")</f>
        <v>--</v>
      </c>
      <c r="L27" s="97">
        <f ca="1">IFERROR(INDEX('Emission Factors'!K$7:K$24,MATCH(OFFSET(Usage!$D26,0,-2),'Emission Factors'!$B$7:$B$24,0))*INDEX(Usage!$I$5:$I$31,MATCH('In-Shop Emissions'!$C27,Usage!$D$5:$D$31,0))*(1-'Emission Factors'!$E$28),"--")</f>
        <v>8.2400000000000073E-4</v>
      </c>
      <c r="M27" s="97">
        <f ca="1">IFERROR(INDEX('Emission Factors'!L$7:L$24,MATCH(OFFSET(Usage!$D26,0,-2),'Emission Factors'!$B$7:$B$24,0))*INDEX(Usage!$I$5:$I$31,MATCH('In-Shop Emissions'!$C27,Usage!$D$5:$D$31,0))*(1-'Emission Factors'!$E$28),"--")</f>
        <v>1.6000000000000012E-6</v>
      </c>
      <c r="N27" s="97" t="str">
        <f ca="1">IFERROR(INDEX('Emission Factors'!M$7:M$24,MATCH(OFFSET(Usage!$D26,0,-2),'Emission Factors'!$B$7:$B$24,0))*INDEX(Usage!$I$5:$I$31,MATCH('In-Shop Emissions'!$C27,Usage!$D$5:$D$31,0))*(1-'Emission Factors'!$E$28),"--")</f>
        <v>--</v>
      </c>
      <c r="O27" s="97" t="str">
        <f ca="1">IFERROR(INDEX('Emission Factors'!N$7:N$24,MATCH(OFFSET(Usage!$D26,0,-2),'Emission Factors'!$B$7:$B$24,0))*INDEX(Usage!$I$5:$I$31,MATCH('In-Shop Emissions'!$C27,Usage!$D$5:$D$31,0))*(1-'Emission Factors'!$E$28),"--")</f>
        <v>--</v>
      </c>
      <c r="P27" s="97">
        <f ca="1">IFERROR(INDEX('Emission Factors'!O$7:O$24,MATCH(OFFSET(Usage!$D26,0,-2),'Emission Factors'!$B$7:$B$24,0))*INDEX(Usage!$I$5:$I$31,MATCH('In-Shop Emissions'!$C27,Usage!$D$5:$D$31,0))*(1-'Emission Factors'!$E$28),"--")</f>
        <v>2.3195040000000017E-5</v>
      </c>
      <c r="Q27" s="97" t="str">
        <f ca="1">IFERROR(INDEX('Emission Factors'!P$7:P$24,MATCH(OFFSET(Usage!$D26,0,-2),'Emission Factors'!$B$7:$B$24,0))*INDEX(Usage!$I$5:$I$31,MATCH('In-Shop Emissions'!$C27,Usage!$D$5:$D$31,0))*(1-'Emission Factors'!$E$28),"--")</f>
        <v>--</v>
      </c>
      <c r="R27" s="301" t="str">
        <f ca="1">IFERROR(INDEX('Emission Factors'!Q$7:Q$24,MATCH(OFFSET(Usage!$D26,0,-2),'Emission Factors'!$B$7:$B$24,0))*INDEX(Usage!$I$5:$I$31,MATCH('In-Shop Emissions'!$C27,Usage!$D$5:$D$31,0))*(1-'Emission Factors'!$E$28),"--")</f>
        <v>--</v>
      </c>
      <c r="S27" s="281">
        <f ca="1">IFERROR(INDEX('Emission Factors'!R$7:R$24,MATCH(OFFSET(Usage!$D26,0,-2),'Emission Factors'!$B$7:$B$24,0))*INDEX(Usage!$I$5:$I$31,MATCH('In-Shop Emissions'!$C27,Usage!$D$5:$D$31,0))*(1-'Emission Factors'!$E$28),"--")</f>
        <v>1.2651840000000011E-4</v>
      </c>
      <c r="T27" s="281">
        <f ca="1">IFERROR(INDEX('Emission Factors'!S$7:S$24,MATCH(OFFSET(Usage!$D26,0,-2),'Emission Factors'!$B$7:$B$24,0))*INDEX(Usage!$I$5:$I$31,MATCH('In-Shop Emissions'!$C27,Usage!$D$5:$D$31,0))*(1-'Emission Factors'!$E$28),"--")</f>
        <v>3.479618611360086E-5</v>
      </c>
    </row>
    <row r="28" spans="2:20" x14ac:dyDescent="0.25">
      <c r="B28" s="190" t="s">
        <v>48</v>
      </c>
      <c r="C28" s="299" t="s">
        <v>89</v>
      </c>
      <c r="D28" s="300" t="str">
        <f ca="1">IFERROR(INDEX('Emission Factors'!C$7:C$24,MATCH(OFFSET(Usage!$D27,0,-2),'Emission Factors'!$B$7:$B$24,0))*INDEX(Usage!$I$5:$I$31,MATCH('In-Shop Emissions'!$C28,Usage!$D$5:$D$31,0))*(1-'Emission Factors'!$E$28),"--")</f>
        <v>--</v>
      </c>
      <c r="E28" s="97">
        <f ca="1">IFERROR(INDEX('Emission Factors'!D$7:D$24,MATCH(OFFSET(Usage!$D27,0,-2),'Emission Factors'!$B$7:$B$24,0))*INDEX(Usage!$I$5:$I$31,MATCH('In-Shop Emissions'!$C28,Usage!$D$5:$D$31,0))*(1-'Emission Factors'!$E$28),"--")</f>
        <v>3.0324715574735222E-6</v>
      </c>
      <c r="F28" s="97" t="str">
        <f ca="1">IFERROR(INDEX('Emission Factors'!E$7:E$24,MATCH(OFFSET(Usage!$D27,0,-2),'Emission Factors'!$B$7:$B$24,0))*INDEX(Usage!$I$5:$I$31,MATCH('In-Shop Emissions'!$C28,Usage!$D$5:$D$31,0))*(1-'Emission Factors'!$E$28),"--")</f>
        <v>--</v>
      </c>
      <c r="G28" s="97" t="str">
        <f ca="1">IFERROR(INDEX('Emission Factors'!F$7:F$24,MATCH(OFFSET(Usage!$D27,0,-2),'Emission Factors'!$B$7:$B$24,0))*INDEX(Usage!$I$5:$I$31,MATCH('In-Shop Emissions'!$C28,Usage!$D$5:$D$31,0))*(1-'Emission Factors'!$E$28),"--")</f>
        <v>--</v>
      </c>
      <c r="H28" s="97" t="str">
        <f ca="1">IFERROR(INDEX('Emission Factors'!G$7:G$24,MATCH(OFFSET(Usage!$D27,0,-2),'Emission Factors'!$B$7:$B$24,0))*INDEX(Usage!$I$5:$I$31,MATCH('In-Shop Emissions'!$C28,Usage!$D$5:$D$31,0))*(1-'Emission Factors'!$E$28),"--")</f>
        <v>--</v>
      </c>
      <c r="I28" s="97">
        <f ca="1">IFERROR(INDEX('Emission Factors'!H$7:H$24,MATCH(OFFSET(Usage!$D27,0,-2),'Emission Factors'!$B$7:$B$24,0))*INDEX(Usage!$I$5:$I$31,MATCH('In-Shop Emissions'!$C28,Usage!$D$5:$D$31,0))*(1-'Emission Factors'!$E$28),"--")</f>
        <v>7.0640000000000069E-5</v>
      </c>
      <c r="J28" s="97">
        <f ca="1">IFERROR(INDEX('Emission Factors'!I$7:I$24,MATCH(OFFSET(Usage!$D27,0,-2),'Emission Factors'!$B$7:$B$24,0))*INDEX(Usage!$I$5:$I$31,MATCH('In-Shop Emissions'!$C28,Usage!$D$5:$D$31,0))*(1-'Emission Factors'!$E$28),"--")</f>
        <v>1.6000000000000016E-5</v>
      </c>
      <c r="K28" s="97" t="str">
        <f ca="1">IFERROR(INDEX('Emission Factors'!J$7:J$24,MATCH(OFFSET(Usage!$D27,0,-2),'Emission Factors'!$B$7:$B$24,0))*INDEX(Usage!$I$5:$I$31,MATCH('In-Shop Emissions'!$C28,Usage!$D$5:$D$31,0))*(1-'Emission Factors'!$E$28),"--")</f>
        <v>--</v>
      </c>
      <c r="L28" s="97">
        <f ca="1">IFERROR(INDEX('Emission Factors'!K$7:K$24,MATCH(OFFSET(Usage!$D27,0,-2),'Emission Factors'!$B$7:$B$24,0))*INDEX(Usage!$I$5:$I$31,MATCH('In-Shop Emissions'!$C28,Usage!$D$5:$D$31,0))*(1-'Emission Factors'!$E$28),"--")</f>
        <v>4.3520000000000037E-5</v>
      </c>
      <c r="M28" s="97">
        <f ca="1">IFERROR(INDEX('Emission Factors'!L$7:L$24,MATCH(OFFSET(Usage!$D27,0,-2),'Emission Factors'!$B$7:$B$24,0))*INDEX(Usage!$I$5:$I$31,MATCH('In-Shop Emissions'!$C28,Usage!$D$5:$D$31,0))*(1-'Emission Factors'!$E$28),"--")</f>
        <v>4.4000000000000045E-6</v>
      </c>
      <c r="N28" s="97" t="str">
        <f ca="1">IFERROR(INDEX('Emission Factors'!M$7:M$24,MATCH(OFFSET(Usage!$D27,0,-2),'Emission Factors'!$B$7:$B$24,0))*INDEX(Usage!$I$5:$I$31,MATCH('In-Shop Emissions'!$C28,Usage!$D$5:$D$31,0))*(1-'Emission Factors'!$E$28),"--")</f>
        <v>--</v>
      </c>
      <c r="O28" s="97" t="str">
        <f ca="1">IFERROR(INDEX('Emission Factors'!N$7:N$24,MATCH(OFFSET(Usage!$D27,0,-2),'Emission Factors'!$B$7:$B$24,0))*INDEX(Usage!$I$5:$I$31,MATCH('In-Shop Emissions'!$C28,Usage!$D$5:$D$31,0))*(1-'Emission Factors'!$E$28),"--")</f>
        <v>--</v>
      </c>
      <c r="P28" s="97">
        <f ca="1">IFERROR(INDEX('Emission Factors'!O$7:O$24,MATCH(OFFSET(Usage!$D27,0,-2),'Emission Factors'!$B$7:$B$24,0))*INDEX(Usage!$I$5:$I$31,MATCH('In-Shop Emissions'!$C28,Usage!$D$5:$D$31,0))*(1-'Emission Factors'!$E$28),"--")</f>
        <v>2.4511100035599876E-6</v>
      </c>
      <c r="Q28" s="97" t="str">
        <f ca="1">IFERROR(INDEX('Emission Factors'!P$7:P$24,MATCH(OFFSET(Usage!$D27,0,-2),'Emission Factors'!$B$7:$B$24,0))*INDEX(Usage!$I$5:$I$31,MATCH('In-Shop Emissions'!$C28,Usage!$D$5:$D$31,0))*(1-'Emission Factors'!$E$28),"--")</f>
        <v>--</v>
      </c>
      <c r="R28" s="301" t="str">
        <f ca="1">IFERROR(INDEX('Emission Factors'!Q$7:Q$24,MATCH(OFFSET(Usage!$D27,0,-2),'Emission Factors'!$B$7:$B$24,0))*INDEX(Usage!$I$5:$I$31,MATCH('In-Shop Emissions'!$C28,Usage!$D$5:$D$31,0))*(1-'Emission Factors'!$E$28),"--")</f>
        <v>--</v>
      </c>
      <c r="S28" s="281">
        <f ca="1">IFERROR(INDEX('Emission Factors'!R$7:R$24,MATCH(OFFSET(Usage!$D27,0,-2),'Emission Factors'!$B$7:$B$24,0))*INDEX(Usage!$I$5:$I$31,MATCH('In-Shop Emissions'!$C28,Usage!$D$5:$D$31,0))*(1-'Emission Factors'!$E$28),"--")</f>
        <v>1.1460000000000011E-5</v>
      </c>
      <c r="T28" s="281">
        <f ca="1">IFERROR(INDEX('Emission Factors'!S$7:S$24,MATCH(OFFSET(Usage!$D27,0,-2),'Emission Factors'!$B$7:$B$24,0))*INDEX(Usage!$I$5:$I$31,MATCH('In-Shop Emissions'!$C28,Usage!$D$5:$D$31,0))*(1-'Emission Factors'!$E$28),"--")</f>
        <v>1.7191791558103194E-5</v>
      </c>
    </row>
    <row r="29" spans="2:20" x14ac:dyDescent="0.25">
      <c r="B29" s="190" t="s">
        <v>47</v>
      </c>
      <c r="C29" s="299" t="s">
        <v>90</v>
      </c>
      <c r="D29" s="300" t="str">
        <f ca="1">IFERROR(INDEX('Emission Factors'!C$7:C$24,MATCH(OFFSET(Usage!$D28,0,-2),'Emission Factors'!$B$7:$B$24,0))*INDEX(Usage!$I$5:$I$31,MATCH('In-Shop Emissions'!$C29,Usage!$D$5:$D$31,0))*(1-'Emission Factors'!$E$28),"--")</f>
        <v>--</v>
      </c>
      <c r="E29" s="97">
        <f ca="1">IFERROR(INDEX('Emission Factors'!D$7:D$24,MATCH(OFFSET(Usage!$D28,0,-2),'Emission Factors'!$B$7:$B$24,0))*INDEX(Usage!$I$5:$I$31,MATCH('In-Shop Emissions'!$C29,Usage!$D$5:$D$31,0))*(1-'Emission Factors'!$E$28),"--")</f>
        <v>2.6685749705766992E-6</v>
      </c>
      <c r="F29" s="97" t="str">
        <f ca="1">IFERROR(INDEX('Emission Factors'!E$7:E$24,MATCH(OFFSET(Usage!$D28,0,-2),'Emission Factors'!$B$7:$B$24,0))*INDEX(Usage!$I$5:$I$31,MATCH('In-Shop Emissions'!$C29,Usage!$D$5:$D$31,0))*(1-'Emission Factors'!$E$28),"--")</f>
        <v>--</v>
      </c>
      <c r="G29" s="97" t="str">
        <f ca="1">IFERROR(INDEX('Emission Factors'!F$7:F$24,MATCH(OFFSET(Usage!$D28,0,-2),'Emission Factors'!$B$7:$B$24,0))*INDEX(Usage!$I$5:$I$31,MATCH('In-Shop Emissions'!$C29,Usage!$D$5:$D$31,0))*(1-'Emission Factors'!$E$28),"--")</f>
        <v>--</v>
      </c>
      <c r="H29" s="97" t="str">
        <f ca="1">IFERROR(INDEX('Emission Factors'!G$7:G$24,MATCH(OFFSET(Usage!$D28,0,-2),'Emission Factors'!$B$7:$B$24,0))*INDEX(Usage!$I$5:$I$31,MATCH('In-Shop Emissions'!$C29,Usage!$D$5:$D$31,0))*(1-'Emission Factors'!$E$28),"--")</f>
        <v>--</v>
      </c>
      <c r="I29" s="97">
        <f ca="1">IFERROR(INDEX('Emission Factors'!H$7:H$24,MATCH(OFFSET(Usage!$D28,0,-2),'Emission Factors'!$B$7:$B$24,0))*INDEX(Usage!$I$5:$I$31,MATCH('In-Shop Emissions'!$C29,Usage!$D$5:$D$31,0))*(1-'Emission Factors'!$E$28),"--")</f>
        <v>1.2848000000000013E-4</v>
      </c>
      <c r="J29" s="97">
        <f ca="1">IFERROR(INDEX('Emission Factors'!I$7:I$24,MATCH(OFFSET(Usage!$D28,0,-2),'Emission Factors'!$B$7:$B$24,0))*INDEX(Usage!$I$5:$I$31,MATCH('In-Shop Emissions'!$C29,Usage!$D$5:$D$31,0))*(1-'Emission Factors'!$E$28),"--")</f>
        <v>2.2560000000000021E-5</v>
      </c>
      <c r="K29" s="97">
        <f ca="1">IFERROR(INDEX('Emission Factors'!J$7:J$24,MATCH(OFFSET(Usage!$D28,0,-2),'Emission Factors'!$B$7:$B$24,0))*INDEX(Usage!$I$5:$I$31,MATCH('In-Shop Emissions'!$C29,Usage!$D$5:$D$31,0))*(1-'Emission Factors'!$E$28),"--")</f>
        <v>5.0424000000000044E-6</v>
      </c>
      <c r="L29" s="97">
        <f ca="1">IFERROR(INDEX('Emission Factors'!K$7:K$24,MATCH(OFFSET(Usage!$D28,0,-2),'Emission Factors'!$B$7:$B$24,0))*INDEX(Usage!$I$5:$I$31,MATCH('In-Shop Emissions'!$C29,Usage!$D$5:$D$31,0))*(1-'Emission Factors'!$E$28),"--")</f>
        <v>2.7504000000000027E-5</v>
      </c>
      <c r="M29" s="97">
        <f ca="1">IFERROR(INDEX('Emission Factors'!L$7:L$24,MATCH(OFFSET(Usage!$D28,0,-2),'Emission Factors'!$B$7:$B$24,0))*INDEX(Usage!$I$5:$I$31,MATCH('In-Shop Emissions'!$C29,Usage!$D$5:$D$31,0))*(1-'Emission Factors'!$E$28),"--")</f>
        <v>6.8760000000000067E-5</v>
      </c>
      <c r="N29" s="97">
        <f ca="1">IFERROR(INDEX('Emission Factors'!M$7:M$24,MATCH(OFFSET(Usage!$D28,0,-2),'Emission Factors'!$B$7:$B$24,0))*INDEX(Usage!$I$5:$I$31,MATCH('In-Shop Emissions'!$C29,Usage!$D$5:$D$31,0))*(1-'Emission Factors'!$E$28),"--")</f>
        <v>0</v>
      </c>
      <c r="O29" s="97" t="str">
        <f ca="1">IFERROR(INDEX('Emission Factors'!N$7:N$24,MATCH(OFFSET(Usage!$D28,0,-2),'Emission Factors'!$B$7:$B$24,0))*INDEX(Usage!$I$5:$I$31,MATCH('In-Shop Emissions'!$C29,Usage!$D$5:$D$31,0))*(1-'Emission Factors'!$E$28),"--")</f>
        <v>--</v>
      </c>
      <c r="P29" s="97">
        <f ca="1">IFERROR(INDEX('Emission Factors'!O$7:O$24,MATCH(OFFSET(Usage!$D28,0,-2),'Emission Factors'!$B$7:$B$24,0))*INDEX(Usage!$I$5:$I$31,MATCH('In-Shop Emissions'!$C29,Usage!$D$5:$D$31,0))*(1-'Emission Factors'!$E$28),"--")</f>
        <v>2.7504000000000027E-5</v>
      </c>
      <c r="Q29" s="97" t="str">
        <f ca="1">IFERROR(INDEX('Emission Factors'!P$7:P$24,MATCH(OFFSET(Usage!$D28,0,-2),'Emission Factors'!$B$7:$B$24,0))*INDEX(Usage!$I$5:$I$31,MATCH('In-Shop Emissions'!$C29,Usage!$D$5:$D$31,0))*(1-'Emission Factors'!$E$28),"--")</f>
        <v>--</v>
      </c>
      <c r="R29" s="301" t="str">
        <f ca="1">IFERROR(INDEX('Emission Factors'!Q$7:Q$24,MATCH(OFFSET(Usage!$D28,0,-2),'Emission Factors'!$B$7:$B$24,0))*INDEX(Usage!$I$5:$I$31,MATCH('In-Shop Emissions'!$C29,Usage!$D$5:$D$31,0))*(1-'Emission Factors'!$E$28),"--")</f>
        <v>--</v>
      </c>
      <c r="S29" s="281">
        <f ca="1">IFERROR(INDEX('Emission Factors'!R$7:R$24,MATCH(OFFSET(Usage!$D28,0,-2),'Emission Factors'!$B$7:$B$24,0))*INDEX(Usage!$I$5:$I$31,MATCH('In-Shop Emissions'!$C29,Usage!$D$5:$D$31,0))*(1-'Emission Factors'!$E$28),"--")</f>
        <v>5.0424000000000044E-6</v>
      </c>
      <c r="T29" s="281">
        <f ca="1">IFERROR(INDEX('Emission Factors'!S$7:S$24,MATCH(OFFSET(Usage!$D28,0,-2),'Emission Factors'!$B$7:$B$24,0))*INDEX(Usage!$I$5:$I$31,MATCH('In-Shop Emissions'!$C29,Usage!$D$5:$D$31,0))*(1-'Emission Factors'!$E$28),"--")</f>
        <v>7.5643882855654044E-6</v>
      </c>
    </row>
    <row r="30" spans="2:20" x14ac:dyDescent="0.25">
      <c r="B30" s="190" t="s">
        <v>66</v>
      </c>
      <c r="C30" s="299" t="s">
        <v>91</v>
      </c>
      <c r="D30" s="300">
        <f ca="1">IFERROR(INDEX('Emission Factors'!C$7:C$24,MATCH(OFFSET(Usage!$D29,0,-2),'Emission Factors'!$B$7:$B$24,0))*INDEX(Usage!$I$5:$I$31,MATCH('In-Shop Emissions'!$C30,Usage!$D$5:$D$31,0))*(1-'Emission Factors'!$E$28),"--")</f>
        <v>0</v>
      </c>
      <c r="E30" s="97" t="str">
        <f ca="1">IFERROR(INDEX('Emission Factors'!D$7:D$24,MATCH(OFFSET(Usage!$D29,0,-2),'Emission Factors'!$B$7:$B$24,0))*INDEX(Usage!$I$5:$I$31,MATCH('In-Shop Emissions'!$C30,Usage!$D$5:$D$31,0))*(1-'Emission Factors'!$E$28),"--")</f>
        <v>--</v>
      </c>
      <c r="F30" s="97" t="str">
        <f ca="1">IFERROR(INDEX('Emission Factors'!E$7:E$24,MATCH(OFFSET(Usage!$D29,0,-2),'Emission Factors'!$B$7:$B$24,0))*INDEX(Usage!$I$5:$I$31,MATCH('In-Shop Emissions'!$C30,Usage!$D$5:$D$31,0))*(1-'Emission Factors'!$E$28),"--")</f>
        <v>--</v>
      </c>
      <c r="G30" s="97" t="str">
        <f ca="1">IFERROR(INDEX('Emission Factors'!F$7:F$24,MATCH(OFFSET(Usage!$D29,0,-2),'Emission Factors'!$B$7:$B$24,0))*INDEX(Usage!$I$5:$I$31,MATCH('In-Shop Emissions'!$C30,Usage!$D$5:$D$31,0))*(1-'Emission Factors'!$E$28),"--")</f>
        <v>--</v>
      </c>
      <c r="H30" s="97">
        <f ca="1">IFERROR(INDEX('Emission Factors'!G$7:G$24,MATCH(OFFSET(Usage!$D29,0,-2),'Emission Factors'!$B$7:$B$24,0))*INDEX(Usage!$I$5:$I$31,MATCH('In-Shop Emissions'!$C30,Usage!$D$5:$D$31,0))*(1-'Emission Factors'!$E$28),"--")</f>
        <v>0</v>
      </c>
      <c r="I30" s="97">
        <f ca="1">IFERROR(INDEX('Emission Factors'!H$7:H$24,MATCH(OFFSET(Usage!$D29,0,-2),'Emission Factors'!$B$7:$B$24,0))*INDEX(Usage!$I$5:$I$31,MATCH('In-Shop Emissions'!$C30,Usage!$D$5:$D$31,0))*(1-'Emission Factors'!$E$28),"--")</f>
        <v>0</v>
      </c>
      <c r="J30" s="97">
        <f ca="1">IFERROR(INDEX('Emission Factors'!I$7:I$24,MATCH(OFFSET(Usage!$D29,0,-2),'Emission Factors'!$B$7:$B$24,0))*INDEX(Usage!$I$5:$I$31,MATCH('In-Shop Emissions'!$C30,Usage!$D$5:$D$31,0))*(1-'Emission Factors'!$E$28),"--")</f>
        <v>0</v>
      </c>
      <c r="K30" s="97">
        <f ca="1">IFERROR(INDEX('Emission Factors'!J$7:J$24,MATCH(OFFSET(Usage!$D29,0,-2),'Emission Factors'!$B$7:$B$24,0))*INDEX(Usage!$I$5:$I$31,MATCH('In-Shop Emissions'!$C30,Usage!$D$5:$D$31,0))*(1-'Emission Factors'!$E$28),"--")</f>
        <v>0</v>
      </c>
      <c r="L30" s="97">
        <f ca="1">IFERROR(INDEX('Emission Factors'!K$7:K$24,MATCH(OFFSET(Usage!$D29,0,-2),'Emission Factors'!$B$7:$B$24,0))*INDEX(Usage!$I$5:$I$31,MATCH('In-Shop Emissions'!$C30,Usage!$D$5:$D$31,0))*(1-'Emission Factors'!$E$28),"--")</f>
        <v>0</v>
      </c>
      <c r="M30" s="97">
        <f ca="1">IFERROR(INDEX('Emission Factors'!L$7:L$24,MATCH(OFFSET(Usage!$D29,0,-2),'Emission Factors'!$B$7:$B$24,0))*INDEX(Usage!$I$5:$I$31,MATCH('In-Shop Emissions'!$C30,Usage!$D$5:$D$31,0))*(1-'Emission Factors'!$E$28),"--")</f>
        <v>0</v>
      </c>
      <c r="N30" s="97">
        <f ca="1">IFERROR(INDEX('Emission Factors'!M$7:M$24,MATCH(OFFSET(Usage!$D29,0,-2),'Emission Factors'!$B$7:$B$24,0))*INDEX(Usage!$I$5:$I$31,MATCH('In-Shop Emissions'!$C30,Usage!$D$5:$D$31,0))*(1-'Emission Factors'!$E$28),"--")</f>
        <v>0</v>
      </c>
      <c r="O30" s="97" t="str">
        <f ca="1">IFERROR(INDEX('Emission Factors'!N$7:N$24,MATCH(OFFSET(Usage!$D29,0,-2),'Emission Factors'!$B$7:$B$24,0))*INDEX(Usage!$I$5:$I$31,MATCH('In-Shop Emissions'!$C30,Usage!$D$5:$D$31,0))*(1-'Emission Factors'!$E$28),"--")</f>
        <v>--</v>
      </c>
      <c r="P30" s="97">
        <f ca="1">IFERROR(INDEX('Emission Factors'!O$7:O$24,MATCH(OFFSET(Usage!$D29,0,-2),'Emission Factors'!$B$7:$B$24,0))*INDEX(Usage!$I$5:$I$31,MATCH('In-Shop Emissions'!$C30,Usage!$D$5:$D$31,0))*(1-'Emission Factors'!$E$28),"--")</f>
        <v>0</v>
      </c>
      <c r="Q30" s="97">
        <f ca="1">IFERROR(INDEX('Emission Factors'!P$7:P$24,MATCH(OFFSET(Usage!$D29,0,-2),'Emission Factors'!$B$7:$B$24,0))*INDEX(Usage!$I$5:$I$31,MATCH('In-Shop Emissions'!$C30,Usage!$D$5:$D$31,0))*(1-'Emission Factors'!$E$28),"--")</f>
        <v>0</v>
      </c>
      <c r="R30" s="301" t="str">
        <f ca="1">IFERROR(INDEX('Emission Factors'!Q$7:Q$24,MATCH(OFFSET(Usage!$D29,0,-2),'Emission Factors'!$B$7:$B$24,0))*INDEX(Usage!$I$5:$I$31,MATCH('In-Shop Emissions'!$C30,Usage!$D$5:$D$31,0))*(1-'Emission Factors'!$E$28),"--")</f>
        <v>--</v>
      </c>
      <c r="S30" s="281" t="str">
        <f ca="1">IFERROR(INDEX('Emission Factors'!R$7:R$24,MATCH(OFFSET(Usage!$D29,0,-2),'Emission Factors'!$B$7:$B$24,0))*INDEX(Usage!$I$5:$I$31,MATCH('In-Shop Emissions'!$C30,Usage!$D$5:$D$31,0))*(1-'Emission Factors'!$E$28),"--")</f>
        <v>--</v>
      </c>
      <c r="T30" s="281">
        <f ca="1">IFERROR(INDEX('Emission Factors'!S$7:S$24,MATCH(OFFSET(Usage!$D29,0,-2),'Emission Factors'!$B$7:$B$24,0))*INDEX(Usage!$I$5:$I$31,MATCH('In-Shop Emissions'!$C30,Usage!$D$5:$D$31,0))*(1-'Emission Factors'!$E$28),"--")</f>
        <v>0</v>
      </c>
    </row>
    <row r="31" spans="2:20" x14ac:dyDescent="0.25">
      <c r="B31" s="190" t="s">
        <v>46</v>
      </c>
      <c r="C31" s="299" t="s">
        <v>168</v>
      </c>
      <c r="D31" s="300">
        <f ca="1">IFERROR(INDEX('Emission Factors'!C$7:C$24,MATCH(OFFSET(Usage!$D30,0,-2),'Emission Factors'!$B$7:$B$24,0))*INDEX(Usage!$I$5:$I$31,MATCH('In-Shop Emissions'!$C31,Usage!$D$5:$D$31,0))*(1-'Emission Factors'!$E$28),"--")</f>
        <v>6.3030000000000056E-6</v>
      </c>
      <c r="E31" s="97" t="str">
        <f ca="1">IFERROR(INDEX('Emission Factors'!D$7:D$24,MATCH(OFFSET(Usage!$D30,0,-2),'Emission Factors'!$B$7:$B$24,0))*INDEX(Usage!$I$5:$I$31,MATCH('In-Shop Emissions'!$C31,Usage!$D$5:$D$31,0))*(1-'Emission Factors'!$E$28),"--")</f>
        <v>--</v>
      </c>
      <c r="F31" s="97" t="str">
        <f ca="1">IFERROR(INDEX('Emission Factors'!E$7:E$24,MATCH(OFFSET(Usage!$D30,0,-2),'Emission Factors'!$B$7:$B$24,0))*INDEX(Usage!$I$5:$I$31,MATCH('In-Shop Emissions'!$C31,Usage!$D$5:$D$31,0))*(1-'Emission Factors'!$E$28),"--")</f>
        <v>--</v>
      </c>
      <c r="G31" s="97" t="str">
        <f ca="1">IFERROR(INDEX('Emission Factors'!F$7:F$24,MATCH(OFFSET(Usage!$D30,0,-2),'Emission Factors'!$B$7:$B$24,0))*INDEX(Usage!$I$5:$I$31,MATCH('In-Shop Emissions'!$C31,Usage!$D$5:$D$31,0))*(1-'Emission Factors'!$E$28),"--")</f>
        <v>--</v>
      </c>
      <c r="H31" s="97">
        <f ca="1">IFERROR(INDEX('Emission Factors'!G$7:G$24,MATCH(OFFSET(Usage!$D30,0,-2),'Emission Factors'!$B$7:$B$24,0))*INDEX(Usage!$I$5:$I$31,MATCH('In-Shop Emissions'!$C31,Usage!$D$5:$D$31,0))*(1-'Emission Factors'!$E$28),"--")</f>
        <v>6.3030000000000056E-6</v>
      </c>
      <c r="I31" s="97">
        <f ca="1">IFERROR(INDEX('Emission Factors'!H$7:H$24,MATCH(OFFSET(Usage!$D30,0,-2),'Emission Factors'!$B$7:$B$24,0))*INDEX(Usage!$I$5:$I$31,MATCH('In-Shop Emissions'!$C31,Usage!$D$5:$D$31,0))*(1-'Emission Factors'!$E$28),"--")</f>
        <v>1.7190000000000019E-4</v>
      </c>
      <c r="J31" s="97">
        <f ca="1">IFERROR(INDEX('Emission Factors'!I$7:I$24,MATCH(OFFSET(Usage!$D30,0,-2),'Emission Factors'!$B$7:$B$24,0))*INDEX(Usage!$I$5:$I$31,MATCH('In-Shop Emissions'!$C31,Usage!$D$5:$D$31,0))*(1-'Emission Factors'!$E$28),"--")</f>
        <v>9.4545000000000119E-5</v>
      </c>
      <c r="K31" s="97">
        <f ca="1">IFERROR(INDEX('Emission Factors'!J$7:J$24,MATCH(OFFSET(Usage!$D30,0,-2),'Emission Factors'!$B$7:$B$24,0))*INDEX(Usage!$I$5:$I$31,MATCH('In-Shop Emissions'!$C31,Usage!$D$5:$D$31,0))*(1-'Emission Factors'!$E$28),"--")</f>
        <v>6.3030000000000056E-6</v>
      </c>
      <c r="L31" s="97">
        <f ca="1">IFERROR(INDEX('Emission Factors'!K$7:K$24,MATCH(OFFSET(Usage!$D30,0,-2),'Emission Factors'!$B$7:$B$24,0))*INDEX(Usage!$I$5:$I$31,MATCH('In-Shop Emissions'!$C31,Usage!$D$5:$D$31,0))*(1-'Emission Factors'!$E$28),"--")</f>
        <v>6.3030000000000056E-6</v>
      </c>
      <c r="M31" s="97">
        <f ca="1">IFERROR(INDEX('Emission Factors'!L$7:L$24,MATCH(OFFSET(Usage!$D30,0,-2),'Emission Factors'!$B$7:$B$24,0))*INDEX(Usage!$I$5:$I$31,MATCH('In-Shop Emissions'!$C31,Usage!$D$5:$D$31,0))*(1-'Emission Factors'!$E$28),"--")</f>
        <v>4.0110000000000037E-4</v>
      </c>
      <c r="N31" s="97" t="str">
        <f ca="1">IFERROR(INDEX('Emission Factors'!M$7:M$24,MATCH(OFFSET(Usage!$D30,0,-2),'Emission Factors'!$B$7:$B$24,0))*INDEX(Usage!$I$5:$I$31,MATCH('In-Shop Emissions'!$C31,Usage!$D$5:$D$31,0))*(1-'Emission Factors'!$E$28),"--")</f>
        <v>--</v>
      </c>
      <c r="O31" s="97" t="str">
        <f ca="1">IFERROR(INDEX('Emission Factors'!N$7:N$24,MATCH(OFFSET(Usage!$D30,0,-2),'Emission Factors'!$B$7:$B$24,0))*INDEX(Usage!$I$5:$I$31,MATCH('In-Shop Emissions'!$C31,Usage!$D$5:$D$31,0))*(1-'Emission Factors'!$E$28),"--")</f>
        <v>--</v>
      </c>
      <c r="P31" s="97">
        <f ca="1">IFERROR(INDEX('Emission Factors'!O$7:O$24,MATCH(OFFSET(Usage!$D30,0,-2),'Emission Factors'!$B$7:$B$24,0))*INDEX(Usage!$I$5:$I$31,MATCH('In-Shop Emissions'!$C31,Usage!$D$5:$D$31,0))*(1-'Emission Factors'!$E$28),"--")</f>
        <v>6.3030000000000056E-6</v>
      </c>
      <c r="Q31" s="97">
        <f ca="1">IFERROR(INDEX('Emission Factors'!P$7:P$24,MATCH(OFFSET(Usage!$D30,0,-2),'Emission Factors'!$B$7:$B$24,0))*INDEX(Usage!$I$5:$I$31,MATCH('In-Shop Emissions'!$C31,Usage!$D$5:$D$31,0))*(1-'Emission Factors'!$E$28),"--")</f>
        <v>6.3030000000000056E-6</v>
      </c>
      <c r="R31" s="301">
        <f ca="1">IFERROR(INDEX('Emission Factors'!Q$7:Q$24,MATCH(OFFSET(Usage!$D30,0,-2),'Emission Factors'!$B$7:$B$24,0))*INDEX(Usage!$I$5:$I$31,MATCH('In-Shop Emissions'!$C31,Usage!$D$5:$D$31,0))*(1-'Emission Factors'!$E$28),"--")</f>
        <v>6.3030000000000056E-6</v>
      </c>
      <c r="S31" s="281">
        <f ca="1">IFERROR(INDEX('Emission Factors'!R$7:R$24,MATCH(OFFSET(Usage!$D30,0,-2),'Emission Factors'!$B$7:$B$24,0))*INDEX(Usage!$I$5:$I$31,MATCH('In-Shop Emissions'!$C31,Usage!$D$5:$D$31,0))*(1-'Emission Factors'!$E$28),"--")</f>
        <v>3.5400105043618755E-5</v>
      </c>
      <c r="T31" s="281">
        <f ca="1">IFERROR(INDEX('Emission Factors'!S$7:S$24,MATCH(OFFSET(Usage!$D30,0,-2),'Emission Factors'!$B$7:$B$24,0))*INDEX(Usage!$I$5:$I$31,MATCH('In-Shop Emissions'!$C31,Usage!$D$5:$D$31,0))*(1-'Emission Factors'!$E$28),"--")</f>
        <v>1.2893843668577399E-4</v>
      </c>
    </row>
    <row r="32" spans="2:20" ht="13" thickBot="1" x14ac:dyDescent="0.3">
      <c r="B32" s="190" t="s">
        <v>51</v>
      </c>
      <c r="C32" s="302" t="s">
        <v>165</v>
      </c>
      <c r="D32" s="303" t="str">
        <f ca="1">IFERROR(INDEX('Emission Factors'!C$7:C$24,MATCH(OFFSET(Usage!$D31,0,-2),'Emission Factors'!$B$7:$B$24,0))*INDEX(Usage!$I$5:$I$31,MATCH('In-Shop Emissions'!$C32,Usage!$D$5:$D$31,0))*(1-'Emission Factors'!$E$28),"--")</f>
        <v>--</v>
      </c>
      <c r="E32" s="211" t="str">
        <f ca="1">IFERROR(INDEX('Emission Factors'!D$7:D$24,MATCH(OFFSET(Usage!$D31,0,-2),'Emission Factors'!$B$7:$B$24,0))*INDEX(Usage!$I$5:$I$31,MATCH('In-Shop Emissions'!$C32,Usage!$D$5:$D$31,0))*(1-'Emission Factors'!$E$28),"--")</f>
        <v>--</v>
      </c>
      <c r="F32" s="211" t="str">
        <f ca="1">IFERROR(INDEX('Emission Factors'!E$7:E$24,MATCH(OFFSET(Usage!$D31,0,-2),'Emission Factors'!$B$7:$B$24,0))*INDEX(Usage!$I$5:$I$31,MATCH('In-Shop Emissions'!$C32,Usage!$D$5:$D$31,0))*(1-'Emission Factors'!$E$28),"--")</f>
        <v>--</v>
      </c>
      <c r="G32" s="211" t="str">
        <f ca="1">IFERROR(INDEX('Emission Factors'!F$7:F$24,MATCH(OFFSET(Usage!$D31,0,-2),'Emission Factors'!$B$7:$B$24,0))*INDEX(Usage!$I$5:$I$31,MATCH('In-Shop Emissions'!$C32,Usage!$D$5:$D$31,0))*(1-'Emission Factors'!$E$28),"--")</f>
        <v>--</v>
      </c>
      <c r="H32" s="211" t="str">
        <f ca="1">IFERROR(INDEX('Emission Factors'!G$7:G$24,MATCH(OFFSET(Usage!$D31,0,-2),'Emission Factors'!$B$7:$B$24,0))*INDEX(Usage!$I$5:$I$31,MATCH('In-Shop Emissions'!$C32,Usage!$D$5:$D$31,0))*(1-'Emission Factors'!$E$28),"--")</f>
        <v>--</v>
      </c>
      <c r="I32" s="211" t="str">
        <f ca="1">IFERROR(INDEX('Emission Factors'!H$7:H$24,MATCH(OFFSET(Usage!$D31,0,-2),'Emission Factors'!$B$7:$B$24,0))*INDEX(Usage!$I$5:$I$31,MATCH('In-Shop Emissions'!$C32,Usage!$D$5:$D$31,0))*(1-'Emission Factors'!$E$28),"--")</f>
        <v>--</v>
      </c>
      <c r="J32" s="211" t="str">
        <f ca="1">IFERROR(INDEX('Emission Factors'!I$7:I$24,MATCH(OFFSET(Usage!$D31,0,-2),'Emission Factors'!$B$7:$B$24,0))*INDEX(Usage!$I$5:$I$31,MATCH('In-Shop Emissions'!$C32,Usage!$D$5:$D$31,0))*(1-'Emission Factors'!$E$28),"--")</f>
        <v>--</v>
      </c>
      <c r="K32" s="304">
        <f ca="1">IFERROR(INDEX('Emission Factors'!J$7:J$24,MATCH(OFFSET(Usage!$D31,0,-2),'Emission Factors'!$B$7:$B$24,0))*INDEX(Usage!$I$5:$I$31,MATCH('In-Shop Emissions'!$C32,Usage!$D$5:$D$31,0))*(1-'Emission Factors'!$E$28),"--")</f>
        <v>8.0000000000000085E-2</v>
      </c>
      <c r="L32" s="211" t="str">
        <f ca="1">IFERROR(INDEX('Emission Factors'!K$7:K$24,MATCH(OFFSET(Usage!$D31,0,-2),'Emission Factors'!$B$7:$B$24,0))*INDEX(Usage!$I$5:$I$31,MATCH('In-Shop Emissions'!$C32,Usage!$D$5:$D$31,0))*(1-'Emission Factors'!$E$28),"--")</f>
        <v>--</v>
      </c>
      <c r="M32" s="211" t="str">
        <f ca="1">IFERROR(INDEX('Emission Factors'!L$7:L$24,MATCH(OFFSET(Usage!$D31,0,-2),'Emission Factors'!$B$7:$B$24,0))*INDEX(Usage!$I$5:$I$31,MATCH('In-Shop Emissions'!$C32,Usage!$D$5:$D$31,0))*(1-'Emission Factors'!$E$28),"--")</f>
        <v>--</v>
      </c>
      <c r="N32" s="211" t="str">
        <f ca="1">IFERROR(INDEX('Emission Factors'!M$7:M$24,MATCH(OFFSET(Usage!$D31,0,-2),'Emission Factors'!$B$7:$B$24,0))*INDEX(Usage!$I$5:$I$31,MATCH('In-Shop Emissions'!$C32,Usage!$D$5:$D$31,0))*(1-'Emission Factors'!$E$28),"--")</f>
        <v>--</v>
      </c>
      <c r="O32" s="211" t="str">
        <f ca="1">IFERROR(INDEX('Emission Factors'!N$7:N$24,MATCH(OFFSET(Usage!$D31,0,-2),'Emission Factors'!$B$7:$B$24,0))*INDEX(Usage!$I$5:$I$31,MATCH('In-Shop Emissions'!$C32,Usage!$D$5:$D$31,0))*(1-'Emission Factors'!$E$28),"--")</f>
        <v>--</v>
      </c>
      <c r="P32" s="211">
        <f ca="1">IFERROR(INDEX('Emission Factors'!O$7:O$24,MATCH(OFFSET(Usage!$D31,0,-2),'Emission Factors'!$B$7:$B$24,0))*INDEX(Usage!$I$5:$I$31,MATCH('In-Shop Emissions'!$C32,Usage!$D$5:$D$31,0))*(1-'Emission Factors'!$E$28),"--")</f>
        <v>2.2000000000000019E-3</v>
      </c>
      <c r="Q32" s="211" t="str">
        <f ca="1">IFERROR(INDEX('Emission Factors'!P$7:P$24,MATCH(OFFSET(Usage!$D31,0,-2),'Emission Factors'!$B$7:$B$24,0))*INDEX(Usage!$I$5:$I$31,MATCH('In-Shop Emissions'!$C32,Usage!$D$5:$D$31,0))*(1-'Emission Factors'!$E$28),"--")</f>
        <v>--</v>
      </c>
      <c r="R32" s="305" t="str">
        <f ca="1">IFERROR(INDEX('Emission Factors'!Q$7:Q$24,MATCH(OFFSET(Usage!$D31,0,-2),'Emission Factors'!$B$7:$B$24,0))*INDEX(Usage!$I$5:$I$31,MATCH('In-Shop Emissions'!$C32,Usage!$D$5:$D$31,0))*(1-'Emission Factors'!$E$28),"--")</f>
        <v>--</v>
      </c>
      <c r="S32" s="285" t="str">
        <f ca="1">IFERROR(INDEX('Emission Factors'!R$7:R$24,MATCH(OFFSET(Usage!$D31,0,-2),'Emission Factors'!$B$7:$B$24,0))*INDEX(Usage!$I$5:$I$31,MATCH('In-Shop Emissions'!$C32,Usage!$D$5:$D$31,0))*(1-'Emission Factors'!$E$28),"--")</f>
        <v>--</v>
      </c>
      <c r="T32" s="285" t="str">
        <f ca="1">IFERROR(INDEX('Emission Factors'!S$7:S$24,MATCH(OFFSET(Usage!$D31,0,-2),'Emission Factors'!$B$7:$B$24,0))*INDEX(Usage!$I$5:$I$31,MATCH('In-Shop Emissions'!$C32,Usage!$D$5:$D$31,0))*(1-'Emission Factors'!$E$28),"--")</f>
        <v>--</v>
      </c>
    </row>
    <row r="33" spans="2:20" ht="13" thickBot="1" x14ac:dyDescent="0.3">
      <c r="B33" s="101"/>
      <c r="C33" s="267" t="s">
        <v>158</v>
      </c>
      <c r="D33" s="524">
        <f ca="1">SUM(D6:D32,E6:E32)</f>
        <v>4.4599588650719949E-5</v>
      </c>
      <c r="E33" s="524"/>
      <c r="F33" s="287">
        <f t="shared" ref="F33:S33" ca="1" si="0">SUM(F6:F32)</f>
        <v>0</v>
      </c>
      <c r="G33" s="287">
        <f t="shared" ca="1" si="0"/>
        <v>0</v>
      </c>
      <c r="H33" s="287">
        <f t="shared" ca="1" si="0"/>
        <v>8.703000000000008E-6</v>
      </c>
      <c r="I33" s="287">
        <f t="shared" ca="1" si="0"/>
        <v>4.7471582400000047E-3</v>
      </c>
      <c r="J33" s="549">
        <f t="shared" ca="1" si="0"/>
        <v>5.0055391200000052E-4</v>
      </c>
      <c r="K33" s="287">
        <f t="shared" ca="1" si="0"/>
        <v>8.0040982136000083E-2</v>
      </c>
      <c r="L33" s="548">
        <f t="shared" ca="1" si="0"/>
        <v>6.0740884400000052E-3</v>
      </c>
      <c r="M33" s="549">
        <f t="shared" ca="1" si="0"/>
        <v>1.1166556800000012E-3</v>
      </c>
      <c r="N33" s="287">
        <f t="shared" ca="1" si="0"/>
        <v>7.8865190400000079E-6</v>
      </c>
      <c r="O33" s="287">
        <f t="shared" ca="1" si="0"/>
        <v>0</v>
      </c>
      <c r="P33" s="287">
        <f t="shared" ca="1" si="0"/>
        <v>2.7674714234524238E-3</v>
      </c>
      <c r="Q33" s="287">
        <f t="shared" ca="1" si="0"/>
        <v>1.168635360000001E-5</v>
      </c>
      <c r="R33" s="288">
        <f t="shared" ca="1" si="0"/>
        <v>6.3030000000000056E-6</v>
      </c>
      <c r="S33" s="289">
        <f t="shared" ca="1" si="0"/>
        <v>3.9496296086948332E-4</v>
      </c>
      <c r="T33" s="550">
        <f t="shared" ref="T33" ca="1" si="1">SUM(T6:T32)</f>
        <v>3.4288768435560219E-4</v>
      </c>
    </row>
  </sheetData>
  <mergeCells count="1">
    <mergeCell ref="D4:S4"/>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4D6580A378B147B620DF54ED58162B" ma:contentTypeVersion="16" ma:contentTypeDescription="Create a new document." ma:contentTypeScope="" ma:versionID="5bebeeaf96bf3c52efc5be00e8bc89ce">
  <xsd:schema xmlns:xsd="http://www.w3.org/2001/XMLSchema" xmlns:xs="http://www.w3.org/2001/XMLSchema" xmlns:p="http://schemas.microsoft.com/office/2006/metadata/properties" xmlns:ns2="75b8bca9-d629-4254-9366-a9fef854d522" xmlns:ns3="2acdbbdb-263d-41d2-aea7-b3a976a729aa" targetNamespace="http://schemas.microsoft.com/office/2006/metadata/properties" ma:root="true" ma:fieldsID="b460c15d5b5a40f77a5b9a079ed30f70" ns2:_="" ns3:_="">
    <xsd:import namespace="75b8bca9-d629-4254-9366-a9fef854d522"/>
    <xsd:import namespace="2acdbbdb-263d-41d2-aea7-b3a976a729a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8bca9-d629-4254-9366-a9fef854d5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ac244c-09f3-41c0-a84d-da3aec2a982e"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cdbbdb-263d-41d2-aea7-b3a976a729a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91fe900-a122-42e8-a322-e5097c123c27}" ma:internalName="TaxCatchAll" ma:showField="CatchAllData" ma:web="2acdbbdb-263d-41d2-aea7-b3a976a729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acdbbdb-263d-41d2-aea7-b3a976a729aa" xsi:nil="true"/>
    <lcf76f155ced4ddcb4097134ff3c332f xmlns="75b8bca9-d629-4254-9366-a9fef854d52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B17D8C-CE47-49FE-AA32-708D3E024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8bca9-d629-4254-9366-a9fef854d522"/>
    <ds:schemaRef ds:uri="2acdbbdb-263d-41d2-aea7-b3a976a729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EFB779-8504-4549-BDD1-09C1DF52D19A}">
  <ds:schemaRefs>
    <ds:schemaRef ds:uri="http://schemas.microsoft.com/sharepoint/v3/contenttype/forms"/>
  </ds:schemaRefs>
</ds:datastoreItem>
</file>

<file path=customXml/itemProps3.xml><?xml version="1.0" encoding="utf-8"?>
<ds:datastoreItem xmlns:ds="http://schemas.openxmlformats.org/officeDocument/2006/customXml" ds:itemID="{E98D7FEA-131B-4BCD-8911-367150DB90E1}">
  <ds:schemaRefs>
    <ds:schemaRef ds:uri="http://schemas.microsoft.com/office/2006/metadata/properties"/>
    <ds:schemaRef ds:uri="http://schemas.microsoft.com/office/infopath/2007/PartnerControls"/>
    <ds:schemaRef ds:uri="2acdbbdb-263d-41d2-aea7-b3a976a729aa"/>
    <ds:schemaRef ds:uri="75b8bca9-d629-4254-9366-a9fef854d52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Emissions Summary</vt:lpstr>
      <vt:lpstr>Emission Calculations--&gt;</vt:lpstr>
      <vt:lpstr>Weight Percent SDS</vt:lpstr>
      <vt:lpstr>Emission Factors</vt:lpstr>
      <vt:lpstr>Avg Wt Percent SDS</vt:lpstr>
      <vt:lpstr>Max Wt Percent SDS</vt:lpstr>
      <vt:lpstr>Boiler Emissions</vt:lpstr>
      <vt:lpstr>Boiler Building Emissions</vt:lpstr>
      <vt:lpstr>In-Shop Emissions</vt:lpstr>
      <vt:lpstr>Outside Emissions</vt:lpstr>
      <vt:lpstr>Usage</vt:lpstr>
      <vt:lpstr>Level 1 Risk Assessment--&gt;</vt:lpstr>
      <vt:lpstr>Risk Summary</vt:lpstr>
      <vt:lpstr>Worst-Case Product</vt:lpstr>
      <vt:lpstr>Worst-Case Product Acute Risk</vt:lpstr>
      <vt:lpstr>Residential REER</vt:lpstr>
      <vt:lpstr>Child REER</vt:lpstr>
      <vt:lpstr>Worker REER</vt:lpstr>
      <vt:lpstr>Acute REER</vt:lpstr>
      <vt:lpstr>Disp Factors</vt:lpstr>
      <vt:lpstr>Reference --&gt;</vt:lpstr>
      <vt:lpstr>SDAPCD Default EF</vt:lpstr>
      <vt:lpstr>Weight Percent SDAPCD</vt:lpstr>
      <vt:lpstr>Stack Disp Factors</vt:lpstr>
      <vt:lpstr>Fugitive Disp Factors</vt:lpstr>
      <vt:lpstr>DEQ RBC REF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Blake Hall</dc:creator>
  <cp:keywords/>
  <dc:description/>
  <cp:lastModifiedBy>DEGAGNE Julia * DEQ</cp:lastModifiedBy>
  <cp:revision/>
  <dcterms:created xsi:type="dcterms:W3CDTF">2023-04-26T15:22:14Z</dcterms:created>
  <dcterms:modified xsi:type="dcterms:W3CDTF">2023-11-02T21:20:29Z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0x010100104D6580A378B147B620DF54ED58162B</vt:lpwstr>
  </property>
  <property fmtid="{D5CDD505-2E9C-101B-9397-08002B2CF9AE}" pid="3" name="MediaServiceImageTags">
    <vt:lpwstr/>
  </property>
  <property fmtid="{D5CDD505-2E9C-101B-9397-08002B2CF9AE}" pid="4" name="MSIP_Label_db79d039-fcd0-4045-9c78-4cfb2eba0904_Enabled">
    <vt:lpwstr>true</vt:lpwstr>
  </property>
  <property fmtid="{D5CDD505-2E9C-101B-9397-08002B2CF9AE}" pid="5" name="MSIP_Label_db79d039-fcd0-4045-9c78-4cfb2eba0904_SetDate">
    <vt:lpwstr>2023-10-16T23:17:07Z</vt:lpwstr>
  </property>
  <property fmtid="{D5CDD505-2E9C-101B-9397-08002B2CF9AE}" pid="6" name="MSIP_Label_db79d039-fcd0-4045-9c78-4cfb2eba0904_Method">
    <vt:lpwstr>Privileged</vt:lpwstr>
  </property>
  <property fmtid="{D5CDD505-2E9C-101B-9397-08002B2CF9AE}" pid="7" name="MSIP_Label_db79d039-fcd0-4045-9c78-4cfb2eba0904_Name">
    <vt:lpwstr>Level 2 - Limited (Items)</vt:lpwstr>
  </property>
  <property fmtid="{D5CDD505-2E9C-101B-9397-08002B2CF9AE}" pid="8" name="MSIP_Label_db79d039-fcd0-4045-9c78-4cfb2eba0904_SiteId">
    <vt:lpwstr>aa3f6932-fa7c-47b4-a0ce-a598cad161cf</vt:lpwstr>
  </property>
  <property fmtid="{D5CDD505-2E9C-101B-9397-08002B2CF9AE}" pid="9" name="MSIP_Label_db79d039-fcd0-4045-9c78-4cfb2eba0904_ActionId">
    <vt:lpwstr>5e90ba02-e1e3-4be6-aa68-ccb3b9a6d044</vt:lpwstr>
  </property>
  <property fmtid="{D5CDD505-2E9C-101B-9397-08002B2CF9AE}" pid="10" name="MSIP_Label_db79d039-fcd0-4045-9c78-4cfb2eba0904_ContentBits">
    <vt:lpwstr>0</vt:lpwstr>
  </property>
</Properties>
</file>