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ullseye cost" sheetId="16" r:id="rId1"/>
    <sheet name="Uroboros cost" sheetId="17" r:id="rId2"/>
    <sheet name="Tier1 cost" sheetId="10" r:id="rId3"/>
    <sheet name="baghouse" sheetId="14" r:id="rId4"/>
    <sheet name="modeling" sheetId="7" r:id="rId5"/>
    <sheet name="source testing" sheetId="13" r:id="rId6"/>
    <sheet name="Title V" sheetId="15" r:id="rId7"/>
    <sheet name="finance &amp; legal" sheetId="18" r:id="rId8"/>
  </sheets>
  <definedNames>
    <definedName name="_xlnm.Print_Area" localSheetId="0">'Bullseye cost'!$A$1:$D$42</definedName>
    <definedName name="_xlnm.Print_Titles" localSheetId="0">'Bullseye cost'!$1:$7</definedName>
    <definedName name="_xlnm.Print_Titles" localSheetId="1">'Uroboros cost'!$1:$7</definedName>
  </definedNames>
  <calcPr calcId="152511"/>
</workbook>
</file>

<file path=xl/calcChain.xml><?xml version="1.0" encoding="utf-8"?>
<calcChain xmlns="http://schemas.openxmlformats.org/spreadsheetml/2006/main">
  <c r="A40" i="17" l="1"/>
  <c r="C40" i="10"/>
  <c r="D40" i="10"/>
  <c r="E40" i="10"/>
  <c r="C41" i="10"/>
  <c r="D41" i="10"/>
  <c r="E41" i="10"/>
  <c r="B41" i="10"/>
  <c r="F40" i="10"/>
  <c r="G40" i="10"/>
  <c r="B40" i="10"/>
  <c r="E39" i="10"/>
  <c r="D39" i="10"/>
  <c r="E38" i="10"/>
  <c r="D38" i="10"/>
  <c r="C13" i="17"/>
  <c r="C37" i="17"/>
  <c r="B41" i="17"/>
  <c r="B38" i="17"/>
  <c r="B37" i="17"/>
  <c r="A36" i="17"/>
  <c r="A40" i="16"/>
  <c r="A36" i="16"/>
  <c r="B20" i="17" l="1"/>
  <c r="B24" i="17" s="1"/>
  <c r="B36" i="14"/>
  <c r="A36" i="14"/>
  <c r="B34" i="14" l="1"/>
  <c r="C20" i="17" s="1"/>
  <c r="C24" i="17" s="1"/>
  <c r="A34" i="14"/>
  <c r="C11" i="17"/>
  <c r="B11" i="17"/>
  <c r="B25" i="17"/>
  <c r="A36" i="15"/>
  <c r="B35" i="15"/>
  <c r="B36" i="15" s="1"/>
  <c r="A35" i="15"/>
  <c r="C12" i="17"/>
  <c r="B12" i="17"/>
  <c r="A31" i="15"/>
  <c r="C25" i="17"/>
  <c r="C25" i="16"/>
  <c r="B25" i="16"/>
  <c r="C24" i="16"/>
  <c r="B24" i="16"/>
  <c r="C12" i="16"/>
  <c r="B12" i="16"/>
  <c r="C11" i="16"/>
  <c r="C13" i="16" s="1"/>
  <c r="B11" i="16"/>
  <c r="B42" i="17" l="1"/>
  <c r="C42" i="17"/>
  <c r="C38" i="17"/>
  <c r="C41" i="17"/>
  <c r="B41" i="16"/>
  <c r="B37" i="16"/>
  <c r="B42" i="16"/>
  <c r="B38" i="16"/>
  <c r="C41" i="16"/>
  <c r="C37" i="16"/>
  <c r="C42" i="16"/>
  <c r="C38" i="16"/>
  <c r="G38" i="10"/>
  <c r="F38" i="10"/>
  <c r="B38" i="10"/>
  <c r="C38" i="10"/>
  <c r="B39" i="10"/>
  <c r="C39" i="10"/>
  <c r="B19" i="15"/>
  <c r="B20" i="15" s="1"/>
  <c r="B21" i="15" s="1"/>
  <c r="B27" i="15" s="1"/>
  <c r="A19" i="15"/>
  <c r="A20" i="15" s="1"/>
  <c r="A21" i="15" s="1"/>
  <c r="A27" i="15" s="1"/>
  <c r="B26" i="15"/>
  <c r="A26" i="15"/>
  <c r="B9" i="14"/>
</calcChain>
</file>

<file path=xl/comments1.xml><?xml version="1.0" encoding="utf-8"?>
<comments xmlns="http://schemas.openxmlformats.org/spreadsheetml/2006/main">
  <authors>
    <author>Author</author>
  </authors>
  <commentList>
    <comment ref="B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C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shapeId="0">
      <text>
        <r>
          <rPr>
            <b/>
            <sz val="9"/>
            <color indexed="81"/>
            <rFont val="Tahoma"/>
            <family val="2"/>
          </rPr>
          <t>Author:</t>
        </r>
        <r>
          <rPr>
            <sz val="9"/>
            <color indexed="81"/>
            <rFont val="Tahoma"/>
            <family val="2"/>
          </rPr>
          <t xml:space="preserve">
Tier 1 facilities would need a "simple high" ACDP per Dave Kauth, by email on 5/24/2016.</t>
        </r>
      </text>
    </comment>
    <comment ref="E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shape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<sst xmlns="http://schemas.openxmlformats.org/spreadsheetml/2006/main" count="314" uniqueCount="184">
  <si>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</si>
  <si>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</si>
  <si>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</si>
  <si>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</si>
  <si>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</si>
  <si>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</si>
  <si>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</si>
  <si>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</si>
  <si>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</si>
  <si>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</si>
  <si>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</si>
  <si>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</si>
  <si>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</si>
  <si>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</si>
  <si>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</si>
  <si>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</si>
  <si>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</si>
  <si>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</si>
  <si>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</si>
  <si>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</si>
  <si>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</si>
  <si>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</si>
  <si>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</si>
  <si>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</si>
  <si>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</si>
  <si>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</si>
  <si>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</si>
  <si>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</si>
  <si>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</si>
  <si>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</si>
  <si>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</si>
  <si>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</si>
  <si>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</si>
  <si>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</si>
  <si>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</si>
  <si>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</si>
  <si>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</si>
  <si>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</si>
  <si>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</si>
  <si>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</si>
  <si>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</si>
  <si>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</si>
  <si>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</si>
  <si>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</si>
  <si>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</si>
  <si>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</si>
  <si>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</si>
  <si>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</si>
  <si>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</si>
  <si>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</si>
  <si>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</si>
  <si>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</si>
  <si>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</si>
  <si>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</si>
  <si>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</si>
  <si>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</si>
  <si>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</si>
  <si>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</si>
  <si>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</si>
  <si>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</si>
  <si>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</si>
  <si>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</si>
  <si>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</si>
  <si>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</si>
  <si>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</si>
  <si>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</si>
  <si>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</si>
  <si>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</si>
  <si>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</si>
  <si>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</si>
  <si>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</si>
  <si>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</si>
  <si>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</si>
  <si>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</si>
  <si>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</si>
  <si>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</si>
  <si>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</si>
  <si>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</si>
  <si>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</si>
  <si>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</si>
  <si>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</si>
  <si>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</si>
  <si>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 xml:space="preserve">$10-15k if test can be done in 1-3 hr runs. If 16hr runs, $65k. If 4-day runs, $100k. </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</si>
  <si>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</si>
  <si>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</si>
  <si>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</si>
  <si>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</si>
  <si>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</si>
  <si>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</si>
  <si>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</si>
  <si>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</si>
  <si>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</si>
  <si>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</si>
  <si>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</si>
  <si>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</si>
  <si>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</si>
  <si>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</si>
  <si>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</si>
  <si>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</si>
  <si>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</si>
  <si>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</si>
  <si>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</si>
  <si>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</si>
  <si>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</si>
  <si>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</si>
  <si>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</si>
  <si>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</si>
  <si>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</si>
  <si>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</si>
  <si>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</si>
  <si>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</si>
  <si>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</si>
  <si>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</si>
  <si>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</si>
  <si>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</si>
  <si>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</si>
  <si>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</si>
  <si>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</si>
  <si>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</si>
  <si>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</si>
  <si>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</si>
  <si>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</si>
  <si>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length of run depends on detection limits, does not have to be entire production run to show capture efficiency.</t>
  </si>
  <si>
    <t>Baghouse 2: being brought online now. Will handle 1 furnace and can later be connected to 1 more furnace</t>
  </si>
  <si>
    <t>Baghouse 1: currently online and handling 2 furnaces</t>
  </si>
  <si>
    <t>Baghouse 3: contractors are plumbing and connecting electrical. Will handle 11 furnaces.</t>
  </si>
  <si>
    <t>Baghouse 4: in planning, will start after install and testing of baghouse 3. "Another large baghouse", so it may be same scale as Baghouse 3. After this baghouse is installed, the smaller baghouse 1 and 2 could be repurposed.</t>
  </si>
  <si>
    <t>Eric was not able to say how many furnaces are large enough to be subject to 6S, so difficult to know how many baghouses are 'additional'.</t>
  </si>
  <si>
    <t>Some furnaces are subject to 6S, and some baghouse would be required due to that. I think that estimating 1 additional baghouse is likely to be accurate. I could estimate zero to two.</t>
  </si>
  <si>
    <t>Cost estimate for monitoring and reporting from 5/27/2016 fiscal advisory committee meeting</t>
  </si>
  <si>
    <t>per year</t>
  </si>
  <si>
    <t>upper limit on monitoring and reporting cost, based on labor rate + time to perform estimate</t>
  </si>
  <si>
    <t>monitoring and reporting cost, if computer control system produces the data DEQ needs. But, this didn't consider annual baghouse inspection etc.</t>
  </si>
  <si>
    <t>Bullseye- Tier 2</t>
  </si>
  <si>
    <t>Number of Control Devices</t>
  </si>
  <si>
    <t>Costs Per Control Device</t>
  </si>
  <si>
    <t>Total one-time costs per baghouse</t>
  </si>
  <si>
    <t>Total annual costs per baghouse</t>
  </si>
  <si>
    <t>Install control device on all furnaces using metal HAPs. If using chrome: source test &amp; modeling to develop daily &amp; annual max usage
    Then follow the max usage limits</t>
  </si>
  <si>
    <t>Phone call with Eric Lovell on 5/31/2016 he estimated that his emissions fees would be $500/year.</t>
  </si>
  <si>
    <t>emissions fees</t>
  </si>
  <si>
    <t>annual base fee</t>
  </si>
  <si>
    <t>total annual Title V permit fees (rounded)</t>
  </si>
  <si>
    <t>Phone conversation with Eric Durrin (Bullseye) on 5/31/2016</t>
  </si>
  <si>
    <t>Phone conversation with Eric Lovell (Uroboros) on 5/31/2016</t>
  </si>
  <si>
    <t>consultant to prepare Title V application</t>
  </si>
  <si>
    <t>10% contingency on consultant for Title V application</t>
  </si>
  <si>
    <t>low / high estimates on consultant for Title V application</t>
  </si>
  <si>
    <t>10% contingency on baghouse install</t>
  </si>
  <si>
    <t>low / high estimates on baghouse install</t>
  </si>
  <si>
    <t>Estimate from Eric Lovell on phone 5/31/2016</t>
  </si>
  <si>
    <t>$56k for complete source test. I assume that means testing the control device meets 99% as well as Cr3 to Cr6 conversion.</t>
  </si>
  <si>
    <t>included in source testing cost below</t>
  </si>
  <si>
    <t># of additional baghouses installed, over and above what would have been installed due to NESHAP 6S alone</t>
  </si>
  <si>
    <t>Uroboros- Tier 2</t>
  </si>
  <si>
    <t>Incremental extra cost of Title V annual permit fees due to art glass rule</t>
  </si>
  <si>
    <t>City of Portland mechanical permit</t>
  </si>
  <si>
    <t>baghouse install</t>
  </si>
  <si>
    <t>Fiscal Impact Estimate for proposed rule- Bullseye Glass Company</t>
  </si>
  <si>
    <t>Fiscal Impact Estimate for proposed rule- Uroboros Glass Studios, Inc.</t>
  </si>
  <si>
    <t>Assume preparing the permit application would cost 0% to 5% more because of the incremental addition of the proposed rules.</t>
  </si>
  <si>
    <t>The proposed rules would not increase the annual permit fees if the facility would have a Title V anyway.</t>
  </si>
  <si>
    <t>Assume length of run depends on detection limits, and does not have to be entire production run to show capture efficiency.</t>
  </si>
  <si>
    <t>This is uncertain because changes to comply with NESHAP 6S are happening at the same time as efforts to comply with this rule.</t>
  </si>
  <si>
    <t>Assume this 16 hr test runs. May be able to run concurrently with 99% control efficiency test, reducing cost.</t>
  </si>
  <si>
    <t>Assume preparing the permit application would cost 0% to 5% more because of the incremental addition of the proposed rules. (Rounded to the nearest thousand.)</t>
  </si>
  <si>
    <t>annual operation (electricity, bag replacement etc)</t>
  </si>
  <si>
    <t>one-time costs (rounded)</t>
  </si>
  <si>
    <t>annual costs (rounded)</t>
  </si>
  <si>
    <t>Do 1 of these at all furnaces: install control device OR source test &amp; modeling to show impact below limits OR request permit condition to not use metal HAPs</t>
  </si>
  <si>
    <t>Should legal and financing costs be included?</t>
  </si>
  <si>
    <t>Phone conversation with Susan Fairchild at US EPA 6/6/2016</t>
  </si>
  <si>
    <t>She was involved in EPA's NESHAP 6S rulemaking.</t>
  </si>
  <si>
    <t>EPA does not include legal fees in the compliance cost estimate for a rule, but it does include costs for reading &amp; understanding the rule</t>
  </si>
  <si>
    <t>EPA annualizes the initial costs (for purchasing and installing a baghouse, for example), and that estimate includes estimated financing costs.</t>
  </si>
  <si>
    <t>Susan suggested I contact Larry Sorrels, an EPA economist who can explain more about how that is done.</t>
  </si>
  <si>
    <t>Phone conversation with Larry Sorrels, economist with the US EPA</t>
  </si>
  <si>
    <t>US EPA does control equipment cost estimation using the EPA Air Pollution Control Cost Manual</t>
  </si>
  <si>
    <t>https://www3.epa.gov/ttn/ecas/cost_manual.html</t>
  </si>
  <si>
    <t>EPA converts capital costs to an annual cost over the assumed lifetime of the equipment.</t>
  </si>
  <si>
    <t>For baghouses, they assume a 20-year life</t>
  </si>
  <si>
    <t>EPA uses a 7% assumed interest rate, which is determined by the US Office of Management and Budget (OMB).</t>
  </si>
  <si>
    <t>Calculation uses a Capital Recovery Factor to annualize the one-time costs, according to a formula that uses equipment lifetime &amp; interest rate.</t>
  </si>
  <si>
    <t>There are examples in Section 1 Chapter 2 and in Section 6 Chapter 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</si>
</sst>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68">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6" fontId="0" fillId="0" borderId="0" xfId="0" applyNumberFormat="1" applyFont="1"/>
    <xf numFmtId="165" fontId="0" fillId="5" borderId="1" xfId="2" quotePrefix="1" applyNumberFormat="1" applyFont="1" applyFill="1" applyBorder="1" applyAlignment="1">
      <alignment horizontal="right" vertical="center"/>
    </xf>
    <xf numFmtId="165" fontId="0" fillId="5" borderId="1" xfId="0" applyNumberFormat="1" applyFill="1" applyBorder="1" applyAlignment="1">
      <alignment vertical="center" wrapText="1"/>
    </xf>
    <xf numFmtId="0" fontId="0" fillId="0" borderId="1" xfId="0" applyFont="1" applyFill="1" applyBorder="1" applyAlignment="1">
      <alignment horizontal="right" vertical="center" wrapText="1"/>
    </xf>
    <xf numFmtId="165" fontId="0" fillId="5" borderId="0" xfId="0" applyNumberFormat="1" applyFill="1"/>
    <xf numFmtId="0" fontId="3" fillId="0" borderId="1" xfId="0" applyFont="1" applyBorder="1" applyAlignment="1">
      <alignment horizontal="centerContinuous" vertical="center" wrapText="1"/>
    </xf>
    <xf numFmtId="0" fontId="1" fillId="3" borderId="1" xfId="0" applyFont="1" applyFill="1" applyBorder="1" applyAlignment="1">
      <alignment horizontal="centerContinuous" vertical="center" wrapText="1"/>
    </xf>
    <xf numFmtId="0" fontId="0" fillId="0" borderId="1" xfId="0" applyFill="1" applyBorder="1" applyAlignment="1">
      <alignment horizontal="right"/>
    </xf>
    <xf numFmtId="165" fontId="0" fillId="0" borderId="1" xfId="0" applyNumberFormat="1" applyFill="1" applyBorder="1"/>
    <xf numFmtId="165" fontId="0" fillId="0" borderId="1" xfId="0" applyNumberFormat="1" applyBorder="1" applyAlignment="1">
      <alignment horizontal="right" vertical="center" wrapText="1"/>
    </xf>
    <xf numFmtId="0" fontId="0" fillId="0" borderId="1" xfId="0" applyBorder="1" applyAlignment="1">
      <alignment horizontal="right" wrapText="1"/>
    </xf>
    <xf numFmtId="0" fontId="1"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0" borderId="1" xfId="0" applyFont="1" applyBorder="1" applyAlignment="1">
      <alignment horizontal="center" vertical="center"/>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0" borderId="2" xfId="0" applyNumberFormat="1" applyFill="1" applyBorder="1" applyAlignment="1">
      <alignment horizontal="center"/>
    </xf>
    <xf numFmtId="165" fontId="0" fillId="0"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0" fontId="0" fillId="0" borderId="1" xfId="0"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3.epa.gov/scram001/dispersion_screening.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3.epa.gov/ttn/ecas/cost_manu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tabSelected="1" view="pageBreakPreview" zoomScale="90" zoomScaleNormal="100" zoomScaleSheetLayoutView="90" workbookViewId="0">
      <pane ySplit="7" topLeftCell="A8" activePane="bottomLeft" state="frozen"/>
      <selection pane="bottomLeft" activeCell="A3" sqref="A3"/>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99</v>
      </c>
    </row>
    <row r="2" spans="1:4" x14ac:dyDescent="0.25">
      <c r="A2" s="5" t="s">
        <v>158</v>
      </c>
    </row>
    <row r="4" spans="1:4" ht="15" customHeight="1" x14ac:dyDescent="0.25">
      <c r="A4" s="50" t="s">
        <v>133</v>
      </c>
      <c r="B4" s="50"/>
      <c r="C4" s="50"/>
    </row>
    <row r="5" spans="1:4" ht="60" customHeight="1" x14ac:dyDescent="0.25">
      <c r="A5" s="2" t="s">
        <v>15</v>
      </c>
      <c r="B5" s="51" t="s">
        <v>138</v>
      </c>
      <c r="C5" s="51"/>
    </row>
    <row r="6" spans="1:4" x14ac:dyDescent="0.25">
      <c r="A6" s="7"/>
      <c r="B6" s="52" t="s">
        <v>46</v>
      </c>
      <c r="C6" s="53"/>
    </row>
    <row r="7" spans="1:4" x14ac:dyDescent="0.25">
      <c r="A7" s="7"/>
      <c r="B7" s="16" t="s">
        <v>12</v>
      </c>
      <c r="C7" s="16" t="s">
        <v>11</v>
      </c>
    </row>
    <row r="8" spans="1:4" x14ac:dyDescent="0.25">
      <c r="A8" s="5" t="s">
        <v>8</v>
      </c>
      <c r="B8" s="5"/>
    </row>
    <row r="9" spans="1:4" x14ac:dyDescent="0.25">
      <c r="A9" s="2" t="s">
        <v>7</v>
      </c>
      <c r="B9" s="54" t="s">
        <v>6</v>
      </c>
      <c r="C9" s="54"/>
    </row>
    <row r="10" spans="1:4" ht="30" x14ac:dyDescent="0.25">
      <c r="A10" s="2" t="s">
        <v>80</v>
      </c>
      <c r="B10" s="54" t="s">
        <v>6</v>
      </c>
      <c r="C10" s="54"/>
    </row>
    <row r="11" spans="1:4" ht="60" x14ac:dyDescent="0.25">
      <c r="A11" s="2" t="s">
        <v>81</v>
      </c>
      <c r="B11" s="40">
        <f>'Title V'!A26</f>
        <v>25000</v>
      </c>
      <c r="C11" s="40">
        <f>'Title V'!B26</f>
        <v>100000</v>
      </c>
      <c r="D11" s="26" t="s">
        <v>101</v>
      </c>
    </row>
    <row r="12" spans="1:4" ht="60" x14ac:dyDescent="0.25">
      <c r="A12" s="34" t="s">
        <v>112</v>
      </c>
      <c r="B12" s="41">
        <f>'Title V'!A27</f>
        <v>10310</v>
      </c>
      <c r="C12" s="41">
        <f>'Title V'!B27</f>
        <v>11510</v>
      </c>
      <c r="D12" s="26" t="s">
        <v>101</v>
      </c>
    </row>
    <row r="13" spans="1:4" ht="69" customHeight="1" x14ac:dyDescent="0.25">
      <c r="A13" s="34" t="s">
        <v>102</v>
      </c>
      <c r="B13" s="28">
        <v>0</v>
      </c>
      <c r="C13" s="28">
        <f>C11*5%</f>
        <v>5000</v>
      </c>
      <c r="D13" s="27" t="s">
        <v>160</v>
      </c>
    </row>
    <row r="14" spans="1:4" ht="45" x14ac:dyDescent="0.25">
      <c r="A14" s="34" t="s">
        <v>155</v>
      </c>
      <c r="B14" s="28">
        <v>0</v>
      </c>
      <c r="C14" s="28">
        <v>0</v>
      </c>
      <c r="D14" s="27" t="s">
        <v>161</v>
      </c>
    </row>
    <row r="16" spans="1:4" x14ac:dyDescent="0.25">
      <c r="A16" s="11" t="s">
        <v>134</v>
      </c>
    </row>
    <row r="17" spans="1:5" ht="77.25" customHeight="1" x14ac:dyDescent="0.25">
      <c r="A17" s="49" t="s">
        <v>153</v>
      </c>
      <c r="B17" s="1">
        <v>0</v>
      </c>
      <c r="C17" s="1">
        <v>2</v>
      </c>
      <c r="D17" s="27" t="s">
        <v>163</v>
      </c>
    </row>
    <row r="19" spans="1:5" x14ac:dyDescent="0.25">
      <c r="A19" s="11" t="s">
        <v>135</v>
      </c>
      <c r="B19" s="13"/>
      <c r="C19" s="13"/>
    </row>
    <row r="20" spans="1:5" x14ac:dyDescent="0.25">
      <c r="A20" s="2" t="s">
        <v>44</v>
      </c>
      <c r="B20" s="12">
        <v>250000</v>
      </c>
      <c r="C20" s="12">
        <v>400000</v>
      </c>
      <c r="D20" s="26"/>
    </row>
    <row r="21" spans="1:5" ht="60" x14ac:dyDescent="0.25">
      <c r="A21" s="2" t="s">
        <v>90</v>
      </c>
      <c r="B21" s="15">
        <v>4000</v>
      </c>
      <c r="C21" s="15">
        <v>15000</v>
      </c>
      <c r="D21" s="29" t="s">
        <v>122</v>
      </c>
    </row>
    <row r="22" spans="1:5" x14ac:dyDescent="0.25">
      <c r="A22" s="2" t="s">
        <v>45</v>
      </c>
      <c r="B22" s="12">
        <v>15000</v>
      </c>
      <c r="C22" s="12">
        <v>70000</v>
      </c>
      <c r="D22" t="s">
        <v>94</v>
      </c>
    </row>
    <row r="23" spans="1:5" ht="30" x14ac:dyDescent="0.25">
      <c r="A23" s="2" t="s">
        <v>51</v>
      </c>
      <c r="B23" s="12">
        <v>12000</v>
      </c>
      <c r="C23" s="12">
        <v>17000</v>
      </c>
    </row>
    <row r="24" spans="1:5" ht="30" x14ac:dyDescent="0.25">
      <c r="A24" s="42" t="s">
        <v>136</v>
      </c>
      <c r="B24" s="15">
        <f>SUM(B20,B21)</f>
        <v>254000</v>
      </c>
      <c r="C24" s="15">
        <f>SUM(C20,C21)</f>
        <v>415000</v>
      </c>
      <c r="D24" s="29"/>
    </row>
    <row r="25" spans="1:5" ht="30" x14ac:dyDescent="0.25">
      <c r="A25" s="42" t="s">
        <v>137</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54</v>
      </c>
      <c r="B28" s="15">
        <v>60000</v>
      </c>
      <c r="C28" s="15">
        <v>65000</v>
      </c>
      <c r="D28" s="27" t="s">
        <v>164</v>
      </c>
      <c r="E28" s="27" t="s">
        <v>82</v>
      </c>
    </row>
    <row r="29" spans="1:5" x14ac:dyDescent="0.25">
      <c r="A29" s="3"/>
      <c r="B29" s="13"/>
      <c r="C29" s="13"/>
    </row>
    <row r="30" spans="1:5" x14ac:dyDescent="0.25">
      <c r="A30" s="11" t="s">
        <v>0</v>
      </c>
      <c r="B30" s="13"/>
      <c r="C30" s="13"/>
    </row>
    <row r="31" spans="1:5" ht="33.75" customHeight="1" x14ac:dyDescent="0.25">
      <c r="A31" s="22" t="s">
        <v>53</v>
      </c>
      <c r="B31" s="23"/>
      <c r="C31" s="24"/>
    </row>
    <row r="32" spans="1:5" x14ac:dyDescent="0.25">
      <c r="A32" s="2" t="s">
        <v>47</v>
      </c>
      <c r="B32" s="15">
        <v>10000</v>
      </c>
      <c r="C32" s="21" t="s">
        <v>58</v>
      </c>
    </row>
    <row r="33" spans="1:3" ht="30" x14ac:dyDescent="0.25">
      <c r="A33" s="2" t="s">
        <v>48</v>
      </c>
      <c r="B33" s="21" t="s">
        <v>58</v>
      </c>
      <c r="C33" s="15">
        <v>30000</v>
      </c>
    </row>
    <row r="34" spans="1:3" x14ac:dyDescent="0.25">
      <c r="A34" s="4"/>
      <c r="B34" s="4"/>
    </row>
    <row r="35" spans="1:3" x14ac:dyDescent="0.25">
      <c r="A35" s="11" t="s">
        <v>52</v>
      </c>
      <c r="B35" s="4"/>
    </row>
    <row r="36" spans="1:3" x14ac:dyDescent="0.25">
      <c r="A36" s="11" t="str">
        <f>"If "&amp;B17&amp;" additional baghouses installed"</f>
        <v>If 0 additional baghouses installed</v>
      </c>
      <c r="B36" s="4"/>
    </row>
    <row r="37" spans="1:3" x14ac:dyDescent="0.25">
      <c r="A37" s="18" t="s">
        <v>49</v>
      </c>
      <c r="B37" s="17">
        <f>SUM(B13,$B17*B24,B28,B32:B33)</f>
        <v>70000</v>
      </c>
      <c r="C37" s="17">
        <f>SUM(C13,$B17*C24,C28,C32:C33)</f>
        <v>100000</v>
      </c>
    </row>
    <row r="38" spans="1:3" x14ac:dyDescent="0.25">
      <c r="A38" s="18" t="s">
        <v>50</v>
      </c>
      <c r="B38" s="17">
        <f>SUM(B14,$B17*B25)</f>
        <v>0</v>
      </c>
      <c r="C38" s="17">
        <f>SUM(C14,$B17*C25)</f>
        <v>0</v>
      </c>
    </row>
    <row r="40" spans="1:3" x14ac:dyDescent="0.25">
      <c r="A40" s="11" t="str">
        <f>"If "&amp;C17&amp;" additional baghouses installed"</f>
        <v>If 2 additional baghouses installed</v>
      </c>
      <c r="B40" s="4"/>
    </row>
    <row r="41" spans="1:3" x14ac:dyDescent="0.25">
      <c r="A41" s="18" t="s">
        <v>49</v>
      </c>
      <c r="B41" s="17">
        <f>SUM(B13,$C17*B24,B28,B32:B33)</f>
        <v>578000</v>
      </c>
      <c r="C41" s="17">
        <f>SUM(C13,$C17*C24,C28,C32:C33)</f>
        <v>930000</v>
      </c>
    </row>
    <row r="42" spans="1:3" x14ac:dyDescent="0.25">
      <c r="A42" s="18" t="s">
        <v>50</v>
      </c>
      <c r="B42" s="17">
        <f>SUM(B14,$C17*B25)</f>
        <v>54000</v>
      </c>
      <c r="C42" s="17">
        <f>SUM(C14,$C17*C25)</f>
        <v>174000</v>
      </c>
    </row>
  </sheetData>
  <mergeCells count="5">
    <mergeCell ref="A4:C4"/>
    <mergeCell ref="B5:C5"/>
    <mergeCell ref="B6:C6"/>
    <mergeCell ref="B9:C9"/>
    <mergeCell ref="B10:C10"/>
  </mergeCells>
  <pageMargins left="0.7" right="0.7" top="0.75" bottom="0.75" header="0.3" footer="0.3"/>
  <pageSetup scale="9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view="pageBreakPreview" zoomScale="90" zoomScaleNormal="100" zoomScaleSheetLayoutView="90" workbookViewId="0">
      <pane ySplit="7" topLeftCell="A8" activePane="bottomLeft" state="frozen"/>
      <selection pane="bottomLeft" activeCell="C23" activeCellId="2" sqref="C14 C22 C23"/>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99</v>
      </c>
    </row>
    <row r="2" spans="1:4" x14ac:dyDescent="0.25">
      <c r="A2" s="5" t="s">
        <v>159</v>
      </c>
    </row>
    <row r="4" spans="1:4" ht="15" customHeight="1" x14ac:dyDescent="0.25">
      <c r="A4" s="50" t="s">
        <v>154</v>
      </c>
      <c r="B4" s="50"/>
      <c r="C4" s="50"/>
    </row>
    <row r="5" spans="1:4" ht="60" customHeight="1" x14ac:dyDescent="0.25">
      <c r="A5" s="2" t="s">
        <v>15</v>
      </c>
      <c r="B5" s="51" t="s">
        <v>138</v>
      </c>
      <c r="C5" s="51"/>
    </row>
    <row r="6" spans="1:4" x14ac:dyDescent="0.25">
      <c r="A6" s="7"/>
      <c r="B6" s="52" t="s">
        <v>46</v>
      </c>
      <c r="C6" s="53"/>
    </row>
    <row r="7" spans="1:4" x14ac:dyDescent="0.25">
      <c r="A7" s="7"/>
      <c r="B7" s="16" t="s">
        <v>12</v>
      </c>
      <c r="C7" s="16" t="s">
        <v>11</v>
      </c>
    </row>
    <row r="8" spans="1:4" x14ac:dyDescent="0.25">
      <c r="A8" s="5" t="s">
        <v>8</v>
      </c>
      <c r="B8" s="5"/>
    </row>
    <row r="9" spans="1:4" x14ac:dyDescent="0.25">
      <c r="A9" s="2" t="s">
        <v>7</v>
      </c>
      <c r="B9" s="54" t="s">
        <v>6</v>
      </c>
      <c r="C9" s="54"/>
    </row>
    <row r="10" spans="1:4" ht="30" x14ac:dyDescent="0.25">
      <c r="A10" s="2" t="s">
        <v>80</v>
      </c>
      <c r="B10" s="54" t="s">
        <v>6</v>
      </c>
      <c r="C10" s="54"/>
    </row>
    <row r="11" spans="1:4" ht="60" x14ac:dyDescent="0.25">
      <c r="A11" s="2" t="s">
        <v>81</v>
      </c>
      <c r="B11" s="40">
        <f>'Title V'!A36</f>
        <v>15000</v>
      </c>
      <c r="C11" s="40">
        <f>'Title V'!B36</f>
        <v>55000</v>
      </c>
      <c r="D11" s="26" t="s">
        <v>101</v>
      </c>
    </row>
    <row r="12" spans="1:4" ht="60" x14ac:dyDescent="0.25">
      <c r="A12" s="34" t="s">
        <v>112</v>
      </c>
      <c r="B12" s="41">
        <f>'Title V'!A32</f>
        <v>8500</v>
      </c>
      <c r="C12" s="41">
        <f>'Title V'!A32</f>
        <v>8500</v>
      </c>
      <c r="D12" s="26" t="s">
        <v>101</v>
      </c>
    </row>
    <row r="13" spans="1:4" ht="75" x14ac:dyDescent="0.25">
      <c r="A13" s="34" t="s">
        <v>102</v>
      </c>
      <c r="B13" s="28">
        <v>0</v>
      </c>
      <c r="C13" s="28">
        <f>ROUND(C11*5%,-3)</f>
        <v>3000</v>
      </c>
      <c r="D13" s="27" t="s">
        <v>165</v>
      </c>
    </row>
    <row r="14" spans="1:4" ht="45" x14ac:dyDescent="0.25">
      <c r="A14" s="34" t="s">
        <v>155</v>
      </c>
      <c r="B14" s="28">
        <v>0</v>
      </c>
      <c r="C14" s="28">
        <v>0</v>
      </c>
      <c r="D14" s="27" t="s">
        <v>161</v>
      </c>
    </row>
    <row r="16" spans="1:4" x14ac:dyDescent="0.25">
      <c r="A16" s="11" t="s">
        <v>134</v>
      </c>
    </row>
    <row r="17" spans="1:5" ht="78" customHeight="1" x14ac:dyDescent="0.25">
      <c r="A17" s="49" t="s">
        <v>153</v>
      </c>
      <c r="B17" s="1">
        <v>0</v>
      </c>
      <c r="C17" s="1">
        <v>1</v>
      </c>
      <c r="D17" s="27" t="s">
        <v>163</v>
      </c>
    </row>
    <row r="19" spans="1:5" x14ac:dyDescent="0.25">
      <c r="A19" s="11" t="s">
        <v>135</v>
      </c>
      <c r="B19" s="13"/>
      <c r="C19" s="13"/>
    </row>
    <row r="20" spans="1:5" x14ac:dyDescent="0.25">
      <c r="A20" s="2" t="s">
        <v>44</v>
      </c>
      <c r="B20" s="12">
        <f>baghouse!A36</f>
        <v>355000</v>
      </c>
      <c r="C20" s="12">
        <f>baghouse!B36</f>
        <v>610000</v>
      </c>
      <c r="D20" s="26"/>
    </row>
    <row r="21" spans="1:5" ht="60" x14ac:dyDescent="0.25">
      <c r="A21" s="2" t="s">
        <v>90</v>
      </c>
      <c r="B21" s="55" t="s">
        <v>152</v>
      </c>
      <c r="C21" s="56"/>
      <c r="D21" s="29" t="s">
        <v>162</v>
      </c>
    </row>
    <row r="22" spans="1:5" x14ac:dyDescent="0.25">
      <c r="A22" s="2" t="s">
        <v>45</v>
      </c>
      <c r="B22" s="12">
        <v>15000</v>
      </c>
      <c r="C22" s="12">
        <v>70000</v>
      </c>
      <c r="D22" t="s">
        <v>94</v>
      </c>
    </row>
    <row r="23" spans="1:5" ht="30" x14ac:dyDescent="0.25">
      <c r="A23" s="2" t="s">
        <v>51</v>
      </c>
      <c r="B23" s="12">
        <v>12000</v>
      </c>
      <c r="C23" s="12">
        <v>17000</v>
      </c>
    </row>
    <row r="24" spans="1:5" ht="30" x14ac:dyDescent="0.25">
      <c r="A24" s="42" t="s">
        <v>136</v>
      </c>
      <c r="B24" s="15">
        <f>SUM(B20,B21)</f>
        <v>355000</v>
      </c>
      <c r="C24" s="15">
        <f>SUM(C20,C21)</f>
        <v>610000</v>
      </c>
      <c r="D24" s="29"/>
    </row>
    <row r="25" spans="1:5" ht="30" x14ac:dyDescent="0.25">
      <c r="A25" s="42" t="s">
        <v>137</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54</v>
      </c>
      <c r="B28" s="15">
        <v>56000</v>
      </c>
      <c r="C28" s="15">
        <v>56000</v>
      </c>
      <c r="D28" s="27"/>
      <c r="E28" s="27"/>
    </row>
    <row r="29" spans="1:5" x14ac:dyDescent="0.25">
      <c r="A29" s="3"/>
      <c r="B29" s="13"/>
      <c r="C29" s="13"/>
    </row>
    <row r="30" spans="1:5" x14ac:dyDescent="0.25">
      <c r="A30" s="11" t="s">
        <v>0</v>
      </c>
      <c r="B30" s="13"/>
      <c r="C30" s="13"/>
    </row>
    <row r="31" spans="1:5" ht="33.75" customHeight="1" x14ac:dyDescent="0.25">
      <c r="A31" s="22" t="s">
        <v>53</v>
      </c>
      <c r="B31" s="23"/>
      <c r="C31" s="24"/>
    </row>
    <row r="32" spans="1:5" x14ac:dyDescent="0.25">
      <c r="A32" s="2" t="s">
        <v>47</v>
      </c>
      <c r="B32" s="15">
        <v>10000</v>
      </c>
      <c r="C32" s="21" t="s">
        <v>58</v>
      </c>
    </row>
    <row r="33" spans="1:3" ht="30" x14ac:dyDescent="0.25">
      <c r="A33" s="2" t="s">
        <v>48</v>
      </c>
      <c r="B33" s="21" t="s">
        <v>58</v>
      </c>
      <c r="C33" s="15">
        <v>30000</v>
      </c>
    </row>
    <row r="34" spans="1:3" x14ac:dyDescent="0.25">
      <c r="A34" s="4"/>
      <c r="B34" s="4"/>
    </row>
    <row r="35" spans="1:3" x14ac:dyDescent="0.25">
      <c r="A35" s="11" t="s">
        <v>52</v>
      </c>
      <c r="B35" s="4"/>
    </row>
    <row r="36" spans="1:3" x14ac:dyDescent="0.25">
      <c r="A36" s="11" t="str">
        <f>"If "&amp;B17&amp;" additional baghouses installed"</f>
        <v>If 0 additional baghouses installed</v>
      </c>
      <c r="B36" s="4"/>
    </row>
    <row r="37" spans="1:3" x14ac:dyDescent="0.25">
      <c r="A37" s="18" t="s">
        <v>49</v>
      </c>
      <c r="B37" s="17">
        <f>SUM(B13,$B17*B24,B28,B32:B33)</f>
        <v>66000</v>
      </c>
      <c r="C37" s="17">
        <f>SUM(C13,$B17*C24,C28,C32:C33)</f>
        <v>89000</v>
      </c>
    </row>
    <row r="38" spans="1:3" x14ac:dyDescent="0.25">
      <c r="A38" s="18" t="s">
        <v>50</v>
      </c>
      <c r="B38" s="17">
        <f>SUM(B14,$B17*B25)</f>
        <v>0</v>
      </c>
      <c r="C38" s="17">
        <f>SUM(C14,$B17*C25)</f>
        <v>0</v>
      </c>
    </row>
    <row r="40" spans="1:3" x14ac:dyDescent="0.25">
      <c r="A40" s="11" t="str">
        <f>"If "&amp;C17&amp;" additional baghouse installed"</f>
        <v>If 1 additional baghouse installed</v>
      </c>
      <c r="B40" s="4"/>
    </row>
    <row r="41" spans="1:3" x14ac:dyDescent="0.25">
      <c r="A41" s="18" t="s">
        <v>49</v>
      </c>
      <c r="B41" s="17">
        <f>SUM(B13,$C17*B24,B28,B32:B33)</f>
        <v>421000</v>
      </c>
      <c r="C41" s="17">
        <f>SUM(C13,$C17*C24,C28,C32:C33)</f>
        <v>699000</v>
      </c>
    </row>
    <row r="42" spans="1:3" x14ac:dyDescent="0.25">
      <c r="A42" s="18" t="s">
        <v>50</v>
      </c>
      <c r="B42" s="17">
        <f>SUM(B14,$C17*B25)</f>
        <v>27000</v>
      </c>
      <c r="C42" s="17">
        <f>SUM(C14,$C17*C25)</f>
        <v>87000</v>
      </c>
    </row>
  </sheetData>
  <mergeCells count="6">
    <mergeCell ref="B21:C21"/>
    <mergeCell ref="A4:C4"/>
    <mergeCell ref="B5:C5"/>
    <mergeCell ref="B6:C6"/>
    <mergeCell ref="B9:C9"/>
    <mergeCell ref="B10:C10"/>
  </mergeCells>
  <pageMargins left="0.7" right="0.7" top="0.75" bottom="0.75" header="0.3" footer="0.3"/>
  <pageSetup scale="91" fitToHeight="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90" zoomScaleNormal="100" zoomScaleSheetLayoutView="90" workbookViewId="0">
      <pane ySplit="8" topLeftCell="A9" activePane="bottomLeft" state="frozen"/>
      <selection pane="bottomLeft" activeCell="C36" sqref="C36"/>
    </sheetView>
  </sheetViews>
  <sheetFormatPr defaultRowHeight="15" x14ac:dyDescent="0.25"/>
  <cols>
    <col min="1" max="1" width="30" customWidth="1"/>
    <col min="2" max="7" width="18" customWidth="1"/>
    <col min="8" max="8" width="19" customWidth="1"/>
  </cols>
  <sheetData>
    <row r="1" spans="1:7" x14ac:dyDescent="0.25">
      <c r="A1" s="5" t="s">
        <v>99</v>
      </c>
    </row>
    <row r="2" spans="1:7" x14ac:dyDescent="0.25">
      <c r="A2" s="5" t="s">
        <v>100</v>
      </c>
    </row>
    <row r="4" spans="1:7" ht="15" customHeight="1" x14ac:dyDescent="0.25">
      <c r="A4" s="45" t="s">
        <v>55</v>
      </c>
      <c r="B4" s="45"/>
      <c r="C4" s="45"/>
      <c r="D4" s="45"/>
      <c r="E4" s="45"/>
      <c r="F4" s="45"/>
      <c r="G4" s="45"/>
    </row>
    <row r="5" spans="1:7" ht="24" x14ac:dyDescent="0.25">
      <c r="A5" s="25" t="s">
        <v>15</v>
      </c>
      <c r="B5" s="44" t="s">
        <v>169</v>
      </c>
      <c r="C5" s="44"/>
      <c r="D5" s="44"/>
      <c r="E5" s="44"/>
      <c r="F5" s="44"/>
      <c r="G5" s="44"/>
    </row>
    <row r="6" spans="1:7" x14ac:dyDescent="0.25">
      <c r="A6" s="7"/>
      <c r="B6" s="45" t="s">
        <v>46</v>
      </c>
      <c r="C6" s="45"/>
      <c r="D6" s="45"/>
      <c r="E6" s="45"/>
      <c r="F6" s="45"/>
      <c r="G6" s="45"/>
    </row>
    <row r="7" spans="1:7" ht="33.75" customHeight="1" x14ac:dyDescent="0.25">
      <c r="A7" s="7"/>
      <c r="B7" s="50" t="s">
        <v>60</v>
      </c>
      <c r="C7" s="50"/>
      <c r="D7" s="50" t="s">
        <v>59</v>
      </c>
      <c r="E7" s="50"/>
      <c r="F7" s="50" t="s">
        <v>64</v>
      </c>
      <c r="G7" s="50"/>
    </row>
    <row r="8" spans="1:7" x14ac:dyDescent="0.25">
      <c r="A8" s="7"/>
      <c r="B8" s="1" t="s">
        <v>12</v>
      </c>
      <c r="C8" s="1" t="s">
        <v>11</v>
      </c>
      <c r="D8" s="1" t="s">
        <v>12</v>
      </c>
      <c r="E8" s="1" t="s">
        <v>11</v>
      </c>
      <c r="F8" s="1" t="s">
        <v>12</v>
      </c>
      <c r="G8" s="1" t="s">
        <v>11</v>
      </c>
    </row>
    <row r="9" spans="1:7" x14ac:dyDescent="0.25">
      <c r="A9" s="5" t="s">
        <v>8</v>
      </c>
      <c r="B9" s="5"/>
      <c r="D9" s="5"/>
      <c r="F9" s="5"/>
    </row>
    <row r="10" spans="1:7" x14ac:dyDescent="0.25">
      <c r="A10" s="2" t="s">
        <v>7</v>
      </c>
      <c r="B10" s="54" t="s">
        <v>5</v>
      </c>
      <c r="C10" s="54"/>
      <c r="D10" s="54" t="s">
        <v>5</v>
      </c>
      <c r="E10" s="54"/>
      <c r="F10" s="54" t="s">
        <v>5</v>
      </c>
      <c r="G10" s="54"/>
    </row>
    <row r="11" spans="1:7" ht="30" x14ac:dyDescent="0.25">
      <c r="A11" s="2" t="s">
        <v>56</v>
      </c>
      <c r="B11" s="67" t="s">
        <v>4</v>
      </c>
      <c r="C11" s="67"/>
      <c r="D11" s="67" t="s">
        <v>4</v>
      </c>
      <c r="E11" s="67"/>
      <c r="F11" s="67" t="s">
        <v>4</v>
      </c>
      <c r="G11" s="67"/>
    </row>
    <row r="12" spans="1:7" x14ac:dyDescent="0.25">
      <c r="A12" s="2" t="s">
        <v>14</v>
      </c>
      <c r="B12" s="20">
        <v>7200</v>
      </c>
      <c r="C12" s="20">
        <v>7200</v>
      </c>
      <c r="D12" s="20">
        <v>7200</v>
      </c>
      <c r="E12" s="20">
        <v>7200</v>
      </c>
      <c r="F12" s="20">
        <v>7200</v>
      </c>
      <c r="G12" s="20">
        <v>7200</v>
      </c>
    </row>
    <row r="13" spans="1:7" ht="30" x14ac:dyDescent="0.25">
      <c r="A13" s="2" t="s">
        <v>16</v>
      </c>
      <c r="B13" s="21" t="s">
        <v>58</v>
      </c>
      <c r="C13" s="21" t="s">
        <v>58</v>
      </c>
      <c r="D13" s="21" t="s">
        <v>58</v>
      </c>
      <c r="E13" s="21" t="s">
        <v>58</v>
      </c>
      <c r="F13" s="21" t="s">
        <v>58</v>
      </c>
      <c r="G13" s="21" t="s">
        <v>58</v>
      </c>
    </row>
    <row r="14" spans="1:7" ht="45" x14ac:dyDescent="0.25">
      <c r="A14" s="2" t="s">
        <v>57</v>
      </c>
      <c r="B14" s="20">
        <v>4608</v>
      </c>
      <c r="C14" s="20">
        <v>4608</v>
      </c>
      <c r="D14" s="20">
        <v>4608</v>
      </c>
      <c r="E14" s="20">
        <v>4608</v>
      </c>
      <c r="F14" s="20">
        <v>4608</v>
      </c>
      <c r="G14" s="20">
        <v>4608</v>
      </c>
    </row>
    <row r="16" spans="1:7" x14ac:dyDescent="0.25">
      <c r="A16" s="11" t="s">
        <v>2</v>
      </c>
      <c r="B16" s="13"/>
      <c r="C16" s="13"/>
      <c r="D16" s="13"/>
      <c r="E16" s="13"/>
      <c r="F16" s="13"/>
      <c r="G16" s="13"/>
    </row>
    <row r="17" spans="1:8" x14ac:dyDescent="0.25">
      <c r="A17" s="2" t="s">
        <v>44</v>
      </c>
      <c r="B17" s="12">
        <v>250000</v>
      </c>
      <c r="C17" s="12">
        <v>400000</v>
      </c>
      <c r="D17" s="21" t="s">
        <v>58</v>
      </c>
      <c r="E17" s="21" t="s">
        <v>58</v>
      </c>
      <c r="F17" s="21" t="s">
        <v>58</v>
      </c>
      <c r="G17" s="21" t="s">
        <v>58</v>
      </c>
    </row>
    <row r="18" spans="1:8" ht="30" x14ac:dyDescent="0.25">
      <c r="A18" s="2" t="s">
        <v>166</v>
      </c>
      <c r="B18" s="12">
        <v>15000</v>
      </c>
      <c r="C18" s="12">
        <v>70000</v>
      </c>
      <c r="D18" s="21" t="s">
        <v>58</v>
      </c>
      <c r="E18" s="21" t="s">
        <v>58</v>
      </c>
      <c r="F18" s="21" t="s">
        <v>58</v>
      </c>
      <c r="G18" s="21" t="s">
        <v>58</v>
      </c>
      <c r="H18" s="26"/>
    </row>
    <row r="19" spans="1:8" x14ac:dyDescent="0.25">
      <c r="A19" s="8"/>
      <c r="B19" s="19"/>
      <c r="C19" s="19"/>
      <c r="D19" s="19"/>
      <c r="E19" s="19"/>
      <c r="F19" s="19"/>
      <c r="G19" s="19"/>
    </row>
    <row r="20" spans="1:8" x14ac:dyDescent="0.25">
      <c r="A20" s="11" t="s">
        <v>3</v>
      </c>
    </row>
    <row r="21" spans="1:8" ht="30" x14ac:dyDescent="0.25">
      <c r="A21" s="2" t="s">
        <v>51</v>
      </c>
      <c r="B21" s="12">
        <v>12000</v>
      </c>
      <c r="C21" s="12">
        <v>17000</v>
      </c>
      <c r="D21" s="21" t="s">
        <v>58</v>
      </c>
      <c r="E21" s="21" t="s">
        <v>58</v>
      </c>
      <c r="F21" s="21" t="s">
        <v>58</v>
      </c>
      <c r="G21" s="21" t="s">
        <v>58</v>
      </c>
    </row>
    <row r="22" spans="1:8" x14ac:dyDescent="0.25">
      <c r="A22" s="3"/>
      <c r="B22" s="14"/>
      <c r="C22" s="14"/>
      <c r="D22" s="14"/>
      <c r="E22" s="14"/>
      <c r="F22" s="14"/>
      <c r="G22" s="14"/>
    </row>
    <row r="23" spans="1:8" x14ac:dyDescent="0.25">
      <c r="A23" s="11" t="s">
        <v>1</v>
      </c>
      <c r="B23" s="13"/>
      <c r="C23" s="13"/>
      <c r="D23" s="13"/>
      <c r="E23" s="13"/>
      <c r="F23" s="13"/>
      <c r="G23" s="13"/>
    </row>
    <row r="24" spans="1:8" ht="60" x14ac:dyDescent="0.25">
      <c r="A24" s="30" t="s">
        <v>89</v>
      </c>
      <c r="B24" s="31"/>
      <c r="C24" s="31"/>
      <c r="D24" s="15">
        <v>15000</v>
      </c>
      <c r="E24" s="15">
        <v>25000</v>
      </c>
      <c r="F24" s="21"/>
      <c r="G24" s="21"/>
      <c r="H24" s="27"/>
    </row>
    <row r="25" spans="1:8" ht="60" x14ac:dyDescent="0.25">
      <c r="A25" s="30" t="s">
        <v>83</v>
      </c>
      <c r="B25" s="65" t="s">
        <v>76</v>
      </c>
      <c r="C25" s="66"/>
      <c r="D25" s="15">
        <v>0</v>
      </c>
      <c r="E25" s="15">
        <v>65000</v>
      </c>
      <c r="F25" s="21" t="s">
        <v>58</v>
      </c>
      <c r="G25" s="21" t="s">
        <v>58</v>
      </c>
      <c r="H25" s="27"/>
    </row>
    <row r="26" spans="1:8" ht="45" x14ac:dyDescent="0.25">
      <c r="A26" s="2" t="s">
        <v>90</v>
      </c>
      <c r="B26" s="15">
        <v>4000</v>
      </c>
      <c r="C26" s="15">
        <v>15000</v>
      </c>
      <c r="D26" s="21" t="s">
        <v>58</v>
      </c>
      <c r="E26" s="21" t="s">
        <v>58</v>
      </c>
      <c r="F26" s="21" t="s">
        <v>58</v>
      </c>
      <c r="G26" s="21" t="s">
        <v>58</v>
      </c>
    </row>
    <row r="27" spans="1:8" x14ac:dyDescent="0.25">
      <c r="A27" s="3"/>
      <c r="B27" s="13"/>
      <c r="C27" s="13"/>
      <c r="D27" s="13"/>
      <c r="E27" s="13"/>
      <c r="F27" s="13"/>
      <c r="G27" s="13"/>
    </row>
    <row r="28" spans="1:8" x14ac:dyDescent="0.25">
      <c r="A28" s="11" t="s">
        <v>0</v>
      </c>
      <c r="B28" s="13"/>
      <c r="C28" s="13"/>
      <c r="D28" s="13"/>
      <c r="E28" s="13"/>
      <c r="F28" s="13"/>
      <c r="G28" s="13"/>
    </row>
    <row r="29" spans="1:8" x14ac:dyDescent="0.25">
      <c r="A29" s="22" t="s">
        <v>53</v>
      </c>
      <c r="B29" s="23"/>
      <c r="C29" s="24"/>
      <c r="D29" s="23"/>
      <c r="E29" s="24"/>
      <c r="F29" s="23"/>
      <c r="G29" s="24"/>
    </row>
    <row r="30" spans="1:8" x14ac:dyDescent="0.25">
      <c r="A30" s="2" t="s">
        <v>47</v>
      </c>
      <c r="B30" s="21" t="s">
        <v>58</v>
      </c>
      <c r="C30" s="21" t="s">
        <v>58</v>
      </c>
      <c r="D30" s="15">
        <v>10000</v>
      </c>
      <c r="E30" s="21" t="s">
        <v>58</v>
      </c>
      <c r="F30" s="21" t="s">
        <v>58</v>
      </c>
      <c r="G30" s="21" t="s">
        <v>58</v>
      </c>
    </row>
    <row r="31" spans="1:8" ht="30" x14ac:dyDescent="0.25">
      <c r="A31" s="2" t="s">
        <v>48</v>
      </c>
      <c r="B31" s="21" t="s">
        <v>58</v>
      </c>
      <c r="C31" s="21" t="s">
        <v>58</v>
      </c>
      <c r="D31" s="21" t="s">
        <v>58</v>
      </c>
      <c r="E31" s="15">
        <v>30000</v>
      </c>
      <c r="F31" s="21" t="s">
        <v>58</v>
      </c>
      <c r="G31" s="21" t="s">
        <v>58</v>
      </c>
    </row>
    <row r="32" spans="1:8" x14ac:dyDescent="0.25">
      <c r="A32" s="14"/>
      <c r="B32" s="14"/>
      <c r="C32" s="14"/>
      <c r="D32" s="14"/>
      <c r="E32" s="14"/>
      <c r="F32" s="14"/>
      <c r="G32" s="14"/>
    </row>
    <row r="33" spans="1:7" x14ac:dyDescent="0.25">
      <c r="A33" s="11" t="s">
        <v>61</v>
      </c>
      <c r="B33" s="14"/>
      <c r="C33" s="14"/>
      <c r="D33" s="14"/>
      <c r="E33" s="14"/>
      <c r="F33" s="14"/>
      <c r="G33" s="14"/>
    </row>
    <row r="34" spans="1:7" ht="60" x14ac:dyDescent="0.25">
      <c r="A34" s="48" t="s">
        <v>62</v>
      </c>
      <c r="B34" s="21" t="s">
        <v>58</v>
      </c>
      <c r="C34" s="21" t="s">
        <v>58</v>
      </c>
      <c r="D34" s="33" t="s">
        <v>95</v>
      </c>
      <c r="E34" s="33" t="s">
        <v>95</v>
      </c>
      <c r="F34" s="59" t="s">
        <v>65</v>
      </c>
      <c r="G34" s="60"/>
    </row>
    <row r="35" spans="1:7" ht="45" x14ac:dyDescent="0.25">
      <c r="A35" s="48" t="s">
        <v>63</v>
      </c>
      <c r="B35" s="21" t="s">
        <v>58</v>
      </c>
      <c r="C35" s="21" t="s">
        <v>58</v>
      </c>
      <c r="D35" s="33" t="s">
        <v>95</v>
      </c>
      <c r="E35" s="33" t="s">
        <v>95</v>
      </c>
      <c r="F35" s="61"/>
      <c r="G35" s="62"/>
    </row>
    <row r="36" spans="1:7" x14ac:dyDescent="0.25">
      <c r="A36" s="4"/>
      <c r="B36" s="4"/>
      <c r="D36" s="4"/>
      <c r="F36" s="4"/>
    </row>
    <row r="37" spans="1:7" x14ac:dyDescent="0.25">
      <c r="A37" s="11" t="s">
        <v>52</v>
      </c>
      <c r="B37" s="4"/>
      <c r="D37" s="4"/>
      <c r="F37" s="4"/>
    </row>
    <row r="38" spans="1:7" x14ac:dyDescent="0.25">
      <c r="A38" s="46" t="s">
        <v>49</v>
      </c>
      <c r="B38" s="47">
        <f t="shared" ref="B38:G38" si="0">SUM(B12:B13,B17,B24:B26,B30:B31)</f>
        <v>261200</v>
      </c>
      <c r="C38" s="47">
        <f t="shared" si="0"/>
        <v>422200</v>
      </c>
      <c r="D38" s="47">
        <f>SUM(D12:D13,D17,D24:D26,D30:D31)</f>
        <v>32200</v>
      </c>
      <c r="E38" s="47">
        <f t="shared" ref="E38" si="1">SUM(E12:E13,E17,E24:E26,E30:E31)</f>
        <v>127200</v>
      </c>
      <c r="F38" s="47">
        <f t="shared" si="0"/>
        <v>7200</v>
      </c>
      <c r="G38" s="47">
        <f t="shared" si="0"/>
        <v>7200</v>
      </c>
    </row>
    <row r="39" spans="1:7" x14ac:dyDescent="0.25">
      <c r="A39" s="46" t="s">
        <v>50</v>
      </c>
      <c r="B39" s="47">
        <f t="shared" ref="B39:C39" si="2">SUM(B14,B21,B18,B34:B35)</f>
        <v>31608</v>
      </c>
      <c r="C39" s="47">
        <f t="shared" si="2"/>
        <v>91608</v>
      </c>
      <c r="D39" s="47">
        <f>SUM(D14,D21,D18,D34:D35)</f>
        <v>4608</v>
      </c>
      <c r="E39" s="47">
        <f t="shared" ref="E39" si="3">SUM(E14,E21,E18,E34:E35)</f>
        <v>4608</v>
      </c>
      <c r="F39" s="63" t="s">
        <v>96</v>
      </c>
      <c r="G39" s="64"/>
    </row>
    <row r="40" spans="1:7" x14ac:dyDescent="0.25">
      <c r="A40" s="18" t="s">
        <v>167</v>
      </c>
      <c r="B40" s="17">
        <f>ROUND(B38,-3)</f>
        <v>261000</v>
      </c>
      <c r="C40" s="17">
        <f t="shared" ref="C40:E40" si="4">ROUND(C38,-3)</f>
        <v>422000</v>
      </c>
      <c r="D40" s="17">
        <f t="shared" si="4"/>
        <v>32000</v>
      </c>
      <c r="E40" s="17">
        <f t="shared" si="4"/>
        <v>127000</v>
      </c>
      <c r="F40" s="17">
        <f t="shared" ref="F40:G40" si="5">ROUND(F38,-3)</f>
        <v>7000</v>
      </c>
      <c r="G40" s="17">
        <f t="shared" si="5"/>
        <v>7000</v>
      </c>
    </row>
    <row r="41" spans="1:7" x14ac:dyDescent="0.25">
      <c r="A41" s="18" t="s">
        <v>168</v>
      </c>
      <c r="B41" s="17">
        <f>ROUND(B39,-3)</f>
        <v>32000</v>
      </c>
      <c r="C41" s="17">
        <f t="shared" ref="C41:E41" si="6">ROUND(C39,-3)</f>
        <v>92000</v>
      </c>
      <c r="D41" s="17">
        <f t="shared" si="6"/>
        <v>5000</v>
      </c>
      <c r="E41" s="17">
        <f t="shared" si="6"/>
        <v>5000</v>
      </c>
      <c r="F41" s="57" t="s">
        <v>96</v>
      </c>
      <c r="G41" s="58"/>
    </row>
  </sheetData>
  <mergeCells count="13">
    <mergeCell ref="B7:C7"/>
    <mergeCell ref="B10:C10"/>
    <mergeCell ref="B11:C11"/>
    <mergeCell ref="F10:G10"/>
    <mergeCell ref="F11:G11"/>
    <mergeCell ref="F7:G7"/>
    <mergeCell ref="D7:E7"/>
    <mergeCell ref="F41:G41"/>
    <mergeCell ref="F34:G35"/>
    <mergeCell ref="F39:G39"/>
    <mergeCell ref="B25:C25"/>
    <mergeCell ref="D10:E10"/>
    <mergeCell ref="D11:E11"/>
  </mergeCells>
  <pageMargins left="0.7" right="0.7" top="0.75" bottom="0.75" header="0.3" footer="0.3"/>
  <pageSetup scale="65"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workbookViewId="0">
      <selection activeCell="B37" sqref="B37"/>
    </sheetView>
  </sheetViews>
  <sheetFormatPr defaultRowHeight="15" x14ac:dyDescent="0.25"/>
  <sheetData>
    <row r="1" spans="1:3" x14ac:dyDescent="0.25">
      <c r="A1" s="5" t="s">
        <v>77</v>
      </c>
    </row>
    <row r="3" spans="1:3" x14ac:dyDescent="0.25">
      <c r="A3" s="5" t="s">
        <v>13</v>
      </c>
    </row>
    <row r="5" spans="1:3" x14ac:dyDescent="0.25">
      <c r="A5" t="s">
        <v>12</v>
      </c>
      <c r="B5" t="s">
        <v>11</v>
      </c>
    </row>
    <row r="6" spans="1:3" x14ac:dyDescent="0.25">
      <c r="A6" s="6">
        <v>300000</v>
      </c>
      <c r="B6" s="6">
        <v>300000</v>
      </c>
      <c r="C6" t="s">
        <v>10</v>
      </c>
    </row>
    <row r="7" spans="1:3" x14ac:dyDescent="0.25">
      <c r="A7" s="6">
        <v>14000</v>
      </c>
      <c r="B7" s="6">
        <v>16000</v>
      </c>
      <c r="C7" t="s">
        <v>9</v>
      </c>
    </row>
    <row r="8" spans="1:3" x14ac:dyDescent="0.25">
      <c r="A8" s="6">
        <v>40000</v>
      </c>
      <c r="B8" s="6">
        <v>70000</v>
      </c>
      <c r="C8" t="s">
        <v>92</v>
      </c>
    </row>
    <row r="9" spans="1:3" x14ac:dyDescent="0.25">
      <c r="A9" s="6">
        <v>15000</v>
      </c>
      <c r="B9" s="6">
        <f>B8</f>
        <v>70000</v>
      </c>
      <c r="C9" s="32" t="s">
        <v>93</v>
      </c>
    </row>
    <row r="10" spans="1:3" x14ac:dyDescent="0.25">
      <c r="A10" s="6"/>
      <c r="B10" s="6"/>
    </row>
    <row r="11" spans="1:3" x14ac:dyDescent="0.25">
      <c r="A11" s="6">
        <v>12000</v>
      </c>
      <c r="B11" s="6">
        <v>12000</v>
      </c>
      <c r="C11" t="s">
        <v>17</v>
      </c>
    </row>
    <row r="12" spans="1:3" x14ac:dyDescent="0.25">
      <c r="A12" s="6">
        <v>8000</v>
      </c>
      <c r="B12" s="6">
        <v>10000</v>
      </c>
      <c r="C12" t="s">
        <v>18</v>
      </c>
    </row>
    <row r="15" spans="1:3" x14ac:dyDescent="0.25">
      <c r="A15" s="5" t="s">
        <v>78</v>
      </c>
    </row>
    <row r="16" spans="1:3" x14ac:dyDescent="0.25">
      <c r="A16" t="s">
        <v>79</v>
      </c>
    </row>
    <row r="18" spans="1:3" x14ac:dyDescent="0.25">
      <c r="A18" s="5" t="s">
        <v>129</v>
      </c>
    </row>
    <row r="19" spans="1:3" x14ac:dyDescent="0.25">
      <c r="A19" s="39">
        <v>0</v>
      </c>
      <c r="B19" t="s">
        <v>130</v>
      </c>
      <c r="C19" t="s">
        <v>132</v>
      </c>
    </row>
    <row r="20" spans="1:3" x14ac:dyDescent="0.25">
      <c r="A20" s="39">
        <v>17000</v>
      </c>
      <c r="B20" t="s">
        <v>130</v>
      </c>
      <c r="C20" t="s">
        <v>131</v>
      </c>
    </row>
    <row r="21" spans="1:3" x14ac:dyDescent="0.25">
      <c r="A21" s="39"/>
    </row>
    <row r="22" spans="1:3" x14ac:dyDescent="0.25">
      <c r="A22" s="5" t="s">
        <v>143</v>
      </c>
    </row>
    <row r="23" spans="1:3" x14ac:dyDescent="0.25">
      <c r="A23" t="s">
        <v>124</v>
      </c>
    </row>
    <row r="24" spans="1:3" x14ac:dyDescent="0.25">
      <c r="A24" t="s">
        <v>123</v>
      </c>
    </row>
    <row r="25" spans="1:3" x14ac:dyDescent="0.25">
      <c r="A25" t="s">
        <v>125</v>
      </c>
    </row>
    <row r="26" spans="1:3" x14ac:dyDescent="0.25">
      <c r="A26" t="s">
        <v>126</v>
      </c>
    </row>
    <row r="28" spans="1:3" x14ac:dyDescent="0.25">
      <c r="A28" t="s">
        <v>127</v>
      </c>
    </row>
    <row r="29" spans="1:3" x14ac:dyDescent="0.25">
      <c r="A29" t="s">
        <v>128</v>
      </c>
    </row>
    <row r="31" spans="1:3" x14ac:dyDescent="0.25">
      <c r="A31" s="5" t="s">
        <v>144</v>
      </c>
    </row>
    <row r="32" spans="1:3" x14ac:dyDescent="0.25">
      <c r="A32" t="s">
        <v>12</v>
      </c>
      <c r="B32" t="s">
        <v>11</v>
      </c>
    </row>
    <row r="33" spans="1:3" x14ac:dyDescent="0.25">
      <c r="A33" s="43">
        <v>350000</v>
      </c>
      <c r="B33" s="43">
        <v>550000</v>
      </c>
      <c r="C33" t="s">
        <v>157</v>
      </c>
    </row>
    <row r="34" spans="1:3" x14ac:dyDescent="0.25">
      <c r="A34" s="43">
        <f>A33*0.1</f>
        <v>35000</v>
      </c>
      <c r="B34" s="43">
        <f>B33*0.1</f>
        <v>55000</v>
      </c>
      <c r="C34" t="s">
        <v>148</v>
      </c>
    </row>
    <row r="35" spans="1:3" x14ac:dyDescent="0.25">
      <c r="A35" s="43">
        <v>5000</v>
      </c>
      <c r="B35" s="43">
        <v>5000</v>
      </c>
      <c r="C35" t="s">
        <v>156</v>
      </c>
    </row>
    <row r="36" spans="1:3" x14ac:dyDescent="0.25">
      <c r="A36" s="10">
        <f>A33+A35</f>
        <v>355000</v>
      </c>
      <c r="B36" s="10">
        <f>SUM(B33:B35)</f>
        <v>610000</v>
      </c>
      <c r="C36" t="s">
        <v>149</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30" sqref="A30"/>
    </sheetView>
  </sheetViews>
  <sheetFormatPr defaultRowHeight="15" x14ac:dyDescent="0.25"/>
  <cols>
    <col min="1" max="2" width="10.42578125" customWidth="1"/>
    <col min="3" max="3" width="12.28515625" customWidth="1"/>
  </cols>
  <sheetData>
    <row r="1" spans="1:4" x14ac:dyDescent="0.25">
      <c r="A1" s="5" t="s">
        <v>97</v>
      </c>
    </row>
    <row r="3" spans="1:4" x14ac:dyDescent="0.25">
      <c r="A3" s="5" t="s">
        <v>20</v>
      </c>
    </row>
    <row r="5" spans="1:4" x14ac:dyDescent="0.25">
      <c r="A5" t="s">
        <v>21</v>
      </c>
    </row>
    <row r="6" spans="1:4" x14ac:dyDescent="0.25">
      <c r="A6" t="s">
        <v>22</v>
      </c>
    </row>
    <row r="7" spans="1:4" x14ac:dyDescent="0.25">
      <c r="B7" t="s">
        <v>23</v>
      </c>
    </row>
    <row r="8" spans="1:4" x14ac:dyDescent="0.25">
      <c r="B8" t="s">
        <v>24</v>
      </c>
    </row>
    <row r="9" spans="1:4" x14ac:dyDescent="0.25">
      <c r="B9" t="s">
        <v>25</v>
      </c>
    </row>
    <row r="10" spans="1:4" x14ac:dyDescent="0.25">
      <c r="B10" t="s">
        <v>26</v>
      </c>
    </row>
    <row r="11" spans="1:4" x14ac:dyDescent="0.25">
      <c r="B11" t="s">
        <v>27</v>
      </c>
    </row>
    <row r="14" spans="1:4" x14ac:dyDescent="0.25">
      <c r="A14" t="s">
        <v>28</v>
      </c>
    </row>
    <row r="15" spans="1:4" x14ac:dyDescent="0.25">
      <c r="B15" t="s">
        <v>35</v>
      </c>
      <c r="C15" t="s">
        <v>29</v>
      </c>
      <c r="D15" t="s">
        <v>33</v>
      </c>
    </row>
    <row r="16" spans="1:4" x14ac:dyDescent="0.25">
      <c r="B16" t="s">
        <v>36</v>
      </c>
      <c r="C16" t="s">
        <v>30</v>
      </c>
      <c r="D16" t="s">
        <v>34</v>
      </c>
    </row>
    <row r="17" spans="1:4" x14ac:dyDescent="0.25">
      <c r="B17" t="s">
        <v>37</v>
      </c>
      <c r="C17" t="s">
        <v>31</v>
      </c>
      <c r="D17" t="s">
        <v>32</v>
      </c>
    </row>
    <row r="19" spans="1:4" x14ac:dyDescent="0.25">
      <c r="A19" t="s">
        <v>38</v>
      </c>
    </row>
    <row r="20" spans="1:4" x14ac:dyDescent="0.25">
      <c r="A20" t="s">
        <v>39</v>
      </c>
    </row>
    <row r="21" spans="1:4" x14ac:dyDescent="0.25">
      <c r="A21" t="s">
        <v>40</v>
      </c>
    </row>
    <row r="22" spans="1:4" x14ac:dyDescent="0.25">
      <c r="A22" s="9" t="s">
        <v>19</v>
      </c>
    </row>
    <row r="23" spans="1:4" x14ac:dyDescent="0.25">
      <c r="A23" s="9"/>
    </row>
    <row r="24" spans="1:4" x14ac:dyDescent="0.25">
      <c r="A24" t="s">
        <v>41</v>
      </c>
    </row>
    <row r="25" spans="1:4" x14ac:dyDescent="0.25">
      <c r="A25" s="10">
        <v>10000</v>
      </c>
      <c r="B25" t="s">
        <v>12</v>
      </c>
      <c r="C25" t="s">
        <v>42</v>
      </c>
    </row>
    <row r="26" spans="1:4" x14ac:dyDescent="0.25">
      <c r="A26" s="10">
        <v>30000</v>
      </c>
      <c r="B26" t="s">
        <v>11</v>
      </c>
      <c r="C26" t="s">
        <v>43</v>
      </c>
    </row>
    <row r="29" spans="1:4" x14ac:dyDescent="0.25">
      <c r="A29" t="s">
        <v>103</v>
      </c>
    </row>
  </sheetData>
  <hyperlinks>
    <hyperlink ref="A22"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1" sqref="A31"/>
    </sheetView>
  </sheetViews>
  <sheetFormatPr defaultRowHeight="15" x14ac:dyDescent="0.25"/>
  <cols>
    <col min="1" max="1" width="146" customWidth="1"/>
  </cols>
  <sheetData>
    <row r="1" spans="1:1" x14ac:dyDescent="0.25">
      <c r="A1" s="5" t="s">
        <v>98</v>
      </c>
    </row>
    <row r="3" spans="1:1" x14ac:dyDescent="0.25">
      <c r="A3" s="5" t="s">
        <v>66</v>
      </c>
    </row>
    <row r="4" spans="1:1" x14ac:dyDescent="0.25">
      <c r="A4" t="s">
        <v>67</v>
      </c>
    </row>
    <row r="6" spans="1:1" x14ac:dyDescent="0.25">
      <c r="A6" t="s">
        <v>68</v>
      </c>
    </row>
    <row r="7" spans="1:1" x14ac:dyDescent="0.25">
      <c r="A7" t="s">
        <v>72</v>
      </c>
    </row>
    <row r="9" spans="1:1" x14ac:dyDescent="0.25">
      <c r="A9" t="s">
        <v>69</v>
      </c>
    </row>
    <row r="11" spans="1:1" x14ac:dyDescent="0.25">
      <c r="A11" t="s">
        <v>70</v>
      </c>
    </row>
    <row r="12" spans="1:1" x14ac:dyDescent="0.25">
      <c r="A12" t="s">
        <v>71</v>
      </c>
    </row>
    <row r="13" spans="1:1" x14ac:dyDescent="0.25">
      <c r="A13" t="s">
        <v>73</v>
      </c>
    </row>
    <row r="15" spans="1:1" x14ac:dyDescent="0.25">
      <c r="A15" t="s">
        <v>74</v>
      </c>
    </row>
    <row r="16" spans="1:1" x14ac:dyDescent="0.25">
      <c r="A16" t="s">
        <v>75</v>
      </c>
    </row>
    <row r="18" spans="1:1" x14ac:dyDescent="0.25">
      <c r="A18" s="5" t="s">
        <v>84</v>
      </c>
    </row>
    <row r="19" spans="1:1" x14ac:dyDescent="0.25">
      <c r="A19" t="s">
        <v>85</v>
      </c>
    </row>
    <row r="21" spans="1:1" ht="45" x14ac:dyDescent="0.25">
      <c r="A21" s="26" t="s">
        <v>91</v>
      </c>
    </row>
    <row r="22" spans="1:1" ht="30" x14ac:dyDescent="0.25">
      <c r="A22" s="26" t="s">
        <v>86</v>
      </c>
    </row>
    <row r="23" spans="1:1" ht="45" x14ac:dyDescent="0.25">
      <c r="A23" s="26" t="s">
        <v>88</v>
      </c>
    </row>
    <row r="24" spans="1:1" ht="30" x14ac:dyDescent="0.25">
      <c r="A24" s="26" t="s">
        <v>87</v>
      </c>
    </row>
    <row r="26" spans="1:1" x14ac:dyDescent="0.25">
      <c r="A26" s="5" t="s">
        <v>106</v>
      </c>
    </row>
    <row r="27" spans="1:1" x14ac:dyDescent="0.25">
      <c r="A27" t="s">
        <v>121</v>
      </c>
    </row>
    <row r="29" spans="1:1" x14ac:dyDescent="0.25">
      <c r="A29" s="5" t="s">
        <v>150</v>
      </c>
    </row>
    <row r="30" spans="1:1" x14ac:dyDescent="0.25">
      <c r="A30"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heetViews>
  <sheetFormatPr defaultRowHeight="15" x14ac:dyDescent="0.25"/>
  <cols>
    <col min="1" max="2" width="11.5703125" bestFit="1" customWidth="1"/>
  </cols>
  <sheetData>
    <row r="1" spans="1:3" x14ac:dyDescent="0.25">
      <c r="A1" s="5" t="s">
        <v>105</v>
      </c>
    </row>
    <row r="4" spans="1:3" x14ac:dyDescent="0.25">
      <c r="A4" s="5" t="s">
        <v>106</v>
      </c>
    </row>
    <row r="5" spans="1:3" x14ac:dyDescent="0.25">
      <c r="A5" s="36" t="s">
        <v>12</v>
      </c>
      <c r="B5" s="36" t="s">
        <v>11</v>
      </c>
    </row>
    <row r="6" spans="1:3" x14ac:dyDescent="0.25">
      <c r="A6" s="35">
        <v>25000</v>
      </c>
      <c r="B6" s="35">
        <v>50000</v>
      </c>
      <c r="C6" t="s">
        <v>104</v>
      </c>
    </row>
    <row r="9" spans="1:3" x14ac:dyDescent="0.25">
      <c r="A9" s="5" t="s">
        <v>120</v>
      </c>
    </row>
    <row r="10" spans="1:3" x14ac:dyDescent="0.25">
      <c r="A10" s="35">
        <v>100000</v>
      </c>
      <c r="C10" t="s">
        <v>107</v>
      </c>
    </row>
    <row r="12" spans="1:3" x14ac:dyDescent="0.25">
      <c r="A12" s="5" t="s">
        <v>108</v>
      </c>
    </row>
    <row r="13" spans="1:3" x14ac:dyDescent="0.25">
      <c r="A13" s="9" t="s">
        <v>109</v>
      </c>
    </row>
    <row r="14" spans="1:3" x14ac:dyDescent="0.25">
      <c r="A14" s="6">
        <v>0</v>
      </c>
      <c r="B14" t="s">
        <v>119</v>
      </c>
    </row>
    <row r="15" spans="1:3" x14ac:dyDescent="0.25">
      <c r="A15" s="6">
        <v>7910</v>
      </c>
      <c r="B15" t="s">
        <v>110</v>
      </c>
    </row>
    <row r="16" spans="1:3" x14ac:dyDescent="0.25">
      <c r="A16" s="38">
        <v>59.81</v>
      </c>
      <c r="B16" t="s">
        <v>111</v>
      </c>
    </row>
    <row r="17" spans="1:3" x14ac:dyDescent="0.25">
      <c r="A17" s="38" t="s">
        <v>12</v>
      </c>
      <c r="B17" t="s">
        <v>11</v>
      </c>
    </row>
    <row r="18" spans="1:3" x14ac:dyDescent="0.25">
      <c r="A18">
        <v>40</v>
      </c>
      <c r="B18">
        <v>60</v>
      </c>
      <c r="C18" t="s">
        <v>113</v>
      </c>
    </row>
    <row r="19" spans="1:3" x14ac:dyDescent="0.25">
      <c r="A19" s="6">
        <f>A18*$A16</f>
        <v>2392.4</v>
      </c>
      <c r="B19" s="6">
        <f>B18*$A16</f>
        <v>3588.6000000000004</v>
      </c>
      <c r="C19" t="s">
        <v>114</v>
      </c>
    </row>
    <row r="20" spans="1:3" x14ac:dyDescent="0.25">
      <c r="A20" s="6">
        <f>ROUND(A19,-2)</f>
        <v>2400</v>
      </c>
      <c r="B20" s="6">
        <f>ROUND(B19,-2)</f>
        <v>3600</v>
      </c>
      <c r="C20" t="s">
        <v>116</v>
      </c>
    </row>
    <row r="21" spans="1:3" x14ac:dyDescent="0.25">
      <c r="A21" s="6">
        <f>$A15+A20</f>
        <v>10310</v>
      </c>
      <c r="B21" s="6">
        <f>$A15+B20</f>
        <v>11510</v>
      </c>
      <c r="C21" t="s">
        <v>115</v>
      </c>
    </row>
    <row r="22" spans="1:3" x14ac:dyDescent="0.25">
      <c r="A22" s="6"/>
      <c r="B22" s="6"/>
    </row>
    <row r="24" spans="1:3" x14ac:dyDescent="0.25">
      <c r="A24" s="5" t="s">
        <v>93</v>
      </c>
    </row>
    <row r="25" spans="1:3" x14ac:dyDescent="0.25">
      <c r="A25" t="s">
        <v>12</v>
      </c>
      <c r="B25" t="s">
        <v>11</v>
      </c>
    </row>
    <row r="26" spans="1:3" x14ac:dyDescent="0.25">
      <c r="A26" s="37">
        <f>SUM(A6:A6)</f>
        <v>25000</v>
      </c>
      <c r="B26" s="37">
        <f>A10</f>
        <v>100000</v>
      </c>
      <c r="C26" t="s">
        <v>117</v>
      </c>
    </row>
    <row r="27" spans="1:3" x14ac:dyDescent="0.25">
      <c r="A27" s="6">
        <f>A21</f>
        <v>10310</v>
      </c>
      <c r="B27" s="6">
        <f>B21</f>
        <v>11510</v>
      </c>
      <c r="C27" t="s">
        <v>118</v>
      </c>
    </row>
    <row r="29" spans="1:3" x14ac:dyDescent="0.25">
      <c r="A29" s="5" t="s">
        <v>139</v>
      </c>
    </row>
    <row r="30" spans="1:3" x14ac:dyDescent="0.25">
      <c r="A30" s="6">
        <v>500</v>
      </c>
      <c r="B30" t="s">
        <v>140</v>
      </c>
    </row>
    <row r="31" spans="1:3" x14ac:dyDescent="0.25">
      <c r="A31" s="6">
        <f>A15</f>
        <v>7910</v>
      </c>
      <c r="B31" t="s">
        <v>141</v>
      </c>
    </row>
    <row r="32" spans="1:3" x14ac:dyDescent="0.25">
      <c r="A32" s="6">
        <v>8500</v>
      </c>
      <c r="B32" t="s">
        <v>142</v>
      </c>
    </row>
    <row r="34" spans="1:3" x14ac:dyDescent="0.25">
      <c r="A34" s="43">
        <v>15000</v>
      </c>
      <c r="B34" s="43">
        <v>50000</v>
      </c>
      <c r="C34" t="s">
        <v>145</v>
      </c>
    </row>
    <row r="35" spans="1:3" x14ac:dyDescent="0.25">
      <c r="A35" s="43">
        <f>A34*0.1</f>
        <v>1500</v>
      </c>
      <c r="B35" s="43">
        <f>B34*0.1</f>
        <v>5000</v>
      </c>
      <c r="C35" t="s">
        <v>146</v>
      </c>
    </row>
    <row r="36" spans="1:3" x14ac:dyDescent="0.25">
      <c r="A36" s="10">
        <f>A34</f>
        <v>15000</v>
      </c>
      <c r="B36" s="10">
        <f>SUM(B34:B35)</f>
        <v>55000</v>
      </c>
      <c r="C36" t="s">
        <v>147</v>
      </c>
    </row>
  </sheetData>
  <hyperlinks>
    <hyperlink ref="A1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9" sqref="A19"/>
    </sheetView>
  </sheetViews>
  <sheetFormatPr defaultRowHeight="15" x14ac:dyDescent="0.25"/>
  <sheetData>
    <row r="1" spans="1:1" x14ac:dyDescent="0.25">
      <c r="A1" s="5" t="s">
        <v>170</v>
      </c>
    </row>
    <row r="3" spans="1:1" x14ac:dyDescent="0.25">
      <c r="A3" s="5" t="s">
        <v>171</v>
      </c>
    </row>
    <row r="4" spans="1:1" x14ac:dyDescent="0.25">
      <c r="A4" t="s">
        <v>172</v>
      </c>
    </row>
    <row r="6" spans="1:1" x14ac:dyDescent="0.25">
      <c r="A6" t="s">
        <v>173</v>
      </c>
    </row>
    <row r="7" spans="1:1" x14ac:dyDescent="0.25">
      <c r="A7" t="s">
        <v>174</v>
      </c>
    </row>
    <row r="8" spans="1:1" x14ac:dyDescent="0.25">
      <c r="A8" t="s">
        <v>175</v>
      </c>
    </row>
    <row r="11" spans="1:1" x14ac:dyDescent="0.25">
      <c r="A11" s="5" t="s">
        <v>176</v>
      </c>
    </row>
    <row r="12" spans="1:1" x14ac:dyDescent="0.25">
      <c r="A12" t="s">
        <v>177</v>
      </c>
    </row>
    <row r="13" spans="1:1" x14ac:dyDescent="0.25">
      <c r="A13" s="9"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sheetData>
  <hyperlinks>
    <hyperlink ref="A13"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Bullseye cost</vt:lpstr>
      <vt:lpstr>Uroboros cost</vt:lpstr>
      <vt:lpstr>Tier1 cost</vt:lpstr>
      <vt:lpstr>baghouse</vt:lpstr>
      <vt:lpstr>modeling</vt:lpstr>
      <vt:lpstr>source testing</vt:lpstr>
      <vt:lpstr>Title V</vt:lpstr>
      <vt:lpstr>finance &amp; legal</vt:lpstr>
      <vt:lpstr>'Bullseye cost'!Print_Area</vt:lpstr>
      <vt:lpstr>'Bullseye cost'!Print_Titles</vt:lpstr>
      <vt:lpstr>'Uroboros cost'!Print_Titles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2016-06-07T18:10:18Z</dcterms:modified>
</cp:coreProperties>
</file>