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Bullseye cost" sheetId="16" r:id="rId1"/>
    <sheet name="Uroboros cost" sheetId="17" r:id="rId2"/>
    <sheet name="Tier1 cost" sheetId="10" r:id="rId3"/>
    <sheet name="baghouse" sheetId="14" r:id="rId4"/>
    <sheet name="modeling" sheetId="7" r:id="rId5"/>
    <sheet name="source testing" sheetId="13" r:id="rId6"/>
    <sheet name="Title V" sheetId="15" r:id="rId7"/>
    <sheet name="finance &amp; legal" sheetId="18" r:id="rId8"/>
  </sheets>
  <definedNames>
    <definedName name="_xlnm.Print_Area" localSheetId="0">'Bullseye cost'!$A$1:$D$42</definedName>
    <definedName name="_xlnm.Print_Titles" localSheetId="0">'Bullseye cost'!$1:$7</definedName>
    <definedName name="_xlnm.Print_Titles" localSheetId="1">'Uroboros cost'!$1:$7</definedName>
  </definedNames>
  <calcPr calcId="152511"/>
</workbook>
</file>

<file path=xl/calcChain.xml><?xml version="1.0" encoding="utf-8"?>
<calcChain xmlns="http://schemas.openxmlformats.org/spreadsheetml/2006/main">
  <c r="A40" i="17" l="1"/>
  <c r="C40" i="10"/>
  <c r="D40" i="10"/>
  <c r="E40" i="10"/>
  <c r="C41" i="10"/>
  <c r="D41" i="10"/>
  <c r="E41" i="10"/>
  <c r="B41" i="10"/>
  <c r="F40" i="10"/>
  <c r="G40" i="10"/>
  <c r="B40" i="10"/>
  <c r="E39" i="10"/>
  <c r="D39" i="10"/>
  <c r="E38" i="10"/>
  <c r="D38" i="10"/>
  <c r="C13" i="17"/>
  <c r="C37" i="17"/>
  <c r="B41" i="17"/>
  <c r="B38" i="17"/>
  <c r="B37" i="17"/>
  <c r="A36" i="17"/>
  <c r="A40" i="16"/>
  <c r="A36" i="16"/>
  <c r="B20" i="17" l="1"/>
  <c r="B24" i="17" s="1"/>
  <c r="B36" i="14"/>
  <c r="A36" i="14"/>
  <c r="B34" i="14" l="1"/>
  <c r="C20" i="17" s="1"/>
  <c r="C24" i="17" s="1"/>
  <c r="A34" i="14"/>
  <c r="C11" i="17"/>
  <c r="B11" i="17"/>
  <c r="B25" i="17"/>
  <c r="A36" i="15"/>
  <c r="B35" i="15"/>
  <c r="B36" i="15" s="1"/>
  <c r="A35" i="15"/>
  <c r="C12" i="17"/>
  <c r="B12" i="17"/>
  <c r="A31" i="15"/>
  <c r="C25" i="17"/>
  <c r="C25" i="16"/>
  <c r="B25" i="16"/>
  <c r="C24" i="16"/>
  <c r="B24" i="16"/>
  <c r="C12" i="16"/>
  <c r="B12" i="16"/>
  <c r="C11" i="16"/>
  <c r="C13" i="16" s="1"/>
  <c r="B11" i="16"/>
  <c r="B42" i="17" l="1"/>
  <c r="C42" i="17"/>
  <c r="C38" i="17"/>
  <c r="C41" i="17"/>
  <c r="B41" i="16"/>
  <c r="B37" i="16"/>
  <c r="B42" i="16"/>
  <c r="B38" i="16"/>
  <c r="C41" i="16"/>
  <c r="C37" i="16"/>
  <c r="C42" i="16"/>
  <c r="C38" i="16"/>
  <c r="G38" i="10"/>
  <c r="F38" i="10"/>
  <c r="B38" i="10"/>
  <c r="C38" i="10"/>
  <c r="B39" i="10"/>
  <c r="C39" i="10"/>
  <c r="B19" i="15"/>
  <c r="B20" i="15" s="1"/>
  <c r="B21" i="15" s="1"/>
  <c r="B27" i="15" s="1"/>
  <c r="A19" i="15"/>
  <c r="A20" i="15" s="1"/>
  <c r="A21" i="15" s="1"/>
  <c r="A27" i="15" s="1"/>
  <c r="B26" i="15"/>
  <c r="A26" i="15"/>
  <c r="B9" i="14"/>
</calcChain>
</file>

<file path=xl/comments1.xml><?xml version="1.0" encoding="utf-8"?>
<comments xmlns="http://schemas.openxmlformats.org/spreadsheetml/2006/main">
  <authors>
    <author>Author</author>
  </authors>
  <commentList>
    <comment ref="B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C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D12" authorId="0" shapeId="0">
      <text>
        <r>
          <rPr>
            <b/>
            <sz val="9"/>
            <color indexed="81"/>
            <rFont val="Tahoma"/>
            <family val="2"/>
          </rPr>
          <t>Author:</t>
        </r>
        <r>
          <rPr>
            <sz val="9"/>
            <color indexed="81"/>
            <rFont val="Tahoma"/>
            <family val="2"/>
          </rPr>
          <t xml:space="preserve">
Tier 1 facilities would need a "simple high" ACDP per Dave Kauth, by email on 5/24/2016.</t>
        </r>
      </text>
    </comment>
    <comment ref="E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F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G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B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C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D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E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F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G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List>
</comments>
</file>

<file path=xl/comments2.xml><?xml version="1.0" encoding="utf-8"?>
<comments xmlns="http://schemas.openxmlformats.org/spreadsheetml/2006/main">
  <authors>
    <author>Author</author>
  </authors>
  <commentList>
    <comment ref="B8" authorId="0" shapeId="0">
      <text>
        <r>
          <rPr>
            <b/>
            <sz val="9"/>
            <color indexed="81"/>
            <rFont val="Tahoma"/>
            <family val="2"/>
          </rPr>
          <t>Author:</t>
        </r>
        <r>
          <rPr>
            <sz val="9"/>
            <color indexed="81"/>
            <rFont val="Tahoma"/>
            <family val="2"/>
          </rPr>
          <t xml:space="preserve">
if at full power 150hp motor all year
</t>
        </r>
      </text>
    </comment>
  </commentList>
</comments>
</file>

<file path=xl/sharedStrings.xml><?xml version="1.0" encoding="utf-8"?>
<sst xmlns="http://schemas.openxmlformats.org/spreadsheetml/2006/main" count="314" uniqueCount="185">
  <si>
    <t>Modeling Costs</t>
  </si>
  <si>
    <t>Source Testing Costs</t>
  </si>
  <si>
    <t>Control Device Costs</t>
  </si>
  <si>
    <t>Reporting Costs</t>
  </si>
  <si>
    <t>Yes, ACDP</t>
  </si>
  <si>
    <t>N</t>
  </si>
  <si>
    <t>Y</t>
  </si>
  <si>
    <t>NESHAP 6S applies?</t>
  </si>
  <si>
    <t>Permitting costs</t>
  </si>
  <si>
    <t>electricity cost</t>
  </si>
  <si>
    <t>installation of baghouse</t>
  </si>
  <si>
    <t>high</t>
  </si>
  <si>
    <t>low</t>
  </si>
  <si>
    <t>Cost Estimate for Northstar Glass to add baghouses, as listed by Abe Fleishman on the phone on 4/27/2016</t>
  </si>
  <si>
    <t>Application Fee</t>
  </si>
  <si>
    <t>Requirements summary</t>
  </si>
  <si>
    <t>Consultant to prepare application</t>
  </si>
  <si>
    <t>monitoring baghouse, assembling for reporting to DEQ (5/5/2016 estimate)</t>
  </si>
  <si>
    <t>staff time to monitor and report results (previous estimate)</t>
  </si>
  <si>
    <t>https://www3.epa.gov/scram001/dispersion_screening.htm</t>
  </si>
  <si>
    <t>Phone conversation with Don Caniparoli of CH2M on 5/13/2016</t>
  </si>
  <si>
    <t>air modeling can be done approximating the multiple stacks as one stack</t>
  </si>
  <si>
    <t>parameters needed:</t>
  </si>
  <si>
    <t>emissions velocity and temperature</t>
  </si>
  <si>
    <t>stack height</t>
  </si>
  <si>
    <t>mass emissions rate (g/hr)</t>
  </si>
  <si>
    <t>topographic data (depends on model)</t>
  </si>
  <si>
    <t>met data (depends on model</t>
  </si>
  <si>
    <t>from simplest and most conservative to more complex:</t>
  </si>
  <si>
    <t>SCREEN3</t>
  </si>
  <si>
    <t>AERSCREEN</t>
  </si>
  <si>
    <t>AERMOD</t>
  </si>
  <si>
    <t>"full modeling", requires hourly met data</t>
  </si>
  <si>
    <t>simplest screening model, EPA recommends AERSCREEN as its replacement</t>
  </si>
  <si>
    <t xml:space="preserve">EPA recommended screening model </t>
  </si>
  <si>
    <t>$3k-5k</t>
  </si>
  <si>
    <t>$10k</t>
  </si>
  <si>
    <t>$20k</t>
  </si>
  <si>
    <t>One approach is to go straight to AERMOD. Or, you could start with the simplest and move on if needed based on the results.</t>
  </si>
  <si>
    <t>The modeling could tell you the maximum mass mass emissions rate (g/hr) that will keep the conc at the receptor below the required limit. So you could calculate your max production rate from that, for each pollutant.</t>
  </si>
  <si>
    <t>The above costs are per-facility and not per-pollutant. It doesn't have to be run for each pollutant individually.</t>
  </si>
  <si>
    <t>Summary cost:</t>
  </si>
  <si>
    <t>AERSCREEN only</t>
  </si>
  <si>
    <t>AERSCREEN then AERMOD</t>
  </si>
  <si>
    <t>install baghouse</t>
  </si>
  <si>
    <t>annual operation</t>
  </si>
  <si>
    <t>Cost Estimate</t>
  </si>
  <si>
    <t>AERSCREEN model only</t>
  </si>
  <si>
    <t>AERSCREEN followed by AERMOD model</t>
  </si>
  <si>
    <t>Annual cost to monitor and report on baghouse to DEQ</t>
  </si>
  <si>
    <t>Total Costs</t>
  </si>
  <si>
    <t>One-time modeling to find max production rate that results in acceptable source impact level</t>
  </si>
  <si>
    <t>One-time source test to measure Cr6 emissions when making products containing Cr3 or Cr6</t>
  </si>
  <si>
    <t>Tier 1 (Northstar, Trautman and Glass Alchemy)</t>
  </si>
  <si>
    <t>Rule would require facility to get new permit</t>
  </si>
  <si>
    <t>Annual Permit Fee (applies at time of application and each year after)</t>
  </si>
  <si>
    <t>-</t>
  </si>
  <si>
    <t>If doing source test and modeling only</t>
  </si>
  <si>
    <t>If installing control device</t>
  </si>
  <si>
    <t>Cost of reduced production</t>
  </si>
  <si>
    <t>If taking permit condition to stop using metal HAPs</t>
  </si>
  <si>
    <t>About 1/2 of products contain metal HAPs. There may not be workable substitute formulations. Facilities may choose to phase out one or a few metal HAPs but are likely to choose source test &amp; modeling or installation of a control device.</t>
  </si>
  <si>
    <t>Talked with Thomas Rhodes at Horizon Environmental</t>
  </si>
  <si>
    <t>Phone call 5/13/2016</t>
  </si>
  <si>
    <t>$65k for three, 16-hr runs at the big Tier 2 manufacturers. (Their batch process takes ~16 hrs)</t>
  </si>
  <si>
    <t>The smaller manufacturers use a process that may take 4 days. If source testing had to take place over that entire 4 days, that would be approx $100k.</t>
  </si>
  <si>
    <t>This is for DEQ method 5 testing at 1 stack.  If multiple stacks had to be tested, that would almost be a multiple of the cost.</t>
  </si>
  <si>
    <t>Total chrome and the other metals can all be tested with a single sample train.</t>
  </si>
  <si>
    <t>If they could do the standard shorter runs (three, 1-3hr runs) then that would be $10k to $15k.</t>
  </si>
  <si>
    <t>If testing for Cr6, that requires a separate test run (with a separate sample train) so that would be another $65k.</t>
  </si>
  <si>
    <t>Can't test for Cr6 at the same time as filterable particulate because Cr6 test requires recirculating a fluid to the tip of the sample intake. That fluid would wet and block the filter.</t>
  </si>
  <si>
    <t>Can test for filterable particulate and metals (total Cr, Cd As etc) in a single sampling train, as long as you aren't testing for Cr6.</t>
  </si>
  <si>
    <t>If Tier 1 and using control device, don't have to test for Cr6.</t>
  </si>
  <si>
    <t>Baghouse install and operation costs</t>
  </si>
  <si>
    <t>Cost estimate for Bullseye baghouse installation per phone call with Eric Durrin 5/13/2016</t>
  </si>
  <si>
    <t>$250k for purchase order for new baghouse to handle 11 furnaces.</t>
  </si>
  <si>
    <t>Needs Title V permit because of 6S?</t>
  </si>
  <si>
    <t xml:space="preserve">Cost of Title V application (including DEQ fees + consultant to prepare </t>
  </si>
  <si>
    <t xml:space="preserve">$10-15k if test can be done in 1-3 hr runs. If 16hr runs, $65k. If 4-day runs, $100k. </t>
  </si>
  <si>
    <t>One-time source test to measure Cr6 emissions when making products containing Cr3 (optional)</t>
  </si>
  <si>
    <t>Talked with David Monro 5/16/2016</t>
  </si>
  <si>
    <t>He used to work for a source testing company.</t>
  </si>
  <si>
    <t>To measure Cr3 conversion to Cr6 you'd need to source test over the entire production run, so that'd be 16hrs per run for the big facilities. David estimated $60k for Cr6 testing with 16 hr runs.</t>
  </si>
  <si>
    <t>Tier 1 facilities that opt for source testing + modeling have the option to assume all Cr is Cr6 for modeling purposes. If they chose for some reason to test for Cr6 conversion their cost would also likely be about $60k.</t>
  </si>
  <si>
    <t>Tier 1 facilities that opt for source testing + modeliing would be testing for metals instead of PM. Their run length might be determined by modeling, which would show what detection limit was needed in order to show whether emissions were above / below source impact limits. David estimated this testing would be about $15k to $25k.</t>
  </si>
  <si>
    <t>One-time source test to measure metal emissions including total Cr. (Total Cr can be used as a proxy for Cr6)</t>
  </si>
  <si>
    <t>One-time source test to demonstrate 99% PM control efficiency</t>
  </si>
  <si>
    <t>To test 99% baghouse filterable PM capture efficiency you don't need to measure an entire production run. You just need to compare the input vs the output over a time period long enough that detection limits allow you to demonstrate that if input is X, output is 0.01X.  David estimates $4k to $6k for this kind of test if can be done with standard 1-hr runs.</t>
  </si>
  <si>
    <t>new estimate of electricity cost 5/17 phone call with Abe</t>
  </si>
  <si>
    <t>combined estimate</t>
  </si>
  <si>
    <t>electricity, bag replacement etc</t>
  </si>
  <si>
    <t>unknown</t>
  </si>
  <si>
    <t>50% of facility profit (?)</t>
  </si>
  <si>
    <t>Dispersion modeling cost estimate</t>
  </si>
  <si>
    <t>Source testing cost estimate</t>
  </si>
  <si>
    <t>DEQ Art Glass Permanent Rule</t>
  </si>
  <si>
    <t>Fiscal Impact Estimate for proposed rule- Tier 1 CAGM</t>
  </si>
  <si>
    <t>If a facility needs a Title V due to NESHAP 6S, that is independent of this art glass rule, so this cost isn't included in the totals.</t>
  </si>
  <si>
    <t>Incremental extra cost of Title V application due to art glass rule</t>
  </si>
  <si>
    <t>Talked with Phil Allen at DEQ on 5/23/2016. He thought that the $10k for AERSCREEN, or $30k total for AERSCREEN + AERMOD sounded about right.</t>
  </si>
  <si>
    <t>cost of consultant to prepare Title V app</t>
  </si>
  <si>
    <t>Title V application fee estimate</t>
  </si>
  <si>
    <t>Estimate from Don Caniparoli at CH2M on phone 5/24/2016</t>
  </si>
  <si>
    <t>cost of consultant and DEQ Title V application fees</t>
  </si>
  <si>
    <t>Estimate of Title V annual fees from DEQ rules</t>
  </si>
  <si>
    <t>http://arcweb.sos.state.or.us/pages/rules/oars_300/oar_340/340_220.html</t>
  </si>
  <si>
    <t>annual base fee for 2016. Adjusted annually for inflation.</t>
  </si>
  <si>
    <t>emissions fee, per ton of emissions</t>
  </si>
  <si>
    <t>Annual DEQ Title V permit costs</t>
  </si>
  <si>
    <t>tons of emissions per year (PM10, SO2, Nox)</t>
  </si>
  <si>
    <t>emissions fee</t>
  </si>
  <si>
    <t>total annual Title V permit fees</t>
  </si>
  <si>
    <t>emissions fee estimate (rounded)</t>
  </si>
  <si>
    <t>initial cost for consultant to prepare Title V app</t>
  </si>
  <si>
    <t>annual Title V permit fees</t>
  </si>
  <si>
    <t>no application fee for Title V permits</t>
  </si>
  <si>
    <t>Estimate from Eric Durrin by phone</t>
  </si>
  <si>
    <t>Based on a conversation with a CH2M coworker, Don estimated that a source test for filterable PM and metals (not Cr6) with short 1 to several hour runs would cost $15k.</t>
  </si>
  <si>
    <t>Assume length of run depends on detection limits, does not have to be entire production run to show capture efficiency.</t>
  </si>
  <si>
    <t>Baghouse 2: being brought online now. Will handle 1 furnace and can later be connected to 1 more furnace</t>
  </si>
  <si>
    <t>Baghouse 1: currently online and handling 2 furnaces</t>
  </si>
  <si>
    <t>Baghouse 3: contractors are plumbing and connecting electrical. Will handle 11 furnaces.</t>
  </si>
  <si>
    <t>Baghouse 4: in planning, will start after install and testing of baghouse 3. "Another large baghouse", so it may be same scale as Baghouse 3. After this baghouse is installed, the smaller baghouse 1 and 2 could be repurposed.</t>
  </si>
  <si>
    <t>Eric was not able to say how many furnaces are large enough to be subject to 6S, so difficult to know how many baghouses are 'additional'.</t>
  </si>
  <si>
    <t>Some furnaces are subject to 6S, and some baghouse would be required due to that. I think that estimating 1 additional baghouse is likely to be accurate. I could estimate zero to two.</t>
  </si>
  <si>
    <t>Cost estimate for monitoring and reporting from 5/27/2016 fiscal advisory committee meeting</t>
  </si>
  <si>
    <t>per year</t>
  </si>
  <si>
    <t>upper limit on monitoring and reporting cost, based on labor rate + time to perform estimate</t>
  </si>
  <si>
    <t>monitoring and reporting cost, if computer control system produces the data DEQ needs. But, this didn't consider annual baghouse inspection etc.</t>
  </si>
  <si>
    <t>Bullseye- Tier 2</t>
  </si>
  <si>
    <t>Number of Control Devices</t>
  </si>
  <si>
    <t>Costs Per Control Device</t>
  </si>
  <si>
    <t>Total one-time costs per baghouse</t>
  </si>
  <si>
    <t>Total annual costs per baghouse</t>
  </si>
  <si>
    <t>Install control device on all furnaces using metal HAPs. If using chrome: source test &amp; modeling to develop daily &amp; annual max usage
    Then follow the max usage limits</t>
  </si>
  <si>
    <t>Phone call with Eric Lovell on 5/31/2016 he estimated that his emissions fees would be $500/year.</t>
  </si>
  <si>
    <t>emissions fees</t>
  </si>
  <si>
    <t>annual base fee</t>
  </si>
  <si>
    <t>total annual Title V permit fees (rounded)</t>
  </si>
  <si>
    <t>Phone conversation with Eric Durrin (Bullseye) on 5/31/2016</t>
  </si>
  <si>
    <t>Phone conversation with Eric Lovell (Uroboros) on 5/31/2016</t>
  </si>
  <si>
    <t>consultant to prepare Title V application</t>
  </si>
  <si>
    <t>10% contingency on consultant for Title V application</t>
  </si>
  <si>
    <t>low / high estimates on consultant for Title V application</t>
  </si>
  <si>
    <t>10% contingency on baghouse install</t>
  </si>
  <si>
    <t>low / high estimates on baghouse install</t>
  </si>
  <si>
    <t>Estimate from Eric Lovell on phone 5/31/2016</t>
  </si>
  <si>
    <t>$56k for complete source test. I assume that means testing the control device meets 99% as well as Cr3 to Cr6 conversion.</t>
  </si>
  <si>
    <t>included in source testing cost below</t>
  </si>
  <si>
    <t># of additional baghouses installed, over and above what would have been installed due to NESHAP 6S alone</t>
  </si>
  <si>
    <t>Uroboros- Tier 2</t>
  </si>
  <si>
    <t>Incremental extra cost of Title V annual permit fees due to art glass rule</t>
  </si>
  <si>
    <t>City of Portland mechanical permit</t>
  </si>
  <si>
    <t>baghouse install</t>
  </si>
  <si>
    <t>Fiscal Impact Estimate for proposed rule- Bullseye Glass Company</t>
  </si>
  <si>
    <t>Fiscal Impact Estimate for proposed rule- Uroboros Glass Studios, Inc.</t>
  </si>
  <si>
    <t>Assume preparing the permit application would cost 0% to 5% more because of the incremental addition of the proposed rules.</t>
  </si>
  <si>
    <t>The proposed rules would not increase the annual permit fees if the facility would have a Title V anyway.</t>
  </si>
  <si>
    <t>Assume length of run depends on detection limits, and does not have to be entire production run to show capture efficiency.</t>
  </si>
  <si>
    <t>This is uncertain because changes to comply with NESHAP 6S are happening at the same time as efforts to comply with this rule.</t>
  </si>
  <si>
    <t>Assume preparing the permit application would cost 0% to 5% more because of the incremental addition of the proposed rules. (Rounded to the nearest thousand.)</t>
  </si>
  <si>
    <t>Do 1 of these at all furnaces: install control device OR source test &amp; modeling to show impact below limits OR request permit condition to not use metal HAPs</t>
  </si>
  <si>
    <t>Should legal and financing costs be included?</t>
  </si>
  <si>
    <t>Phone conversation with Susan Fairchild at US EPA 6/6/2016</t>
  </si>
  <si>
    <t>She was involved in EPA's NESHAP 6S rulemaking.</t>
  </si>
  <si>
    <t>EPA does not include legal fees in the compliance cost estimate for a rule, but it does include costs for reading &amp; understanding the rule</t>
  </si>
  <si>
    <t>EPA annualizes the initial costs (for purchasing and installing a baghouse, for example), and that estimate includes estimated financing costs.</t>
  </si>
  <si>
    <t>Susan suggested I contact Larry Sorrels, an EPA economist who can explain more about how that is done.</t>
  </si>
  <si>
    <t>Phone conversation with Larry Sorrels, economist with the US EPA</t>
  </si>
  <si>
    <t>US EPA does control equipment cost estimation using the EPA Air Pollution Control Cost Manual</t>
  </si>
  <si>
    <t>https://www3.epa.gov/ttn/ecas/cost_manual.html</t>
  </si>
  <si>
    <t>EPA converts capital costs to an annual cost over the assumed lifetime of the equipment.</t>
  </si>
  <si>
    <t>For baghouses, they assume a 20-year life</t>
  </si>
  <si>
    <t>EPA uses a 7% assumed interest rate, which is determined by the US Office of Management and Budget (OMB).</t>
  </si>
  <si>
    <t>Calculation uses a Capital Recovery Factor to annualize the one-time costs, according to a formula that uses equipment lifetime &amp; interest rate.</t>
  </si>
  <si>
    <t>There are examples in Section 1 Chapter 2 and in Section 6 Chapter 1.</t>
  </si>
  <si>
    <t>Assume 16 hr test runs. May be able to run concurrently with 99% control efficiency test, reducing cost.</t>
  </si>
  <si>
    <t>Install baghouse</t>
  </si>
  <si>
    <t>Annual operation (electricity, bag replacement etc)</t>
  </si>
  <si>
    <t>Stopping production of materials containing Cr6 (required to take source test + modeling exemption)</t>
  </si>
  <si>
    <t>Reduced production if source testing shows it's needed to meet receptor conc limits</t>
  </si>
  <si>
    <t>One-time costs</t>
  </si>
  <si>
    <t>Annual costs</t>
  </si>
  <si>
    <t>One-time costs (rounded)</t>
  </si>
  <si>
    <t>Annual costs (rounded)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</si>
</sst>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
  </numFmts>
  <fonts count="9"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
      <sz val="11"/>
      <color theme="4"/>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44" fontId="6" fillId="0" borderId="0" applyFont="0" applyFill="0" applyBorder="0" applyAlignment="0" applyProtection="0"/>
  </cellStyleXfs>
  <cellXfs count="69">
    <xf numFmtId="0" fontId="0" fillId="0" borderId="0" xfId="0"/>
    <xf numFmtId="0" fontId="0" fillId="0" borderId="1" xfId="0" applyBorder="1" applyAlignment="1">
      <alignment horizontal="center" vertical="center"/>
    </xf>
    <xf numFmtId="0" fontId="0" fillId="2" borderId="1" xfId="0" applyFont="1" applyFill="1" applyBorder="1" applyAlignment="1">
      <alignment horizontal="right" vertical="center" wrapText="1"/>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0" xfId="0" applyFont="1"/>
    <xf numFmtId="6" fontId="0" fillId="0" borderId="0" xfId="0" applyNumberFormat="1"/>
    <xf numFmtId="0" fontId="0" fillId="0" borderId="0" xfId="0" applyFont="1" applyFill="1" applyBorder="1" applyAlignment="1">
      <alignment horizontal="right" vertical="center" wrapText="1"/>
    </xf>
    <xf numFmtId="0" fontId="0" fillId="2" borderId="0" xfId="0" applyFont="1" applyFill="1" applyBorder="1" applyAlignment="1">
      <alignment horizontal="right" vertical="center" wrapText="1"/>
    </xf>
    <xf numFmtId="0" fontId="2" fillId="0" borderId="0" xfId="1"/>
    <xf numFmtId="165" fontId="0" fillId="0" borderId="0" xfId="0" applyNumberFormat="1"/>
    <xf numFmtId="0" fontId="1" fillId="0" borderId="0" xfId="0" applyFont="1" applyFill="1" applyBorder="1" applyAlignment="1">
      <alignment horizontal="left" vertical="center"/>
    </xf>
    <xf numFmtId="165" fontId="0" fillId="0" borderId="1" xfId="2" quotePrefix="1" applyNumberFormat="1" applyFont="1" applyBorder="1" applyAlignment="1">
      <alignment horizontal="right" vertical="center"/>
    </xf>
    <xf numFmtId="165" fontId="0" fillId="0" borderId="0" xfId="0" applyNumberFormat="1" applyAlignment="1">
      <alignment horizontal="right"/>
    </xf>
    <xf numFmtId="165" fontId="0" fillId="0" borderId="0" xfId="0" applyNumberFormat="1" applyBorder="1" applyAlignment="1">
      <alignment horizontal="right" vertical="center"/>
    </xf>
    <xf numFmtId="165" fontId="0" fillId="0" borderId="1" xfId="0" applyNumberFormat="1" applyBorder="1" applyAlignment="1">
      <alignment horizontal="right" vertical="center"/>
    </xf>
    <xf numFmtId="0" fontId="1" fillId="0" borderId="1" xfId="0" applyFont="1" applyFill="1" applyBorder="1" applyAlignment="1">
      <alignment horizontal="center" vertical="center" wrapText="1"/>
    </xf>
    <xf numFmtId="165" fontId="0" fillId="3" borderId="1" xfId="0" applyNumberFormat="1" applyFill="1" applyBorder="1"/>
    <xf numFmtId="0" fontId="0" fillId="3" borderId="1" xfId="0" applyFill="1" applyBorder="1" applyAlignment="1">
      <alignment horizontal="right"/>
    </xf>
    <xf numFmtId="165" fontId="0" fillId="0" borderId="0" xfId="2" quotePrefix="1" applyNumberFormat="1" applyFont="1" applyBorder="1" applyAlignment="1">
      <alignment horizontal="right" vertical="center"/>
    </xf>
    <xf numFmtId="164" fontId="7" fillId="0" borderId="1" xfId="2" applyNumberFormat="1" applyFont="1" applyBorder="1" applyAlignment="1">
      <alignment horizontal="center" vertical="center"/>
    </xf>
    <xf numFmtId="165" fontId="0" fillId="4" borderId="1" xfId="0" quotePrefix="1" applyNumberFormat="1" applyFill="1" applyBorder="1" applyAlignment="1">
      <alignment horizontal="right" vertical="center"/>
    </xf>
    <xf numFmtId="0" fontId="0" fillId="0" borderId="2" xfId="0" applyFont="1" applyFill="1" applyBorder="1" applyAlignment="1">
      <alignment horizontal="centerContinuous" vertical="center" wrapText="1"/>
    </xf>
    <xf numFmtId="0" fontId="0" fillId="0" borderId="3" xfId="0" applyFont="1" applyFill="1" applyBorder="1" applyAlignment="1">
      <alignment horizontal="centerContinuous" vertical="center" wrapText="1"/>
    </xf>
    <xf numFmtId="0" fontId="0" fillId="0" borderId="4" xfId="0" applyFont="1" applyFill="1" applyBorder="1" applyAlignment="1">
      <alignment horizontal="centerContinuous" vertical="center" wrapText="1"/>
    </xf>
    <xf numFmtId="0" fontId="0" fillId="2" borderId="9" xfId="0" applyFont="1" applyFill="1" applyBorder="1" applyAlignment="1">
      <alignment horizontal="right" vertical="center" wrapText="1"/>
    </xf>
    <xf numFmtId="0" fontId="0" fillId="0" borderId="0" xfId="0" applyAlignment="1">
      <alignment wrapText="1"/>
    </xf>
    <xf numFmtId="0" fontId="0" fillId="0" borderId="0" xfId="0" applyAlignment="1">
      <alignment vertical="center" wrapText="1"/>
    </xf>
    <xf numFmtId="165" fontId="0" fillId="0" borderId="1" xfId="0" applyNumberFormat="1" applyBorder="1" applyAlignment="1">
      <alignment vertical="center" wrapText="1"/>
    </xf>
    <xf numFmtId="0" fontId="0" fillId="0" borderId="0" xfId="0" applyAlignment="1">
      <alignment horizontal="left" vertical="center" wrapText="1"/>
    </xf>
    <xf numFmtId="0" fontId="7" fillId="2" borderId="1" xfId="0" applyFont="1" applyFill="1" applyBorder="1" applyAlignment="1">
      <alignment horizontal="right" vertical="center" wrapText="1"/>
    </xf>
    <xf numFmtId="165" fontId="0" fillId="4" borderId="1" xfId="0" quotePrefix="1" applyNumberFormat="1" applyFill="1" applyBorder="1" applyAlignment="1">
      <alignment horizontal="center" vertical="center" wrapText="1"/>
    </xf>
    <xf numFmtId="0" fontId="8" fillId="0" borderId="0" xfId="0" applyFont="1"/>
    <xf numFmtId="165" fontId="0" fillId="4" borderId="1" xfId="0" quotePrefix="1" applyNumberFormat="1" applyFill="1" applyBorder="1" applyAlignment="1">
      <alignment horizontal="center" vertical="center"/>
    </xf>
    <xf numFmtId="0" fontId="0" fillId="2" borderId="1" xfId="0" applyFill="1" applyBorder="1" applyAlignment="1">
      <alignment horizontal="right" vertical="center" wrapText="1"/>
    </xf>
    <xf numFmtId="5" fontId="0" fillId="0" borderId="0" xfId="2" applyNumberFormat="1" applyFont="1"/>
    <xf numFmtId="0" fontId="0" fillId="0" borderId="0" xfId="0" applyAlignment="1">
      <alignment horizontal="center"/>
    </xf>
    <xf numFmtId="5" fontId="0" fillId="0" borderId="0" xfId="0" applyNumberFormat="1"/>
    <xf numFmtId="8" fontId="0" fillId="0" borderId="0" xfId="0" applyNumberFormat="1"/>
    <xf numFmtId="6" fontId="0" fillId="0" borderId="0" xfId="0" applyNumberFormat="1" applyFont="1"/>
    <xf numFmtId="165" fontId="0" fillId="5" borderId="1" xfId="2" quotePrefix="1" applyNumberFormat="1" applyFont="1" applyFill="1" applyBorder="1" applyAlignment="1">
      <alignment horizontal="right" vertical="center"/>
    </xf>
    <xf numFmtId="165" fontId="0" fillId="5" borderId="1" xfId="0" applyNumberFormat="1" applyFill="1" applyBorder="1" applyAlignment="1">
      <alignment vertical="center" wrapText="1"/>
    </xf>
    <xf numFmtId="0" fontId="0" fillId="0" borderId="1" xfId="0" applyFont="1" applyFill="1" applyBorder="1" applyAlignment="1">
      <alignment horizontal="right" vertical="center" wrapText="1"/>
    </xf>
    <xf numFmtId="165" fontId="0" fillId="5" borderId="0" xfId="0" applyNumberFormat="1" applyFill="1"/>
    <xf numFmtId="0" fontId="3" fillId="0" borderId="1" xfId="0" applyFont="1" applyBorder="1" applyAlignment="1">
      <alignment horizontal="centerContinuous" vertical="center" wrapText="1"/>
    </xf>
    <xf numFmtId="0" fontId="1" fillId="3" borderId="1" xfId="0" applyFont="1" applyFill="1" applyBorder="1" applyAlignment="1">
      <alignment horizontal="centerContinuous" vertical="center" wrapText="1"/>
    </xf>
    <xf numFmtId="0" fontId="0" fillId="0" borderId="1" xfId="0" applyFill="1" applyBorder="1" applyAlignment="1">
      <alignment horizontal="right"/>
    </xf>
    <xf numFmtId="165" fontId="0" fillId="0" borderId="1" xfId="0" applyNumberFormat="1" applyFill="1" applyBorder="1"/>
    <xf numFmtId="165" fontId="0" fillId="0" borderId="1" xfId="0" applyNumberFormat="1" applyBorder="1" applyAlignment="1">
      <alignment horizontal="right" vertical="center" wrapText="1"/>
    </xf>
    <xf numFmtId="0" fontId="0" fillId="0" borderId="1" xfId="0" applyBorder="1" applyAlignment="1">
      <alignment horizontal="right" wrapText="1"/>
    </xf>
    <xf numFmtId="0" fontId="1"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7" fillId="0" borderId="1" xfId="0" applyFont="1" applyBorder="1" applyAlignment="1">
      <alignment horizontal="center" vertical="center"/>
    </xf>
    <xf numFmtId="165" fontId="0" fillId="0" borderId="2" xfId="0" applyNumberFormat="1" applyBorder="1" applyAlignment="1">
      <alignment horizontal="center" vertical="center"/>
    </xf>
    <xf numFmtId="165" fontId="0" fillId="0" borderId="4" xfId="0" applyNumberFormat="1" applyBorder="1" applyAlignment="1">
      <alignment horizontal="center" vertical="center"/>
    </xf>
    <xf numFmtId="0" fontId="0" fillId="0" borderId="1" xfId="0" applyBorder="1" applyAlignment="1">
      <alignment horizontal="center" vertical="center" wrapText="1"/>
    </xf>
    <xf numFmtId="165" fontId="0" fillId="3" borderId="2" xfId="0" applyNumberFormat="1" applyFill="1" applyBorder="1" applyAlignment="1">
      <alignment horizontal="center"/>
    </xf>
    <xf numFmtId="165" fontId="0" fillId="3" borderId="4" xfId="0" applyNumberFormat="1" applyFill="1" applyBorder="1" applyAlignment="1">
      <alignment horizontal="center"/>
    </xf>
    <xf numFmtId="165" fontId="0" fillId="4" borderId="7" xfId="0" quotePrefix="1" applyNumberFormat="1" applyFill="1" applyBorder="1" applyAlignment="1">
      <alignment horizontal="center" vertical="center" wrapText="1"/>
    </xf>
    <xf numFmtId="165" fontId="0" fillId="4" borderId="8" xfId="0" quotePrefix="1" applyNumberFormat="1" applyFill="1" applyBorder="1" applyAlignment="1">
      <alignment horizontal="center" vertical="center" wrapText="1"/>
    </xf>
    <xf numFmtId="165" fontId="0" fillId="4" borderId="5" xfId="0" quotePrefix="1" applyNumberFormat="1" applyFill="1" applyBorder="1" applyAlignment="1">
      <alignment horizontal="center" vertical="center" wrapText="1"/>
    </xf>
    <xf numFmtId="165" fontId="0" fillId="4" borderId="6" xfId="0" quotePrefix="1" applyNumberFormat="1" applyFill="1" applyBorder="1" applyAlignment="1">
      <alignment horizontal="center" vertical="center" wrapText="1"/>
    </xf>
    <xf numFmtId="165" fontId="0" fillId="0" borderId="2" xfId="0" applyNumberFormat="1" applyFill="1" applyBorder="1" applyAlignment="1">
      <alignment horizontal="center"/>
    </xf>
    <xf numFmtId="165" fontId="0" fillId="0" borderId="4" xfId="0" applyNumberFormat="1" applyFill="1" applyBorder="1" applyAlignment="1">
      <alignment horizontal="center"/>
    </xf>
    <xf numFmtId="165" fontId="0" fillId="4" borderId="2" xfId="0" quotePrefix="1" applyNumberFormat="1" applyFill="1" applyBorder="1" applyAlignment="1">
      <alignment horizontal="center" vertical="center" wrapText="1"/>
    </xf>
    <xf numFmtId="165" fontId="0" fillId="4" borderId="4" xfId="0" quotePrefix="1" applyNumberFormat="1" applyFill="1" applyBorder="1" applyAlignment="1">
      <alignment horizontal="center" vertical="center" wrapText="1"/>
    </xf>
    <xf numFmtId="0" fontId="0" fillId="0" borderId="1" xfId="0" applyBorder="1" applyAlignment="1">
      <alignment horizontal="right" vertical="center" wrapText="1"/>
    </xf>
  </cellXfs>
  <cellStyles count="3">
    <cellStyle name="Currency" xfId="2" builtinId="4"/>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3.epa.gov/scram001/dispersion_screening.ht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arcweb.sos.state.or.us/pages/rules/oars_300/oar_340/340_220.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3.epa.gov/ttn/ecas/cost_manu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view="pageBreakPreview" zoomScale="90" zoomScaleNormal="100" zoomScaleSheetLayoutView="90" workbookViewId="0">
      <pane ySplit="7" topLeftCell="A26" activePane="bottomLeft" state="frozen"/>
      <selection pane="bottomLeft" activeCell="A41" sqref="A41:A42"/>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95</v>
      </c>
    </row>
    <row r="2" spans="1:4" x14ac:dyDescent="0.25">
      <c r="A2" s="5" t="s">
        <v>154</v>
      </c>
    </row>
    <row r="4" spans="1:4" ht="15" customHeight="1" x14ac:dyDescent="0.25">
      <c r="A4" s="50" t="s">
        <v>129</v>
      </c>
      <c r="B4" s="50"/>
      <c r="C4" s="50"/>
    </row>
    <row r="5" spans="1:4" ht="60" customHeight="1" x14ac:dyDescent="0.25">
      <c r="A5" s="2" t="s">
        <v>15</v>
      </c>
      <c r="B5" s="51" t="s">
        <v>134</v>
      </c>
      <c r="C5" s="51"/>
    </row>
    <row r="6" spans="1:4" x14ac:dyDescent="0.25">
      <c r="A6" s="7"/>
      <c r="B6" s="52" t="s">
        <v>46</v>
      </c>
      <c r="C6" s="53"/>
    </row>
    <row r="7" spans="1:4" x14ac:dyDescent="0.25">
      <c r="A7" s="7"/>
      <c r="B7" s="16" t="s">
        <v>12</v>
      </c>
      <c r="C7" s="16" t="s">
        <v>11</v>
      </c>
    </row>
    <row r="8" spans="1:4" x14ac:dyDescent="0.25">
      <c r="A8" s="5" t="s">
        <v>8</v>
      </c>
      <c r="B8" s="5"/>
    </row>
    <row r="9" spans="1:4" x14ac:dyDescent="0.25">
      <c r="A9" s="2" t="s">
        <v>7</v>
      </c>
      <c r="B9" s="54" t="s">
        <v>6</v>
      </c>
      <c r="C9" s="54"/>
    </row>
    <row r="10" spans="1:4" ht="30" x14ac:dyDescent="0.25">
      <c r="A10" s="2" t="s">
        <v>76</v>
      </c>
      <c r="B10" s="54" t="s">
        <v>6</v>
      </c>
      <c r="C10" s="54"/>
    </row>
    <row r="11" spans="1:4" ht="60" x14ac:dyDescent="0.25">
      <c r="A11" s="2" t="s">
        <v>77</v>
      </c>
      <c r="B11" s="40">
        <f>'Title V'!A26</f>
        <v>25000</v>
      </c>
      <c r="C11" s="40">
        <f>'Title V'!B26</f>
        <v>100000</v>
      </c>
      <c r="D11" s="26" t="s">
        <v>97</v>
      </c>
    </row>
    <row r="12" spans="1:4" ht="60" x14ac:dyDescent="0.25">
      <c r="A12" s="34" t="s">
        <v>108</v>
      </c>
      <c r="B12" s="41">
        <f>'Title V'!A27</f>
        <v>10310</v>
      </c>
      <c r="C12" s="41">
        <f>'Title V'!B27</f>
        <v>11510</v>
      </c>
      <c r="D12" s="26" t="s">
        <v>97</v>
      </c>
    </row>
    <row r="13" spans="1:4" ht="69" customHeight="1" x14ac:dyDescent="0.25">
      <c r="A13" s="34" t="s">
        <v>98</v>
      </c>
      <c r="B13" s="28">
        <v>0</v>
      </c>
      <c r="C13" s="28">
        <f>C11*5%</f>
        <v>5000</v>
      </c>
      <c r="D13" s="27" t="s">
        <v>156</v>
      </c>
    </row>
    <row r="14" spans="1:4" ht="45" x14ac:dyDescent="0.25">
      <c r="A14" s="34" t="s">
        <v>151</v>
      </c>
      <c r="B14" s="28">
        <v>0</v>
      </c>
      <c r="C14" s="28">
        <v>0</v>
      </c>
      <c r="D14" s="27" t="s">
        <v>157</v>
      </c>
    </row>
    <row r="16" spans="1:4" x14ac:dyDescent="0.25">
      <c r="A16" s="11" t="s">
        <v>130</v>
      </c>
    </row>
    <row r="17" spans="1:5" ht="77.25" customHeight="1" x14ac:dyDescent="0.25">
      <c r="A17" s="68" t="s">
        <v>149</v>
      </c>
      <c r="B17" s="1">
        <v>0</v>
      </c>
      <c r="C17" s="1">
        <v>2</v>
      </c>
      <c r="D17" s="27" t="s">
        <v>159</v>
      </c>
    </row>
    <row r="19" spans="1:5" x14ac:dyDescent="0.25">
      <c r="A19" s="11" t="s">
        <v>131</v>
      </c>
      <c r="B19" s="13"/>
      <c r="C19" s="13"/>
    </row>
    <row r="20" spans="1:5" x14ac:dyDescent="0.25">
      <c r="A20" s="2" t="s">
        <v>44</v>
      </c>
      <c r="B20" s="12">
        <v>250000</v>
      </c>
      <c r="C20" s="12">
        <v>400000</v>
      </c>
      <c r="D20" s="26"/>
    </row>
    <row r="21" spans="1:5" ht="60" x14ac:dyDescent="0.25">
      <c r="A21" s="2" t="s">
        <v>86</v>
      </c>
      <c r="B21" s="15">
        <v>4000</v>
      </c>
      <c r="C21" s="15">
        <v>15000</v>
      </c>
      <c r="D21" s="29" t="s">
        <v>118</v>
      </c>
    </row>
    <row r="22" spans="1:5" x14ac:dyDescent="0.25">
      <c r="A22" s="2" t="s">
        <v>45</v>
      </c>
      <c r="B22" s="12">
        <v>15000</v>
      </c>
      <c r="C22" s="12">
        <v>70000</v>
      </c>
      <c r="D22" t="s">
        <v>90</v>
      </c>
    </row>
    <row r="23" spans="1:5" ht="30" x14ac:dyDescent="0.25">
      <c r="A23" s="2" t="s">
        <v>49</v>
      </c>
      <c r="B23" s="12">
        <v>12000</v>
      </c>
      <c r="C23" s="12">
        <v>17000</v>
      </c>
    </row>
    <row r="24" spans="1:5" ht="30" x14ac:dyDescent="0.25">
      <c r="A24" s="42" t="s">
        <v>132</v>
      </c>
      <c r="B24" s="15">
        <f>SUM(B20,B21)</f>
        <v>254000</v>
      </c>
      <c r="C24" s="15">
        <f>SUM(C20,C21)</f>
        <v>415000</v>
      </c>
      <c r="D24" s="29"/>
    </row>
    <row r="25" spans="1:5" ht="30" x14ac:dyDescent="0.25">
      <c r="A25" s="42" t="s">
        <v>133</v>
      </c>
      <c r="B25" s="15">
        <f>SUM(B22:B23)</f>
        <v>27000</v>
      </c>
      <c r="C25" s="15">
        <f>SUM(C22:C23)</f>
        <v>87000</v>
      </c>
      <c r="D25" s="29"/>
    </row>
    <row r="26" spans="1:5" x14ac:dyDescent="0.25">
      <c r="A26" s="3"/>
      <c r="B26" s="14"/>
      <c r="C26" s="14"/>
    </row>
    <row r="27" spans="1:5" x14ac:dyDescent="0.25">
      <c r="A27" s="11" t="s">
        <v>1</v>
      </c>
      <c r="B27" s="13"/>
      <c r="C27" s="13"/>
    </row>
    <row r="28" spans="1:5" ht="60" x14ac:dyDescent="0.25">
      <c r="A28" s="2" t="s">
        <v>52</v>
      </c>
      <c r="B28" s="15">
        <v>60000</v>
      </c>
      <c r="C28" s="15">
        <v>65000</v>
      </c>
      <c r="D28" s="27" t="s">
        <v>176</v>
      </c>
      <c r="E28" s="27" t="s">
        <v>78</v>
      </c>
    </row>
    <row r="29" spans="1:5" x14ac:dyDescent="0.25">
      <c r="A29" s="3"/>
      <c r="B29" s="13"/>
      <c r="C29" s="13"/>
    </row>
    <row r="30" spans="1:5" x14ac:dyDescent="0.25">
      <c r="A30" s="11" t="s">
        <v>0</v>
      </c>
      <c r="B30" s="13"/>
      <c r="C30" s="13"/>
    </row>
    <row r="31" spans="1:5" ht="33.75" customHeight="1" x14ac:dyDescent="0.25">
      <c r="A31" s="22" t="s">
        <v>51</v>
      </c>
      <c r="B31" s="23"/>
      <c r="C31" s="24"/>
    </row>
    <row r="32" spans="1:5" x14ac:dyDescent="0.25">
      <c r="A32" s="2" t="s">
        <v>47</v>
      </c>
      <c r="B32" s="15">
        <v>10000</v>
      </c>
      <c r="C32" s="21" t="s">
        <v>56</v>
      </c>
    </row>
    <row r="33" spans="1:3" ht="30" x14ac:dyDescent="0.25">
      <c r="A33" s="2" t="s">
        <v>48</v>
      </c>
      <c r="B33" s="21" t="s">
        <v>56</v>
      </c>
      <c r="C33" s="15">
        <v>30000</v>
      </c>
    </row>
    <row r="34" spans="1:3" x14ac:dyDescent="0.25">
      <c r="A34" s="4"/>
      <c r="B34" s="4"/>
    </row>
    <row r="35" spans="1:3" x14ac:dyDescent="0.25">
      <c r="A35" s="11" t="s">
        <v>50</v>
      </c>
      <c r="B35" s="4"/>
    </row>
    <row r="36" spans="1:3" x14ac:dyDescent="0.25">
      <c r="A36" s="11" t="str">
        <f>"If "&amp;B17&amp;" additional baghouses installed"</f>
        <v>If 0 additional baghouses installed</v>
      </c>
      <c r="B36" s="4"/>
    </row>
    <row r="37" spans="1:3" x14ac:dyDescent="0.25">
      <c r="A37" s="18" t="s">
        <v>181</v>
      </c>
      <c r="B37" s="17">
        <f>SUM(B13,$B17*B24,B28,B32:B33)</f>
        <v>70000</v>
      </c>
      <c r="C37" s="17">
        <f>SUM(C13,$B17*C24,C28,C32:C33)</f>
        <v>100000</v>
      </c>
    </row>
    <row r="38" spans="1:3" x14ac:dyDescent="0.25">
      <c r="A38" s="18" t="s">
        <v>182</v>
      </c>
      <c r="B38" s="17">
        <f>SUM(B14,$B17*B25)</f>
        <v>0</v>
      </c>
      <c r="C38" s="17">
        <f>SUM(C14,$B17*C25)</f>
        <v>0</v>
      </c>
    </row>
    <row r="40" spans="1:3" x14ac:dyDescent="0.25">
      <c r="A40" s="11" t="str">
        <f>"If "&amp;C17&amp;" additional baghouses installed"</f>
        <v>If 2 additional baghouses installed</v>
      </c>
      <c r="B40" s="4"/>
    </row>
    <row r="41" spans="1:3" x14ac:dyDescent="0.25">
      <c r="A41" s="18" t="s">
        <v>181</v>
      </c>
      <c r="B41" s="17">
        <f>SUM(B13,$C17*B24,B28,B32:B33)</f>
        <v>578000</v>
      </c>
      <c r="C41" s="17">
        <f>SUM(C13,$C17*C24,C28,C32:C33)</f>
        <v>930000</v>
      </c>
    </row>
    <row r="42" spans="1:3" x14ac:dyDescent="0.25">
      <c r="A42" s="18" t="s">
        <v>182</v>
      </c>
      <c r="B42" s="17">
        <f>SUM(B14,$C17*B25)</f>
        <v>54000</v>
      </c>
      <c r="C42" s="17">
        <f>SUM(C14,$C17*C25)</f>
        <v>174000</v>
      </c>
    </row>
  </sheetData>
  <mergeCells count="5">
    <mergeCell ref="A4:C4"/>
    <mergeCell ref="B5:C5"/>
    <mergeCell ref="B6:C6"/>
    <mergeCell ref="B9:C9"/>
    <mergeCell ref="B10:C10"/>
  </mergeCells>
  <pageMargins left="0.7" right="0.7" top="0.75" bottom="0.75" header="0.3" footer="0.3"/>
  <pageSetup scale="9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tabSelected="1" view="pageBreakPreview" zoomScale="90" zoomScaleNormal="100" zoomScaleSheetLayoutView="90" workbookViewId="0">
      <pane ySplit="7" topLeftCell="A8" activePane="bottomLeft" state="frozen"/>
      <selection pane="bottomLeft" activeCell="A41" sqref="A41:A42"/>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95</v>
      </c>
    </row>
    <row r="2" spans="1:4" x14ac:dyDescent="0.25">
      <c r="A2" s="5" t="s">
        <v>155</v>
      </c>
    </row>
    <row r="4" spans="1:4" ht="15" customHeight="1" x14ac:dyDescent="0.25">
      <c r="A4" s="50" t="s">
        <v>150</v>
      </c>
      <c r="B4" s="50"/>
      <c r="C4" s="50"/>
    </row>
    <row r="5" spans="1:4" ht="60" customHeight="1" x14ac:dyDescent="0.25">
      <c r="A5" s="2" t="s">
        <v>15</v>
      </c>
      <c r="B5" s="51" t="s">
        <v>134</v>
      </c>
      <c r="C5" s="51"/>
    </row>
    <row r="6" spans="1:4" x14ac:dyDescent="0.25">
      <c r="A6" s="7"/>
      <c r="B6" s="52" t="s">
        <v>46</v>
      </c>
      <c r="C6" s="53"/>
    </row>
    <row r="7" spans="1:4" x14ac:dyDescent="0.25">
      <c r="A7" s="7"/>
      <c r="B7" s="16" t="s">
        <v>12</v>
      </c>
      <c r="C7" s="16" t="s">
        <v>11</v>
      </c>
    </row>
    <row r="8" spans="1:4" x14ac:dyDescent="0.25">
      <c r="A8" s="5" t="s">
        <v>8</v>
      </c>
      <c r="B8" s="5"/>
    </row>
    <row r="9" spans="1:4" x14ac:dyDescent="0.25">
      <c r="A9" s="2" t="s">
        <v>7</v>
      </c>
      <c r="B9" s="54" t="s">
        <v>6</v>
      </c>
      <c r="C9" s="54"/>
    </row>
    <row r="10" spans="1:4" ht="30" x14ac:dyDescent="0.25">
      <c r="A10" s="2" t="s">
        <v>76</v>
      </c>
      <c r="B10" s="54" t="s">
        <v>6</v>
      </c>
      <c r="C10" s="54"/>
    </row>
    <row r="11" spans="1:4" ht="60" x14ac:dyDescent="0.25">
      <c r="A11" s="2" t="s">
        <v>77</v>
      </c>
      <c r="B11" s="40">
        <f>'Title V'!A36</f>
        <v>15000</v>
      </c>
      <c r="C11" s="40">
        <f>'Title V'!B36</f>
        <v>55000</v>
      </c>
      <c r="D11" s="26" t="s">
        <v>97</v>
      </c>
    </row>
    <row r="12" spans="1:4" ht="60" x14ac:dyDescent="0.25">
      <c r="A12" s="34" t="s">
        <v>108</v>
      </c>
      <c r="B12" s="41">
        <f>'Title V'!A32</f>
        <v>8500</v>
      </c>
      <c r="C12" s="41">
        <f>'Title V'!A32</f>
        <v>8500</v>
      </c>
      <c r="D12" s="26" t="s">
        <v>97</v>
      </c>
    </row>
    <row r="13" spans="1:4" ht="75" x14ac:dyDescent="0.25">
      <c r="A13" s="34" t="s">
        <v>98</v>
      </c>
      <c r="B13" s="28">
        <v>0</v>
      </c>
      <c r="C13" s="28">
        <f>ROUND(C11*5%,-3)</f>
        <v>3000</v>
      </c>
      <c r="D13" s="27" t="s">
        <v>160</v>
      </c>
    </row>
    <row r="14" spans="1:4" ht="45" x14ac:dyDescent="0.25">
      <c r="A14" s="34" t="s">
        <v>151</v>
      </c>
      <c r="B14" s="28">
        <v>0</v>
      </c>
      <c r="C14" s="28">
        <v>0</v>
      </c>
      <c r="D14" s="27" t="s">
        <v>157</v>
      </c>
    </row>
    <row r="16" spans="1:4" x14ac:dyDescent="0.25">
      <c r="A16" s="11" t="s">
        <v>130</v>
      </c>
    </row>
    <row r="17" spans="1:5" ht="78" customHeight="1" x14ac:dyDescent="0.25">
      <c r="A17" s="49" t="s">
        <v>149</v>
      </c>
      <c r="B17" s="1">
        <v>0</v>
      </c>
      <c r="C17" s="1">
        <v>1</v>
      </c>
      <c r="D17" s="27" t="s">
        <v>159</v>
      </c>
    </row>
    <row r="19" spans="1:5" x14ac:dyDescent="0.25">
      <c r="A19" s="11" t="s">
        <v>131</v>
      </c>
      <c r="B19" s="13"/>
      <c r="C19" s="13"/>
    </row>
    <row r="20" spans="1:5" x14ac:dyDescent="0.25">
      <c r="A20" s="2" t="s">
        <v>44</v>
      </c>
      <c r="B20" s="12">
        <f>baghouse!A36</f>
        <v>355000</v>
      </c>
      <c r="C20" s="12">
        <f>baghouse!B36</f>
        <v>610000</v>
      </c>
      <c r="D20" s="26"/>
    </row>
    <row r="21" spans="1:5" ht="60" x14ac:dyDescent="0.25">
      <c r="A21" s="2" t="s">
        <v>86</v>
      </c>
      <c r="B21" s="55" t="s">
        <v>148</v>
      </c>
      <c r="C21" s="56"/>
      <c r="D21" s="29" t="s">
        <v>158</v>
      </c>
    </row>
    <row r="22" spans="1:5" x14ac:dyDescent="0.25">
      <c r="A22" s="2" t="s">
        <v>45</v>
      </c>
      <c r="B22" s="12">
        <v>15000</v>
      </c>
      <c r="C22" s="12">
        <v>70000</v>
      </c>
      <c r="D22" t="s">
        <v>90</v>
      </c>
    </row>
    <row r="23" spans="1:5" ht="30" x14ac:dyDescent="0.25">
      <c r="A23" s="2" t="s">
        <v>49</v>
      </c>
      <c r="B23" s="12">
        <v>12000</v>
      </c>
      <c r="C23" s="12">
        <v>17000</v>
      </c>
    </row>
    <row r="24" spans="1:5" ht="30" x14ac:dyDescent="0.25">
      <c r="A24" s="42" t="s">
        <v>132</v>
      </c>
      <c r="B24" s="15">
        <f>SUM(B20,B21)</f>
        <v>355000</v>
      </c>
      <c r="C24" s="15">
        <f>SUM(C20,C21)</f>
        <v>610000</v>
      </c>
      <c r="D24" s="29"/>
    </row>
    <row r="25" spans="1:5" ht="30" x14ac:dyDescent="0.25">
      <c r="A25" s="42" t="s">
        <v>133</v>
      </c>
      <c r="B25" s="15">
        <f>SUM(B22:B23)</f>
        <v>27000</v>
      </c>
      <c r="C25" s="15">
        <f>SUM(C22:C23)</f>
        <v>87000</v>
      </c>
      <c r="D25" s="29"/>
    </row>
    <row r="26" spans="1:5" x14ac:dyDescent="0.25">
      <c r="A26" s="3"/>
      <c r="B26" s="14"/>
      <c r="C26" s="14"/>
    </row>
    <row r="27" spans="1:5" x14ac:dyDescent="0.25">
      <c r="A27" s="11" t="s">
        <v>1</v>
      </c>
      <c r="B27" s="13"/>
      <c r="C27" s="13"/>
    </row>
    <row r="28" spans="1:5" ht="60" x14ac:dyDescent="0.25">
      <c r="A28" s="2" t="s">
        <v>52</v>
      </c>
      <c r="B28" s="15">
        <v>56000</v>
      </c>
      <c r="C28" s="15">
        <v>56000</v>
      </c>
      <c r="D28" s="27"/>
      <c r="E28" s="27"/>
    </row>
    <row r="29" spans="1:5" x14ac:dyDescent="0.25">
      <c r="A29" s="3"/>
      <c r="B29" s="13"/>
      <c r="C29" s="13"/>
    </row>
    <row r="30" spans="1:5" x14ac:dyDescent="0.25">
      <c r="A30" s="11" t="s">
        <v>0</v>
      </c>
      <c r="B30" s="13"/>
      <c r="C30" s="13"/>
    </row>
    <row r="31" spans="1:5" ht="33.75" customHeight="1" x14ac:dyDescent="0.25">
      <c r="A31" s="22" t="s">
        <v>51</v>
      </c>
      <c r="B31" s="23"/>
      <c r="C31" s="24"/>
    </row>
    <row r="32" spans="1:5" x14ac:dyDescent="0.25">
      <c r="A32" s="2" t="s">
        <v>47</v>
      </c>
      <c r="B32" s="15">
        <v>10000</v>
      </c>
      <c r="C32" s="21" t="s">
        <v>56</v>
      </c>
    </row>
    <row r="33" spans="1:3" ht="30" x14ac:dyDescent="0.25">
      <c r="A33" s="2" t="s">
        <v>48</v>
      </c>
      <c r="B33" s="21" t="s">
        <v>56</v>
      </c>
      <c r="C33" s="15">
        <v>30000</v>
      </c>
    </row>
    <row r="34" spans="1:3" x14ac:dyDescent="0.25">
      <c r="A34" s="4"/>
      <c r="B34" s="4"/>
    </row>
    <row r="35" spans="1:3" x14ac:dyDescent="0.25">
      <c r="A35" s="11" t="s">
        <v>50</v>
      </c>
      <c r="B35" s="4"/>
    </row>
    <row r="36" spans="1:3" x14ac:dyDescent="0.25">
      <c r="A36" s="11" t="str">
        <f>"If "&amp;B17&amp;" additional baghouses installed"</f>
        <v>If 0 additional baghouses installed</v>
      </c>
      <c r="B36" s="4"/>
    </row>
    <row r="37" spans="1:3" x14ac:dyDescent="0.25">
      <c r="A37" s="18" t="s">
        <v>181</v>
      </c>
      <c r="B37" s="17">
        <f>SUM(B13,$B17*B24,B28,B32:B33)</f>
        <v>66000</v>
      </c>
      <c r="C37" s="17">
        <f>SUM(C13,$B17*C24,C28,C32:C33)</f>
        <v>89000</v>
      </c>
    </row>
    <row r="38" spans="1:3" x14ac:dyDescent="0.25">
      <c r="A38" s="18" t="s">
        <v>182</v>
      </c>
      <c r="B38" s="17">
        <f>SUM(B14,$B17*B25)</f>
        <v>0</v>
      </c>
      <c r="C38" s="17">
        <f>SUM(C14,$B17*C25)</f>
        <v>0</v>
      </c>
    </row>
    <row r="40" spans="1:3" x14ac:dyDescent="0.25">
      <c r="A40" s="11" t="str">
        <f>"If "&amp;C17&amp;" additional baghouse installed"</f>
        <v>If 1 additional baghouse installed</v>
      </c>
      <c r="B40" s="4"/>
    </row>
    <row r="41" spans="1:3" x14ac:dyDescent="0.25">
      <c r="A41" s="18" t="s">
        <v>181</v>
      </c>
      <c r="B41" s="17">
        <f>SUM(B13,$C17*B24,B28,B32:B33)</f>
        <v>421000</v>
      </c>
      <c r="C41" s="17">
        <f>SUM(C13,$C17*C24,C28,C32:C33)</f>
        <v>699000</v>
      </c>
    </row>
    <row r="42" spans="1:3" x14ac:dyDescent="0.25">
      <c r="A42" s="18" t="s">
        <v>182</v>
      </c>
      <c r="B42" s="17">
        <f>SUM(B14,$C17*B25)</f>
        <v>27000</v>
      </c>
      <c r="C42" s="17">
        <f>SUM(C14,$C17*C25)</f>
        <v>87000</v>
      </c>
    </row>
  </sheetData>
  <mergeCells count="6">
    <mergeCell ref="B21:C21"/>
    <mergeCell ref="A4:C4"/>
    <mergeCell ref="B5:C5"/>
    <mergeCell ref="B6:C6"/>
    <mergeCell ref="B9:C9"/>
    <mergeCell ref="B10:C10"/>
  </mergeCells>
  <pageMargins left="0.7" right="0.7" top="0.75" bottom="0.75" header="0.3" footer="0.3"/>
  <pageSetup scale="91" fitToHeight="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1"/>
  <sheetViews>
    <sheetView view="pageBreakPreview" zoomScale="90" zoomScaleNormal="100" zoomScaleSheetLayoutView="90" workbookViewId="0">
      <pane ySplit="8" topLeftCell="A33" activePane="bottomLeft" state="frozen"/>
      <selection pane="bottomLeft" activeCell="A42" sqref="A42"/>
    </sheetView>
  </sheetViews>
  <sheetFormatPr defaultRowHeight="15" x14ac:dyDescent="0.25"/>
  <cols>
    <col min="1" max="1" width="30" customWidth="1"/>
    <col min="2" max="7" width="18" customWidth="1"/>
    <col min="8" max="8" width="19" customWidth="1"/>
  </cols>
  <sheetData>
    <row r="1" spans="1:7" x14ac:dyDescent="0.25">
      <c r="A1" s="5" t="s">
        <v>95</v>
      </c>
    </row>
    <row r="2" spans="1:7" x14ac:dyDescent="0.25">
      <c r="A2" s="5" t="s">
        <v>96</v>
      </c>
    </row>
    <row r="4" spans="1:7" ht="15" customHeight="1" x14ac:dyDescent="0.25">
      <c r="A4" s="45" t="s">
        <v>53</v>
      </c>
      <c r="B4" s="45"/>
      <c r="C4" s="45"/>
      <c r="D4" s="45"/>
      <c r="E4" s="45"/>
      <c r="F4" s="45"/>
      <c r="G4" s="45"/>
    </row>
    <row r="5" spans="1:7" ht="24" x14ac:dyDescent="0.25">
      <c r="A5" s="25" t="s">
        <v>15</v>
      </c>
      <c r="B5" s="44" t="s">
        <v>161</v>
      </c>
      <c r="C5" s="44"/>
      <c r="D5" s="44"/>
      <c r="E5" s="44"/>
      <c r="F5" s="44"/>
      <c r="G5" s="44"/>
    </row>
    <row r="6" spans="1:7" x14ac:dyDescent="0.25">
      <c r="A6" s="7"/>
      <c r="B6" s="45" t="s">
        <v>46</v>
      </c>
      <c r="C6" s="45"/>
      <c r="D6" s="45"/>
      <c r="E6" s="45"/>
      <c r="F6" s="45"/>
      <c r="G6" s="45"/>
    </row>
    <row r="7" spans="1:7" ht="33.75" customHeight="1" x14ac:dyDescent="0.25">
      <c r="A7" s="7"/>
      <c r="B7" s="50" t="s">
        <v>58</v>
      </c>
      <c r="C7" s="50"/>
      <c r="D7" s="50" t="s">
        <v>57</v>
      </c>
      <c r="E7" s="50"/>
      <c r="F7" s="50" t="s">
        <v>60</v>
      </c>
      <c r="G7" s="50"/>
    </row>
    <row r="8" spans="1:7" x14ac:dyDescent="0.25">
      <c r="A8" s="7"/>
      <c r="B8" s="1" t="s">
        <v>12</v>
      </c>
      <c r="C8" s="1" t="s">
        <v>11</v>
      </c>
      <c r="D8" s="1" t="s">
        <v>12</v>
      </c>
      <c r="E8" s="1" t="s">
        <v>11</v>
      </c>
      <c r="F8" s="1" t="s">
        <v>12</v>
      </c>
      <c r="G8" s="1" t="s">
        <v>11</v>
      </c>
    </row>
    <row r="9" spans="1:7" x14ac:dyDescent="0.25">
      <c r="A9" s="5" t="s">
        <v>8</v>
      </c>
      <c r="B9" s="5"/>
      <c r="D9" s="5"/>
      <c r="F9" s="5"/>
    </row>
    <row r="10" spans="1:7" x14ac:dyDescent="0.25">
      <c r="A10" s="2" t="s">
        <v>7</v>
      </c>
      <c r="B10" s="54" t="s">
        <v>5</v>
      </c>
      <c r="C10" s="54"/>
      <c r="D10" s="54" t="s">
        <v>5</v>
      </c>
      <c r="E10" s="54"/>
      <c r="F10" s="54" t="s">
        <v>5</v>
      </c>
      <c r="G10" s="54"/>
    </row>
    <row r="11" spans="1:7" ht="30" x14ac:dyDescent="0.25">
      <c r="A11" s="2" t="s">
        <v>54</v>
      </c>
      <c r="B11" s="57" t="s">
        <v>4</v>
      </c>
      <c r="C11" s="57"/>
      <c r="D11" s="57" t="s">
        <v>4</v>
      </c>
      <c r="E11" s="57"/>
      <c r="F11" s="57" t="s">
        <v>4</v>
      </c>
      <c r="G11" s="57"/>
    </row>
    <row r="12" spans="1:7" x14ac:dyDescent="0.25">
      <c r="A12" s="2" t="s">
        <v>14</v>
      </c>
      <c r="B12" s="20">
        <v>7200</v>
      </c>
      <c r="C12" s="20">
        <v>7200</v>
      </c>
      <c r="D12" s="20">
        <v>7200</v>
      </c>
      <c r="E12" s="20">
        <v>7200</v>
      </c>
      <c r="F12" s="20">
        <v>7200</v>
      </c>
      <c r="G12" s="20">
        <v>7200</v>
      </c>
    </row>
    <row r="13" spans="1:7" ht="30" x14ac:dyDescent="0.25">
      <c r="A13" s="2" t="s">
        <v>16</v>
      </c>
      <c r="B13" s="21" t="s">
        <v>56</v>
      </c>
      <c r="C13" s="21" t="s">
        <v>56</v>
      </c>
      <c r="D13" s="21" t="s">
        <v>56</v>
      </c>
      <c r="E13" s="21" t="s">
        <v>56</v>
      </c>
      <c r="F13" s="21" t="s">
        <v>56</v>
      </c>
      <c r="G13" s="21" t="s">
        <v>56</v>
      </c>
    </row>
    <row r="14" spans="1:7" ht="45" x14ac:dyDescent="0.25">
      <c r="A14" s="2" t="s">
        <v>55</v>
      </c>
      <c r="B14" s="20">
        <v>4608</v>
      </c>
      <c r="C14" s="20">
        <v>4608</v>
      </c>
      <c r="D14" s="20">
        <v>4608</v>
      </c>
      <c r="E14" s="20">
        <v>4608</v>
      </c>
      <c r="F14" s="20">
        <v>4608</v>
      </c>
      <c r="G14" s="20">
        <v>4608</v>
      </c>
    </row>
    <row r="16" spans="1:7" x14ac:dyDescent="0.25">
      <c r="A16" s="11" t="s">
        <v>2</v>
      </c>
      <c r="B16" s="13"/>
      <c r="C16" s="13"/>
      <c r="D16" s="13"/>
      <c r="E16" s="13"/>
      <c r="F16" s="13"/>
      <c r="G16" s="13"/>
    </row>
    <row r="17" spans="1:8" x14ac:dyDescent="0.25">
      <c r="A17" s="2" t="s">
        <v>177</v>
      </c>
      <c r="B17" s="12">
        <v>250000</v>
      </c>
      <c r="C17" s="12">
        <v>400000</v>
      </c>
      <c r="D17" s="21" t="s">
        <v>56</v>
      </c>
      <c r="E17" s="21" t="s">
        <v>56</v>
      </c>
      <c r="F17" s="21" t="s">
        <v>56</v>
      </c>
      <c r="G17" s="21" t="s">
        <v>56</v>
      </c>
    </row>
    <row r="18" spans="1:8" ht="30" x14ac:dyDescent="0.25">
      <c r="A18" s="2" t="s">
        <v>178</v>
      </c>
      <c r="B18" s="12">
        <v>15000</v>
      </c>
      <c r="C18" s="12">
        <v>70000</v>
      </c>
      <c r="D18" s="21" t="s">
        <v>56</v>
      </c>
      <c r="E18" s="21" t="s">
        <v>56</v>
      </c>
      <c r="F18" s="21" t="s">
        <v>56</v>
      </c>
      <c r="G18" s="21" t="s">
        <v>56</v>
      </c>
      <c r="H18" s="26"/>
    </row>
    <row r="19" spans="1:8" x14ac:dyDescent="0.25">
      <c r="A19" s="8"/>
      <c r="B19" s="19"/>
      <c r="C19" s="19"/>
      <c r="D19" s="19"/>
      <c r="E19" s="19"/>
      <c r="F19" s="19"/>
      <c r="G19" s="19"/>
    </row>
    <row r="20" spans="1:8" x14ac:dyDescent="0.25">
      <c r="A20" s="11" t="s">
        <v>3</v>
      </c>
    </row>
    <row r="21" spans="1:8" ht="30" x14ac:dyDescent="0.25">
      <c r="A21" s="2" t="s">
        <v>49</v>
      </c>
      <c r="B21" s="12">
        <v>12000</v>
      </c>
      <c r="C21" s="12">
        <v>17000</v>
      </c>
      <c r="D21" s="21" t="s">
        <v>56</v>
      </c>
      <c r="E21" s="21" t="s">
        <v>56</v>
      </c>
      <c r="F21" s="21" t="s">
        <v>56</v>
      </c>
      <c r="G21" s="21" t="s">
        <v>56</v>
      </c>
    </row>
    <row r="22" spans="1:8" x14ac:dyDescent="0.25">
      <c r="A22" s="3"/>
      <c r="B22" s="14"/>
      <c r="C22" s="14"/>
      <c r="D22" s="14"/>
      <c r="E22" s="14"/>
      <c r="F22" s="14"/>
      <c r="G22" s="14"/>
    </row>
    <row r="23" spans="1:8" x14ac:dyDescent="0.25">
      <c r="A23" s="11" t="s">
        <v>1</v>
      </c>
      <c r="B23" s="13"/>
      <c r="C23" s="13"/>
      <c r="D23" s="13"/>
      <c r="E23" s="13"/>
      <c r="F23" s="13"/>
      <c r="G23" s="13"/>
    </row>
    <row r="24" spans="1:8" ht="60" x14ac:dyDescent="0.25">
      <c r="A24" s="30" t="s">
        <v>85</v>
      </c>
      <c r="B24" s="31"/>
      <c r="C24" s="31"/>
      <c r="D24" s="15">
        <v>15000</v>
      </c>
      <c r="E24" s="15">
        <v>25000</v>
      </c>
      <c r="F24" s="21"/>
      <c r="G24" s="21"/>
      <c r="H24" s="27"/>
    </row>
    <row r="25" spans="1:8" ht="60" x14ac:dyDescent="0.25">
      <c r="A25" s="30" t="s">
        <v>79</v>
      </c>
      <c r="B25" s="66" t="s">
        <v>72</v>
      </c>
      <c r="C25" s="67"/>
      <c r="D25" s="15">
        <v>0</v>
      </c>
      <c r="E25" s="15">
        <v>65000</v>
      </c>
      <c r="F25" s="21" t="s">
        <v>56</v>
      </c>
      <c r="G25" s="21" t="s">
        <v>56</v>
      </c>
      <c r="H25" s="27"/>
    </row>
    <row r="26" spans="1:8" ht="45" x14ac:dyDescent="0.25">
      <c r="A26" s="2" t="s">
        <v>86</v>
      </c>
      <c r="B26" s="15">
        <v>4000</v>
      </c>
      <c r="C26" s="15">
        <v>15000</v>
      </c>
      <c r="D26" s="21" t="s">
        <v>56</v>
      </c>
      <c r="E26" s="21" t="s">
        <v>56</v>
      </c>
      <c r="F26" s="21" t="s">
        <v>56</v>
      </c>
      <c r="G26" s="21" t="s">
        <v>56</v>
      </c>
    </row>
    <row r="27" spans="1:8" x14ac:dyDescent="0.25">
      <c r="A27" s="3"/>
      <c r="B27" s="13"/>
      <c r="C27" s="13"/>
      <c r="D27" s="13"/>
      <c r="E27" s="13"/>
      <c r="F27" s="13"/>
      <c r="G27" s="13"/>
    </row>
    <row r="28" spans="1:8" x14ac:dyDescent="0.25">
      <c r="A28" s="11" t="s">
        <v>0</v>
      </c>
      <c r="B28" s="13"/>
      <c r="C28" s="13"/>
      <c r="D28" s="13"/>
      <c r="E28" s="13"/>
      <c r="F28" s="13"/>
      <c r="G28" s="13"/>
    </row>
    <row r="29" spans="1:8" x14ac:dyDescent="0.25">
      <c r="A29" s="22" t="s">
        <v>51</v>
      </c>
      <c r="B29" s="23"/>
      <c r="C29" s="24"/>
      <c r="D29" s="23"/>
      <c r="E29" s="24"/>
      <c r="F29" s="23"/>
      <c r="G29" s="24"/>
    </row>
    <row r="30" spans="1:8" x14ac:dyDescent="0.25">
      <c r="A30" s="2" t="s">
        <v>47</v>
      </c>
      <c r="B30" s="21" t="s">
        <v>56</v>
      </c>
      <c r="C30" s="21" t="s">
        <v>56</v>
      </c>
      <c r="D30" s="15">
        <v>10000</v>
      </c>
      <c r="E30" s="21" t="s">
        <v>56</v>
      </c>
      <c r="F30" s="21" t="s">
        <v>56</v>
      </c>
      <c r="G30" s="21" t="s">
        <v>56</v>
      </c>
    </row>
    <row r="31" spans="1:8" ht="30" x14ac:dyDescent="0.25">
      <c r="A31" s="2" t="s">
        <v>48</v>
      </c>
      <c r="B31" s="21" t="s">
        <v>56</v>
      </c>
      <c r="C31" s="21" t="s">
        <v>56</v>
      </c>
      <c r="D31" s="21" t="s">
        <v>56</v>
      </c>
      <c r="E31" s="15">
        <v>30000</v>
      </c>
      <c r="F31" s="21" t="s">
        <v>56</v>
      </c>
      <c r="G31" s="21" t="s">
        <v>56</v>
      </c>
    </row>
    <row r="32" spans="1:8" x14ac:dyDescent="0.25">
      <c r="A32" s="14"/>
      <c r="B32" s="14"/>
      <c r="C32" s="14"/>
      <c r="D32" s="14"/>
      <c r="E32" s="14"/>
      <c r="F32" s="14"/>
      <c r="G32" s="14"/>
    </row>
    <row r="33" spans="1:7" x14ac:dyDescent="0.25">
      <c r="A33" s="11" t="s">
        <v>59</v>
      </c>
      <c r="B33" s="14"/>
      <c r="C33" s="14"/>
      <c r="D33" s="14"/>
      <c r="E33" s="14"/>
      <c r="F33" s="14"/>
      <c r="G33" s="14"/>
    </row>
    <row r="34" spans="1:7" ht="60" x14ac:dyDescent="0.25">
      <c r="A34" s="48" t="s">
        <v>179</v>
      </c>
      <c r="B34" s="21" t="s">
        <v>56</v>
      </c>
      <c r="C34" s="21" t="s">
        <v>56</v>
      </c>
      <c r="D34" s="33" t="s">
        <v>91</v>
      </c>
      <c r="E34" s="33" t="s">
        <v>91</v>
      </c>
      <c r="F34" s="60" t="s">
        <v>61</v>
      </c>
      <c r="G34" s="61"/>
    </row>
    <row r="35" spans="1:7" ht="45" x14ac:dyDescent="0.25">
      <c r="A35" s="48" t="s">
        <v>180</v>
      </c>
      <c r="B35" s="21" t="s">
        <v>56</v>
      </c>
      <c r="C35" s="21" t="s">
        <v>56</v>
      </c>
      <c r="D35" s="33" t="s">
        <v>91</v>
      </c>
      <c r="E35" s="33" t="s">
        <v>91</v>
      </c>
      <c r="F35" s="62"/>
      <c r="G35" s="63"/>
    </row>
    <row r="36" spans="1:7" x14ac:dyDescent="0.25">
      <c r="A36" s="4"/>
      <c r="B36" s="4"/>
      <c r="D36" s="4"/>
      <c r="F36" s="4"/>
    </row>
    <row r="37" spans="1:7" x14ac:dyDescent="0.25">
      <c r="A37" s="11" t="s">
        <v>50</v>
      </c>
      <c r="B37" s="4"/>
      <c r="D37" s="4"/>
      <c r="F37" s="4"/>
    </row>
    <row r="38" spans="1:7" x14ac:dyDescent="0.25">
      <c r="A38" s="46" t="s">
        <v>181</v>
      </c>
      <c r="B38" s="47">
        <f t="shared" ref="B38:G38" si="0">SUM(B12:B13,B17,B24:B26,B30:B31)</f>
        <v>261200</v>
      </c>
      <c r="C38" s="47">
        <f t="shared" si="0"/>
        <v>422200</v>
      </c>
      <c r="D38" s="47">
        <f>SUM(D12:D13,D17,D24:D26,D30:D31)</f>
        <v>32200</v>
      </c>
      <c r="E38" s="47">
        <f t="shared" ref="E38" si="1">SUM(E12:E13,E17,E24:E26,E30:E31)</f>
        <v>127200</v>
      </c>
      <c r="F38" s="47">
        <f t="shared" si="0"/>
        <v>7200</v>
      </c>
      <c r="G38" s="47">
        <f t="shared" si="0"/>
        <v>7200</v>
      </c>
    </row>
    <row r="39" spans="1:7" x14ac:dyDescent="0.25">
      <c r="A39" s="46" t="s">
        <v>182</v>
      </c>
      <c r="B39" s="47">
        <f t="shared" ref="B39:C39" si="2">SUM(B14,B21,B18,B34:B35)</f>
        <v>31608</v>
      </c>
      <c r="C39" s="47">
        <f t="shared" si="2"/>
        <v>91608</v>
      </c>
      <c r="D39" s="47">
        <f>SUM(D14,D21,D18,D34:D35)</f>
        <v>4608</v>
      </c>
      <c r="E39" s="47">
        <f t="shared" ref="E39" si="3">SUM(E14,E21,E18,E34:E35)</f>
        <v>4608</v>
      </c>
      <c r="F39" s="64" t="s">
        <v>92</v>
      </c>
      <c r="G39" s="65"/>
    </row>
    <row r="40" spans="1:7" x14ac:dyDescent="0.25">
      <c r="A40" s="18" t="s">
        <v>183</v>
      </c>
      <c r="B40" s="17">
        <f>ROUND(B38,-3)</f>
        <v>261000</v>
      </c>
      <c r="C40" s="17">
        <f t="shared" ref="C40:E40" si="4">ROUND(C38,-3)</f>
        <v>422000</v>
      </c>
      <c r="D40" s="17">
        <f t="shared" si="4"/>
        <v>32000</v>
      </c>
      <c r="E40" s="17">
        <f t="shared" si="4"/>
        <v>127000</v>
      </c>
      <c r="F40" s="17">
        <f t="shared" ref="F40:G40" si="5">ROUND(F38,-3)</f>
        <v>7000</v>
      </c>
      <c r="G40" s="17">
        <f t="shared" si="5"/>
        <v>7000</v>
      </c>
    </row>
    <row r="41" spans="1:7" x14ac:dyDescent="0.25">
      <c r="A41" s="18" t="s">
        <v>184</v>
      </c>
      <c r="B41" s="17">
        <f>ROUND(B39,-3)</f>
        <v>32000</v>
      </c>
      <c r="C41" s="17">
        <f t="shared" ref="C41:E41" si="6">ROUND(C39,-3)</f>
        <v>92000</v>
      </c>
      <c r="D41" s="17">
        <f t="shared" si="6"/>
        <v>5000</v>
      </c>
      <c r="E41" s="17">
        <f t="shared" si="6"/>
        <v>5000</v>
      </c>
      <c r="F41" s="58" t="s">
        <v>92</v>
      </c>
      <c r="G41" s="59"/>
    </row>
  </sheetData>
  <mergeCells count="13">
    <mergeCell ref="F41:G41"/>
    <mergeCell ref="F34:G35"/>
    <mergeCell ref="F39:G39"/>
    <mergeCell ref="B25:C25"/>
    <mergeCell ref="D10:E10"/>
    <mergeCell ref="D11:E11"/>
    <mergeCell ref="B7:C7"/>
    <mergeCell ref="B10:C10"/>
    <mergeCell ref="B11:C11"/>
    <mergeCell ref="F10:G10"/>
    <mergeCell ref="F11:G11"/>
    <mergeCell ref="F7:G7"/>
    <mergeCell ref="D7:E7"/>
  </mergeCells>
  <pageMargins left="0.7" right="0.7" top="0.75" bottom="0.75" header="0.3" footer="0.3"/>
  <pageSetup scale="65"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6"/>
  <sheetViews>
    <sheetView workbookViewId="0">
      <selection activeCell="B37" sqref="B37"/>
    </sheetView>
  </sheetViews>
  <sheetFormatPr defaultRowHeight="15" x14ac:dyDescent="0.25"/>
  <sheetData>
    <row r="1" spans="1:3" x14ac:dyDescent="0.25">
      <c r="A1" s="5" t="s">
        <v>73</v>
      </c>
    </row>
    <row r="3" spans="1:3" x14ac:dyDescent="0.25">
      <c r="A3" s="5" t="s">
        <v>13</v>
      </c>
    </row>
    <row r="5" spans="1:3" x14ac:dyDescent="0.25">
      <c r="A5" t="s">
        <v>12</v>
      </c>
      <c r="B5" t="s">
        <v>11</v>
      </c>
    </row>
    <row r="6" spans="1:3" x14ac:dyDescent="0.25">
      <c r="A6" s="6">
        <v>300000</v>
      </c>
      <c r="B6" s="6">
        <v>300000</v>
      </c>
      <c r="C6" t="s">
        <v>10</v>
      </c>
    </row>
    <row r="7" spans="1:3" x14ac:dyDescent="0.25">
      <c r="A7" s="6">
        <v>14000</v>
      </c>
      <c r="B7" s="6">
        <v>16000</v>
      </c>
      <c r="C7" t="s">
        <v>9</v>
      </c>
    </row>
    <row r="8" spans="1:3" x14ac:dyDescent="0.25">
      <c r="A8" s="6">
        <v>40000</v>
      </c>
      <c r="B8" s="6">
        <v>70000</v>
      </c>
      <c r="C8" t="s">
        <v>88</v>
      </c>
    </row>
    <row r="9" spans="1:3" x14ac:dyDescent="0.25">
      <c r="A9" s="6">
        <v>15000</v>
      </c>
      <c r="B9" s="6">
        <f>B8</f>
        <v>70000</v>
      </c>
      <c r="C9" s="32" t="s">
        <v>89</v>
      </c>
    </row>
    <row r="10" spans="1:3" x14ac:dyDescent="0.25">
      <c r="A10" s="6"/>
      <c r="B10" s="6"/>
    </row>
    <row r="11" spans="1:3" x14ac:dyDescent="0.25">
      <c r="A11" s="6">
        <v>12000</v>
      </c>
      <c r="B11" s="6">
        <v>12000</v>
      </c>
      <c r="C11" t="s">
        <v>17</v>
      </c>
    </row>
    <row r="12" spans="1:3" x14ac:dyDescent="0.25">
      <c r="A12" s="6">
        <v>8000</v>
      </c>
      <c r="B12" s="6">
        <v>10000</v>
      </c>
      <c r="C12" t="s">
        <v>18</v>
      </c>
    </row>
    <row r="15" spans="1:3" x14ac:dyDescent="0.25">
      <c r="A15" s="5" t="s">
        <v>74</v>
      </c>
    </row>
    <row r="16" spans="1:3" x14ac:dyDescent="0.25">
      <c r="A16" t="s">
        <v>75</v>
      </c>
    </row>
    <row r="18" spans="1:3" x14ac:dyDescent="0.25">
      <c r="A18" s="5" t="s">
        <v>125</v>
      </c>
    </row>
    <row r="19" spans="1:3" x14ac:dyDescent="0.25">
      <c r="A19" s="39">
        <v>0</v>
      </c>
      <c r="B19" t="s">
        <v>126</v>
      </c>
      <c r="C19" t="s">
        <v>128</v>
      </c>
    </row>
    <row r="20" spans="1:3" x14ac:dyDescent="0.25">
      <c r="A20" s="39">
        <v>17000</v>
      </c>
      <c r="B20" t="s">
        <v>126</v>
      </c>
      <c r="C20" t="s">
        <v>127</v>
      </c>
    </row>
    <row r="21" spans="1:3" x14ac:dyDescent="0.25">
      <c r="A21" s="39"/>
    </row>
    <row r="22" spans="1:3" x14ac:dyDescent="0.25">
      <c r="A22" s="5" t="s">
        <v>139</v>
      </c>
    </row>
    <row r="23" spans="1:3" x14ac:dyDescent="0.25">
      <c r="A23" t="s">
        <v>120</v>
      </c>
    </row>
    <row r="24" spans="1:3" x14ac:dyDescent="0.25">
      <c r="A24" t="s">
        <v>119</v>
      </c>
    </row>
    <row r="25" spans="1:3" x14ac:dyDescent="0.25">
      <c r="A25" t="s">
        <v>121</v>
      </c>
    </row>
    <row r="26" spans="1:3" x14ac:dyDescent="0.25">
      <c r="A26" t="s">
        <v>122</v>
      </c>
    </row>
    <row r="28" spans="1:3" x14ac:dyDescent="0.25">
      <c r="A28" t="s">
        <v>123</v>
      </c>
    </row>
    <row r="29" spans="1:3" x14ac:dyDescent="0.25">
      <c r="A29" t="s">
        <v>124</v>
      </c>
    </row>
    <row r="31" spans="1:3" x14ac:dyDescent="0.25">
      <c r="A31" s="5" t="s">
        <v>140</v>
      </c>
    </row>
    <row r="32" spans="1:3" x14ac:dyDescent="0.25">
      <c r="A32" t="s">
        <v>12</v>
      </c>
      <c r="B32" t="s">
        <v>11</v>
      </c>
    </row>
    <row r="33" spans="1:3" x14ac:dyDescent="0.25">
      <c r="A33" s="43">
        <v>350000</v>
      </c>
      <c r="B33" s="43">
        <v>550000</v>
      </c>
      <c r="C33" t="s">
        <v>153</v>
      </c>
    </row>
    <row r="34" spans="1:3" x14ac:dyDescent="0.25">
      <c r="A34" s="43">
        <f>A33*0.1</f>
        <v>35000</v>
      </c>
      <c r="B34" s="43">
        <f>B33*0.1</f>
        <v>55000</v>
      </c>
      <c r="C34" t="s">
        <v>144</v>
      </c>
    </row>
    <row r="35" spans="1:3" x14ac:dyDescent="0.25">
      <c r="A35" s="43">
        <v>5000</v>
      </c>
      <c r="B35" s="43">
        <v>5000</v>
      </c>
      <c r="C35" t="s">
        <v>152</v>
      </c>
    </row>
    <row r="36" spans="1:3" x14ac:dyDescent="0.25">
      <c r="A36" s="10">
        <f>A33+A35</f>
        <v>355000</v>
      </c>
      <c r="B36" s="10">
        <f>SUM(B33:B35)</f>
        <v>610000</v>
      </c>
      <c r="C36" t="s">
        <v>145</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A30" sqref="A30"/>
    </sheetView>
  </sheetViews>
  <sheetFormatPr defaultRowHeight="15" x14ac:dyDescent="0.25"/>
  <cols>
    <col min="1" max="2" width="10.42578125" customWidth="1"/>
    <col min="3" max="3" width="12.28515625" customWidth="1"/>
  </cols>
  <sheetData>
    <row r="1" spans="1:4" x14ac:dyDescent="0.25">
      <c r="A1" s="5" t="s">
        <v>93</v>
      </c>
    </row>
    <row r="3" spans="1:4" x14ac:dyDescent="0.25">
      <c r="A3" s="5" t="s">
        <v>20</v>
      </c>
    </row>
    <row r="5" spans="1:4" x14ac:dyDescent="0.25">
      <c r="A5" t="s">
        <v>21</v>
      </c>
    </row>
    <row r="6" spans="1:4" x14ac:dyDescent="0.25">
      <c r="A6" t="s">
        <v>22</v>
      </c>
    </row>
    <row r="7" spans="1:4" x14ac:dyDescent="0.25">
      <c r="B7" t="s">
        <v>23</v>
      </c>
    </row>
    <row r="8" spans="1:4" x14ac:dyDescent="0.25">
      <c r="B8" t="s">
        <v>24</v>
      </c>
    </row>
    <row r="9" spans="1:4" x14ac:dyDescent="0.25">
      <c r="B9" t="s">
        <v>25</v>
      </c>
    </row>
    <row r="10" spans="1:4" x14ac:dyDescent="0.25">
      <c r="B10" t="s">
        <v>26</v>
      </c>
    </row>
    <row r="11" spans="1:4" x14ac:dyDescent="0.25">
      <c r="B11" t="s">
        <v>27</v>
      </c>
    </row>
    <row r="14" spans="1:4" x14ac:dyDescent="0.25">
      <c r="A14" t="s">
        <v>28</v>
      </c>
    </row>
    <row r="15" spans="1:4" x14ac:dyDescent="0.25">
      <c r="B15" t="s">
        <v>35</v>
      </c>
      <c r="C15" t="s">
        <v>29</v>
      </c>
      <c r="D15" t="s">
        <v>33</v>
      </c>
    </row>
    <row r="16" spans="1:4" x14ac:dyDescent="0.25">
      <c r="B16" t="s">
        <v>36</v>
      </c>
      <c r="C16" t="s">
        <v>30</v>
      </c>
      <c r="D16" t="s">
        <v>34</v>
      </c>
    </row>
    <row r="17" spans="1:4" x14ac:dyDescent="0.25">
      <c r="B17" t="s">
        <v>37</v>
      </c>
      <c r="C17" t="s">
        <v>31</v>
      </c>
      <c r="D17" t="s">
        <v>32</v>
      </c>
    </row>
    <row r="19" spans="1:4" x14ac:dyDescent="0.25">
      <c r="A19" t="s">
        <v>38</v>
      </c>
    </row>
    <row r="20" spans="1:4" x14ac:dyDescent="0.25">
      <c r="A20" t="s">
        <v>39</v>
      </c>
    </row>
    <row r="21" spans="1:4" x14ac:dyDescent="0.25">
      <c r="A21" t="s">
        <v>40</v>
      </c>
    </row>
    <row r="22" spans="1:4" x14ac:dyDescent="0.25">
      <c r="A22" s="9" t="s">
        <v>19</v>
      </c>
    </row>
    <row r="23" spans="1:4" x14ac:dyDescent="0.25">
      <c r="A23" s="9"/>
    </row>
    <row r="24" spans="1:4" x14ac:dyDescent="0.25">
      <c r="A24" t="s">
        <v>41</v>
      </c>
    </row>
    <row r="25" spans="1:4" x14ac:dyDescent="0.25">
      <c r="A25" s="10">
        <v>10000</v>
      </c>
      <c r="B25" t="s">
        <v>12</v>
      </c>
      <c r="C25" t="s">
        <v>42</v>
      </c>
    </row>
    <row r="26" spans="1:4" x14ac:dyDescent="0.25">
      <c r="A26" s="10">
        <v>30000</v>
      </c>
      <c r="B26" t="s">
        <v>11</v>
      </c>
      <c r="C26" t="s">
        <v>43</v>
      </c>
    </row>
    <row r="29" spans="1:4" x14ac:dyDescent="0.25">
      <c r="A29" t="s">
        <v>99</v>
      </c>
    </row>
  </sheetData>
  <hyperlinks>
    <hyperlink ref="A22"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1" sqref="A31"/>
    </sheetView>
  </sheetViews>
  <sheetFormatPr defaultRowHeight="15" x14ac:dyDescent="0.25"/>
  <cols>
    <col min="1" max="1" width="146" customWidth="1"/>
  </cols>
  <sheetData>
    <row r="1" spans="1:1" x14ac:dyDescent="0.25">
      <c r="A1" s="5" t="s">
        <v>94</v>
      </c>
    </row>
    <row r="3" spans="1:1" x14ac:dyDescent="0.25">
      <c r="A3" s="5" t="s">
        <v>62</v>
      </c>
    </row>
    <row r="4" spans="1:1" x14ac:dyDescent="0.25">
      <c r="A4" t="s">
        <v>63</v>
      </c>
    </row>
    <row r="6" spans="1:1" x14ac:dyDescent="0.25">
      <c r="A6" t="s">
        <v>64</v>
      </c>
    </row>
    <row r="7" spans="1:1" x14ac:dyDescent="0.25">
      <c r="A7" t="s">
        <v>68</v>
      </c>
    </row>
    <row r="9" spans="1:1" x14ac:dyDescent="0.25">
      <c r="A9" t="s">
        <v>65</v>
      </c>
    </row>
    <row r="11" spans="1:1" x14ac:dyDescent="0.25">
      <c r="A11" t="s">
        <v>66</v>
      </c>
    </row>
    <row r="12" spans="1:1" x14ac:dyDescent="0.25">
      <c r="A12" t="s">
        <v>67</v>
      </c>
    </row>
    <row r="13" spans="1:1" x14ac:dyDescent="0.25">
      <c r="A13" t="s">
        <v>69</v>
      </c>
    </row>
    <row r="15" spans="1:1" x14ac:dyDescent="0.25">
      <c r="A15" t="s">
        <v>70</v>
      </c>
    </row>
    <row r="16" spans="1:1" x14ac:dyDescent="0.25">
      <c r="A16" t="s">
        <v>71</v>
      </c>
    </row>
    <row r="18" spans="1:1" x14ac:dyDescent="0.25">
      <c r="A18" s="5" t="s">
        <v>80</v>
      </c>
    </row>
    <row r="19" spans="1:1" x14ac:dyDescent="0.25">
      <c r="A19" t="s">
        <v>81</v>
      </c>
    </row>
    <row r="21" spans="1:1" ht="45" x14ac:dyDescent="0.25">
      <c r="A21" s="26" t="s">
        <v>87</v>
      </c>
    </row>
    <row r="22" spans="1:1" ht="30" x14ac:dyDescent="0.25">
      <c r="A22" s="26" t="s">
        <v>82</v>
      </c>
    </row>
    <row r="23" spans="1:1" ht="45" x14ac:dyDescent="0.25">
      <c r="A23" s="26" t="s">
        <v>84</v>
      </c>
    </row>
    <row r="24" spans="1:1" ht="30" x14ac:dyDescent="0.25">
      <c r="A24" s="26" t="s">
        <v>83</v>
      </c>
    </row>
    <row r="26" spans="1:1" x14ac:dyDescent="0.25">
      <c r="A26" s="5" t="s">
        <v>102</v>
      </c>
    </row>
    <row r="27" spans="1:1" x14ac:dyDescent="0.25">
      <c r="A27" t="s">
        <v>117</v>
      </c>
    </row>
    <row r="29" spans="1:1" x14ac:dyDescent="0.25">
      <c r="A29" s="5" t="s">
        <v>146</v>
      </c>
    </row>
    <row r="30" spans="1:1" x14ac:dyDescent="0.25">
      <c r="A30" t="s">
        <v>147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heetViews>
  <sheetFormatPr defaultRowHeight="15" x14ac:dyDescent="0.25"/>
  <cols>
    <col min="1" max="2" width="11.5703125" bestFit="1" customWidth="1"/>
  </cols>
  <sheetData>
    <row r="1" spans="1:3" x14ac:dyDescent="0.25">
      <c r="A1" s="5" t="s">
        <v>101</v>
      </c>
    </row>
    <row r="4" spans="1:3" x14ac:dyDescent="0.25">
      <c r="A4" s="5" t="s">
        <v>102</v>
      </c>
    </row>
    <row r="5" spans="1:3" x14ac:dyDescent="0.25">
      <c r="A5" s="36" t="s">
        <v>12</v>
      </c>
      <c r="B5" s="36" t="s">
        <v>11</v>
      </c>
    </row>
    <row r="6" spans="1:3" x14ac:dyDescent="0.25">
      <c r="A6" s="35">
        <v>25000</v>
      </c>
      <c r="B6" s="35">
        <v>50000</v>
      </c>
      <c r="C6" t="s">
        <v>100</v>
      </c>
    </row>
    <row r="9" spans="1:3" x14ac:dyDescent="0.25">
      <c r="A9" s="5" t="s">
        <v>116</v>
      </c>
    </row>
    <row r="10" spans="1:3" x14ac:dyDescent="0.25">
      <c r="A10" s="35">
        <v>100000</v>
      </c>
      <c r="C10" t="s">
        <v>103</v>
      </c>
    </row>
    <row r="12" spans="1:3" x14ac:dyDescent="0.25">
      <c r="A12" s="5" t="s">
        <v>104</v>
      </c>
    </row>
    <row r="13" spans="1:3" x14ac:dyDescent="0.25">
      <c r="A13" s="9" t="s">
        <v>105</v>
      </c>
    </row>
    <row r="14" spans="1:3" x14ac:dyDescent="0.25">
      <c r="A14" s="6">
        <v>0</v>
      </c>
      <c r="B14" t="s">
        <v>115</v>
      </c>
    </row>
    <row r="15" spans="1:3" x14ac:dyDescent="0.25">
      <c r="A15" s="6">
        <v>7910</v>
      </c>
      <c r="B15" t="s">
        <v>106</v>
      </c>
    </row>
    <row r="16" spans="1:3" x14ac:dyDescent="0.25">
      <c r="A16" s="38">
        <v>59.81</v>
      </c>
      <c r="B16" t="s">
        <v>107</v>
      </c>
    </row>
    <row r="17" spans="1:3" x14ac:dyDescent="0.25">
      <c r="A17" s="38" t="s">
        <v>12</v>
      </c>
      <c r="B17" t="s">
        <v>11</v>
      </c>
    </row>
    <row r="18" spans="1:3" x14ac:dyDescent="0.25">
      <c r="A18">
        <v>40</v>
      </c>
      <c r="B18">
        <v>60</v>
      </c>
      <c r="C18" t="s">
        <v>109</v>
      </c>
    </row>
    <row r="19" spans="1:3" x14ac:dyDescent="0.25">
      <c r="A19" s="6">
        <f>A18*$A16</f>
        <v>2392.4</v>
      </c>
      <c r="B19" s="6">
        <f>B18*$A16</f>
        <v>3588.6000000000004</v>
      </c>
      <c r="C19" t="s">
        <v>110</v>
      </c>
    </row>
    <row r="20" spans="1:3" x14ac:dyDescent="0.25">
      <c r="A20" s="6">
        <f>ROUND(A19,-2)</f>
        <v>2400</v>
      </c>
      <c r="B20" s="6">
        <f>ROUND(B19,-2)</f>
        <v>3600</v>
      </c>
      <c r="C20" t="s">
        <v>112</v>
      </c>
    </row>
    <row r="21" spans="1:3" x14ac:dyDescent="0.25">
      <c r="A21" s="6">
        <f>$A15+A20</f>
        <v>10310</v>
      </c>
      <c r="B21" s="6">
        <f>$A15+B20</f>
        <v>11510</v>
      </c>
      <c r="C21" t="s">
        <v>111</v>
      </c>
    </row>
    <row r="22" spans="1:3" x14ac:dyDescent="0.25">
      <c r="A22" s="6"/>
      <c r="B22" s="6"/>
    </row>
    <row r="24" spans="1:3" x14ac:dyDescent="0.25">
      <c r="A24" s="5" t="s">
        <v>89</v>
      </c>
    </row>
    <row r="25" spans="1:3" x14ac:dyDescent="0.25">
      <c r="A25" t="s">
        <v>12</v>
      </c>
      <c r="B25" t="s">
        <v>11</v>
      </c>
    </row>
    <row r="26" spans="1:3" x14ac:dyDescent="0.25">
      <c r="A26" s="37">
        <f>SUM(A6:A6)</f>
        <v>25000</v>
      </c>
      <c r="B26" s="37">
        <f>A10</f>
        <v>100000</v>
      </c>
      <c r="C26" t="s">
        <v>113</v>
      </c>
    </row>
    <row r="27" spans="1:3" x14ac:dyDescent="0.25">
      <c r="A27" s="6">
        <f>A21</f>
        <v>10310</v>
      </c>
      <c r="B27" s="6">
        <f>B21</f>
        <v>11510</v>
      </c>
      <c r="C27" t="s">
        <v>114</v>
      </c>
    </row>
    <row r="29" spans="1:3" x14ac:dyDescent="0.25">
      <c r="A29" s="5" t="s">
        <v>135</v>
      </c>
    </row>
    <row r="30" spans="1:3" x14ac:dyDescent="0.25">
      <c r="A30" s="6">
        <v>500</v>
      </c>
      <c r="B30" t="s">
        <v>136</v>
      </c>
    </row>
    <row r="31" spans="1:3" x14ac:dyDescent="0.25">
      <c r="A31" s="6">
        <f>A15</f>
        <v>7910</v>
      </c>
      <c r="B31" t="s">
        <v>137</v>
      </c>
    </row>
    <row r="32" spans="1:3" x14ac:dyDescent="0.25">
      <c r="A32" s="6">
        <v>8500</v>
      </c>
      <c r="B32" t="s">
        <v>138</v>
      </c>
    </row>
    <row r="34" spans="1:3" x14ac:dyDescent="0.25">
      <c r="A34" s="43">
        <v>15000</v>
      </c>
      <c r="B34" s="43">
        <v>50000</v>
      </c>
      <c r="C34" t="s">
        <v>141</v>
      </c>
    </row>
    <row r="35" spans="1:3" x14ac:dyDescent="0.25">
      <c r="A35" s="43">
        <f>A34*0.1</f>
        <v>1500</v>
      </c>
      <c r="B35" s="43">
        <f>B34*0.1</f>
        <v>5000</v>
      </c>
      <c r="C35" t="s">
        <v>142</v>
      </c>
    </row>
    <row r="36" spans="1:3" x14ac:dyDescent="0.25">
      <c r="A36" s="10">
        <f>A34</f>
        <v>15000</v>
      </c>
      <c r="B36" s="10">
        <f>SUM(B34:B35)</f>
        <v>55000</v>
      </c>
      <c r="C36" t="s">
        <v>143</v>
      </c>
    </row>
  </sheetData>
  <hyperlinks>
    <hyperlink ref="A13"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A19" sqref="A19"/>
    </sheetView>
  </sheetViews>
  <sheetFormatPr defaultRowHeight="15" x14ac:dyDescent="0.25"/>
  <sheetData>
    <row r="1" spans="1:1" x14ac:dyDescent="0.25">
      <c r="A1" s="5" t="s">
        <v>162</v>
      </c>
    </row>
    <row r="3" spans="1:1" x14ac:dyDescent="0.25">
      <c r="A3" s="5" t="s">
        <v>163</v>
      </c>
    </row>
    <row r="4" spans="1:1" x14ac:dyDescent="0.25">
      <c r="A4" t="s">
        <v>164</v>
      </c>
    </row>
    <row r="6" spans="1:1" x14ac:dyDescent="0.25">
      <c r="A6" t="s">
        <v>165</v>
      </c>
    </row>
    <row r="7" spans="1:1" x14ac:dyDescent="0.25">
      <c r="A7" t="s">
        <v>166</v>
      </c>
    </row>
    <row r="8" spans="1:1" x14ac:dyDescent="0.25">
      <c r="A8" t="s">
        <v>167</v>
      </c>
    </row>
    <row r="11" spans="1:1" x14ac:dyDescent="0.25">
      <c r="A11" s="5" t="s">
        <v>168</v>
      </c>
    </row>
    <row r="12" spans="1:1" x14ac:dyDescent="0.25">
      <c r="A12" t="s">
        <v>169</v>
      </c>
    </row>
    <row r="13" spans="1:1" x14ac:dyDescent="0.25">
      <c r="A13" s="9"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sheetData>
  <hyperlinks>
    <hyperlink ref="A13" r:id="rId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pic xmlns="$ListId:docs;">B - Stakeholder Involvement</Topi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BCEEF682D8A148A4F17798E0326BA2" ma:contentTypeVersion="" ma:contentTypeDescription="Create a new document." ma:contentTypeScope="" ma:versionID="8caf1aedddcf0c1047a16dd4f655261a">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F6DC63-78A2-43B7-931B-2315BA70335A}">
  <ds:schemaRefs>
    <ds:schemaRef ds:uri="http://purl.org/dc/elements/1.1/"/>
    <ds:schemaRef ds:uri="http://www.w3.org/XML/1998/namespace"/>
    <ds:schemaRef ds:uri="http://schemas.microsoft.com/office/2006/metadata/properties"/>
    <ds:schemaRef ds:uri="$ListId:doc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BB77FC13-A4AE-497D-982B-59D2F4B93849}">
  <ds:schemaRefs>
    <ds:schemaRef ds:uri="http://schemas.microsoft.com/sharepoint/v3/contenttype/forms"/>
  </ds:schemaRefs>
</ds:datastoreItem>
</file>

<file path=customXml/itemProps3.xml><?xml version="1.0" encoding="utf-8"?>
<ds:datastoreItem xmlns:ds="http://schemas.openxmlformats.org/officeDocument/2006/customXml" ds:itemID="{97AC9916-97D6-48E3-8DA4-2628586E52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Bullseye cost</vt:lpstr>
      <vt:lpstr>Uroboros cost</vt:lpstr>
      <vt:lpstr>Tier1 cost</vt:lpstr>
      <vt:lpstr>baghouse</vt:lpstr>
      <vt:lpstr>modeling</vt:lpstr>
      <vt:lpstr>source testing</vt:lpstr>
      <vt:lpstr>Title V</vt:lpstr>
      <vt:lpstr>finance &amp; legal</vt:lpstr>
      <vt:lpstr>'Bullseye cost'!Print_Area</vt:lpstr>
      <vt:lpstr>'Bullseye cost'!Print_Titles</vt:lpstr>
      <vt:lpstr>'Uroboros cost'!Print_Titles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Impact Tables (Draft)</dc:title>
  <dc:creator/>
  <cp:lastModifiedBy/>
  <dcterms:created xsi:type="dcterms:W3CDTF">2006-09-16T00:00:00Z</dcterms:created>
  <dcterms:modified xsi:type="dcterms:W3CDTF">2016-06-07T19:05:59Z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0x0101005DBCEEF682D8A148A4F17798E0326BA2</vt:lpwstr>
  </property>
</Properties>
</file>