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deqhq1\Rule_Resources\TEMPLATES in folder system\1-Planning\ACTIVE\"/>
    </mc:Choice>
  </mc:AlternateContent>
  <bookViews>
    <workbookView xWindow="0" yWindow="0" windowWidth="25200" windowHeight="11385" tabRatio="579"/>
  </bookViews>
  <sheets>
    <sheet name="CodeName.ScheduleOfTasks" sheetId="94" r:id="rId1"/>
    <sheet name="GetStarted" sheetId="96" r:id="rId2"/>
    <sheet name="Lists.TableLookups" sheetId="84" r:id="rId3"/>
    <sheet name="HearingAndAdDates" sheetId="99" state="hidden" r:id="rId4"/>
    <sheet name="Documentation" sheetId="93" r:id="rId5"/>
    <sheet name="CodeName.Calendar" sheetId="102" state="hidden" r:id="rId6"/>
    <sheet name="ActivitySequence" sheetId="103" state="hidden" r:id="rId7"/>
  </sheets>
  <definedNames>
    <definedName name="_xlnm.Print_Area" localSheetId="5">CodeName.Calendar!$A$1:$BI$56</definedName>
    <definedName name="_xlnm.Print_Area" localSheetId="0">CodeName.ScheduleOfTasks!$B$1:$H$861</definedName>
    <definedName name="S.0Overview.BEGIN">CodeName.ScheduleOfTasks!$G$3</definedName>
    <definedName name="S.0Overview.END">CodeName.ScheduleOfTasks!$H$3</definedName>
    <definedName name="S.1Planning.BEGIN">CodeName.ScheduleOfTasks!$G$54</definedName>
    <definedName name="S.1Planning.END">CodeName.ScheduleOfTasks!$H$54</definedName>
    <definedName name="S.2AC.BEGIN">CodeName.ScheduleOfTasks!$G$12</definedName>
    <definedName name="S.2AC.END">CodeName.ScheduleOfTasks!$H$12</definedName>
    <definedName name="S.3Fee.BEGIN">CodeName.ScheduleOfTasks!$G$14</definedName>
    <definedName name="S.3Fee.END">CodeName.ScheduleOfTasks!$H$14</definedName>
    <definedName name="S.4Notice.BEGIN">CodeName.ScheduleOfTasks!$G$22</definedName>
    <definedName name="S.4Notice.END">CodeName.ScheduleOfTasks!$H$22</definedName>
    <definedName name="S.5Comment.BEGIN">CodeName.ScheduleOfTasks!$G$29</definedName>
    <definedName name="S.5Comment.END">CodeName.ScheduleOfTasks!$H$29</definedName>
    <definedName name="S.6EQC.BEGIN">CodeName.ScheduleOfTasks!$G$34</definedName>
    <definedName name="S.6EQC.END">CodeName.ScheduleOfTasks!$H$34</definedName>
    <definedName name="S.7PostEQC.BEGIN">CodeName.ScheduleOfTasks!$G$46</definedName>
    <definedName name="S.7PostEQC.END">CodeName.ScheduleOfTasks!$H$46</definedName>
    <definedName name="S.AC.Charter">CodeName.ScheduleOfTasks!$C$259</definedName>
    <definedName name="S.AC.CommitteeInvolved">CodeName.ScheduleOfTasks!$C$12</definedName>
    <definedName name="S.AC.DateMeeting1">CodeName.ScheduleOfTasks!$G$294</definedName>
    <definedName name="S.AC.DateMeeting2">CodeName.ScheduleOfTasks!$G$322</definedName>
    <definedName name="S.AC.DateMeeting3">CodeName.ScheduleOfTasks!$G$350</definedName>
    <definedName name="S.AC.DateMeeting4">CodeName.ScheduleOfTasks!$G$378</definedName>
    <definedName name="S.AC.DateMeeting5">CodeName.ScheduleOfTasks!$G$406</definedName>
    <definedName name="S.AC.InvolveMeeting1">CodeName.ScheduleOfTasks!$C$294</definedName>
    <definedName name="S.AC.InvolveMeeting2">CodeName.ScheduleOfTasks!$C$322</definedName>
    <definedName name="S.AC.InvolveMeeting3">CodeName.ScheduleOfTasks!$C$350</definedName>
    <definedName name="S.AC.InvolveMeeting4">CodeName.ScheduleOfTasks!$C$378</definedName>
    <definedName name="S.AC.InvolveMeeting5">CodeName.ScheduleOfTasks!$C$406</definedName>
    <definedName name="S.AC.Presentation1">CodeName.ScheduleOfTasks!$C$309</definedName>
    <definedName name="S.AC.Presentation2">CodeName.ScheduleOfTasks!$C$337</definedName>
    <definedName name="S.AC.Presentation3">CodeName.ScheduleOfTasks!$C$365</definedName>
    <definedName name="S.AC.Presentation4">CodeName.ScheduleOfTasks!$C$393</definedName>
    <definedName name="S.AC.Presentation5">CodeName.ScheduleOfTasks!$C$421</definedName>
    <definedName name="S.AC.SendInvitation">CodeName.ScheduleOfTasks!$H$282</definedName>
    <definedName name="S.Comment.ApproveResponseLoop2">CodeName.ScheduleOfTasks!$C$713</definedName>
    <definedName name="S.Comment.ApproveResponseLoop3">CodeName.ScheduleOfTasks!$C$714</definedName>
    <definedName name="S.Comment.ApproveResponseLoop4">CodeName.ScheduleOfTasks!$C$715</definedName>
    <definedName name="S.DDL.BudgetAnalyst">GetStarted!$B$38:$B$41</definedName>
    <definedName name="S.DDL.EQC.Cell1">Lists.TableLookups!#REF!</definedName>
    <definedName name="S.DDL.EQC.FacHearingDates">CodeName.ScheduleOfTasks!$G$167:$G$174</definedName>
    <definedName name="S.DDL.EQC.Year">Lists.TableLookups!#REF!</definedName>
    <definedName name="S.DDL.LegLiason">GetStarted!$B$44:$B$47</definedName>
    <definedName name="S.DDL.MediaManager">GetStarted!$B$32:$B$35</definedName>
    <definedName name="S.DDL_AAG">GetStarted!$B$51:$B$55</definedName>
    <definedName name="S.DDL_Bulletin">Lists.TableLookups!$B$74:$B$181</definedName>
    <definedName name="S.DDL_DEQClosed">Lists.TableLookups!$B$31:$B$67</definedName>
    <definedName name="S.DDL_EQCMeeting">Lists.TableLookups!$B$5:$B$26</definedName>
    <definedName name="S.DDL_Newspapers">Lists.TableLookups!$I$5:$I$13</definedName>
    <definedName name="S.DIRECTOR.Approves.ForDEQRulemakingPlan">CodeName.ScheduleOfTasks!$G$6</definedName>
    <definedName name="S.EQC.1on1Briefing">CodeName.ScheduleOfTasks!$C$754</definedName>
    <definedName name="S.EQC.ApprovePresentationLoop2">CodeName.ScheduleOfTasks!$C$669</definedName>
    <definedName name="S.EQC.ApprovePresentationLoop3">CodeName.ScheduleOfTasks!$C$670</definedName>
    <definedName name="S.EQC.ApprovePresentationLoop4">CodeName.ScheduleOfTasks!$C$671</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SubmitStaffRpt">CodeName.ScheduleOfTasks!$H$41</definedName>
    <definedName name="S.Fee.ApproveDASdenialResponseLoop1">CodeName.ScheduleOfTasks!$C$463</definedName>
    <definedName name="S.Fee.ApproveDASdenialResponseLoop2">CodeName.ScheduleOfTasks!$C$464</definedName>
    <definedName name="S.Fee.ApproveDASdenialResponseLoop4">CodeName.ScheduleOfTasks!$C$465</definedName>
    <definedName name="S.Fee.ApprovePacketLoop2">CodeName.ScheduleOfTasks!$C$452</definedName>
    <definedName name="S.Fee.ApprovePacketLoop3">CodeName.ScheduleOfTasks!$C$453</definedName>
    <definedName name="S.Fee.ApprovePacketLoop4">CodeName.ScheduleOfTasks!$C$454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G.Cell">CodeName.ScheduleOfTasks!$G$861</definedName>
    <definedName name="S.General.LastCellSchedule">CodeName.ScheduleOfTasks!$H$861</definedName>
    <definedName name="S.General.RulemakingTitle">GetStarted!$B$2</definedName>
    <definedName name="S.General.RuleType">CodeName.ScheduleOfTasks!$C$8</definedName>
    <definedName name="S.Hearing.1stCity">CodeName.ScheduleOfTasks!$B$167</definedName>
    <definedName name="S.Hearing.1stDate">CodeName.ScheduleOfTasks!$H$31</definedName>
    <definedName name="S.Hearing.1stInvolve">CodeName.ScheduleOfTasks!$C$31</definedName>
    <definedName name="S.Hearing.1stTime">CodeName.ScheduleOfTasks!$H$167</definedName>
    <definedName name="S.Hearing.2ndCity">CodeName.ScheduleOfTasks!$B$168</definedName>
    <definedName name="S.Hearing.2ndDate">CodeName.ScheduleOfTasks!$G$168</definedName>
    <definedName name="S.Hearing.2ndInvolve">CodeName.ScheduleOfTasks!$C$168</definedName>
    <definedName name="S.Hearing.2ndTime">CodeName.ScheduleOfTasks!$H$168</definedName>
    <definedName name="S.Hearing.3rdCity">CodeName.ScheduleOfTasks!$B$169</definedName>
    <definedName name="S.Hearing.3rdDate">CodeName.ScheduleOfTasks!$G$169</definedName>
    <definedName name="S.Hearing.3rdInvolve">CodeName.ScheduleOfTasks!$C$169</definedName>
    <definedName name="S.Hearing.3rdTime">CodeName.ScheduleOfTasks!$H$169</definedName>
    <definedName name="S.Hearing.4thCity">CodeName.ScheduleOfTasks!$B$170</definedName>
    <definedName name="S.Hearing.4thDate">CodeName.ScheduleOfTasks!$G$170</definedName>
    <definedName name="S.Hearing.4thInvolve">CodeName.ScheduleOfTasks!$C$170</definedName>
    <definedName name="S.Hearing.4thTime">CodeName.ScheduleOfTasks!$H$170</definedName>
    <definedName name="S.Hearing.5thCity">CodeName.ScheduleOfTasks!$B$171</definedName>
    <definedName name="S.Hearing.5thDate">CodeName.ScheduleOfTasks!$G$171</definedName>
    <definedName name="S.Hearing.5thInvolve">CodeName.ScheduleOfTasks!$C$171</definedName>
    <definedName name="S.Hearing.5thTime">CodeName.ScheduleOfTasks!$H$171</definedName>
    <definedName name="S.Hearing.6thCity">CodeName.ScheduleOfTasks!$B$172</definedName>
    <definedName name="S.Hearing.6thDate">CodeName.ScheduleOfTasks!$G$172</definedName>
    <definedName name="S.Hearing.6thInvolve">CodeName.ScheduleOfTasks!$C$172</definedName>
    <definedName name="S.Hearing.6thTime">CodeName.ScheduleOfTasks!$H$172</definedName>
    <definedName name="S.Hearing.7thCity">CodeName.ScheduleOfTasks!$B$173</definedName>
    <definedName name="S.Hearing.7thDate">CodeName.ScheduleOfTasks!$G$173</definedName>
    <definedName name="S.Hearing.7thInvolve">CodeName.ScheduleOfTasks!$C$173</definedName>
    <definedName name="S.Hearing.7thTime">CodeName.ScheduleOfTasks!$H$173</definedName>
    <definedName name="S.Hearing.8thCity">CodeName.ScheduleOfTasks!$B$174</definedName>
    <definedName name="S.Hearing.8thDate">CodeName.ScheduleOfTasks!$G$174</definedName>
    <definedName name="S.Hearing.8thTime">CodeName.ScheduleOfTasks!$H$174</definedName>
    <definedName name="S.Hearing.8thtInvolve">CodeName.ScheduleOfTasks!$C$174</definedName>
    <definedName name="S.HearingsOfficers">HearingAndAdDates!$E$4</definedName>
    <definedName name="S.Notice.AD.Involved">CodeName.ScheduleOfTasks!$C$130</definedName>
    <definedName name="S.Notice.AD.PubDate1">CodeName.ScheduleOfTasks!$H$148</definedName>
    <definedName name="S.Notice.AD.PubDate2">CodeName.ScheduleOfTasks!$H$149</definedName>
    <definedName name="S.Notice.AD.PubDate3">CodeName.ScheduleOfTasks!$H$150</definedName>
    <definedName name="S.Notice.AD.PubDate4">CodeName.ScheduleOfTasks!$H$151</definedName>
    <definedName name="S.Notice.AD.PubDate5">CodeName.ScheduleOfTasks!$H$152</definedName>
    <definedName name="S.Notice.AD.PubDate6">CodeName.ScheduleOfTasks!$H$153</definedName>
    <definedName name="S.Notice.AD.PubDate7">CodeName.ScheduleOfTasks!$H$154</definedName>
    <definedName name="S.Notice.AD.PubDate8">CodeName.ScheduleOfTasks!$H$155</definedName>
    <definedName name="S.Notice.AD.PubID1">CodeName.ScheduleOfTasks!$B$148</definedName>
    <definedName name="S.Notice.AD.PubID2">CodeName.ScheduleOfTasks!$B$149</definedName>
    <definedName name="S.Notice.AD.PubID3">CodeName.ScheduleOfTasks!$B$150</definedName>
    <definedName name="S.Notice.AD.PubID4">CodeName.ScheduleOfTasks!$B$151</definedName>
    <definedName name="S.Notice.AD.PubID5">CodeName.ScheduleOfTasks!$B$152</definedName>
    <definedName name="S.Notice.AD.PubID6">CodeName.ScheduleOfTasks!$B$153</definedName>
    <definedName name="S.Notice.AD.PubID7">CodeName.ScheduleOfTasks!$B$154</definedName>
    <definedName name="S.Notice.AD.PubID8">CodeName.ScheduleOfTasks!$B$155</definedName>
    <definedName name="S.Notice.AD.ToContractServices">CodeName.ScheduleOfTasks!$H$160</definedName>
    <definedName name="S.Notice.ADABriefing">CodeName.ScheduleOfTasks!$H$589</definedName>
    <definedName name="S.Notice.CloseComment">CodeName.ScheduleOfTasks!$H$32</definedName>
    <definedName name="S.Notice.CustomReviewLoop1">CodeName.ScheduleOfTasks!$C$527</definedName>
    <definedName name="S.Notice.CustomReviewLoop2">CodeName.ScheduleOfTasks!$C$531</definedName>
    <definedName name="S.Notice.CustomReviewLoop3">CodeName.ScheduleOfTasks!$C$535</definedName>
    <definedName name="S.Notice.DASNotification">CodeName.ScheduleOfTasks!$G$626</definedName>
    <definedName name="S.Notice.EPA.180days">CodeName.ScheduleOfTasks!$H$19</definedName>
    <definedName name="S.Notice.HearingInvolved">CodeName.ScheduleOfTasks!$C$29</definedName>
    <definedName name="S.Notice.InformationMeeting">CodeName.ScheduleOfTasks!$C$133</definedName>
    <definedName name="S.Notice.InOregonBulletin">CodeName.ScheduleOfTasks!$H$27</definedName>
    <definedName name="S.Notice.Involved">CodeName.ScheduleOfTasks!$C$22</definedName>
    <definedName name="S.Notice.LastHearingDate">CodeName.ScheduleOfTasks!$G$175</definedName>
    <definedName name="S.Notice.NewsRelease">CodeName.ScheduleOfTasks!$C$131</definedName>
    <definedName name="S.Notice.OK.ToPublish">CodeName.ScheduleOfTasks!$H$604</definedName>
    <definedName name="S.Notice.OpenComment">CodeName.ScheduleOfTasks!$H$30</definedName>
    <definedName name="S.Notice.PreviewBegin">CodeName.ScheduleOfTasks!$G$592</definedName>
    <definedName name="S.Notice.PreviewEnd">CodeName.ScheduleOfTasks!$H$592</definedName>
    <definedName name="S.Notice.StartDraft">CodeName.ScheduleOfTasks!$G$478</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Planning.AddConceptToPlanDate">CodeName.ScheduleOfTasks!$H$88</definedName>
    <definedName name="S.Planning.CommunicationMeeting">CodeName.ScheduleOfTasks!$H$126</definedName>
    <definedName name="S.Planning.CommunicationsPlan">CodeName.ScheduleOfTasks!$C$128</definedName>
    <definedName name="S.Planning.DecisionToAddToPlan">CodeName.ScheduleOfTasks!$C$91</definedName>
    <definedName name="S.Planning.DraftWorkbooksEnd">CodeName.ScheduleOfTasks!$H$74</definedName>
    <definedName name="S.Planning.DraftWorkbooksStart">CodeName.ScheduleOfTasks!$G$74</definedName>
    <definedName name="S.Planning.ExpandTeam">CodeName.ScheduleOfTasks!$C$110</definedName>
    <definedName name="S.Planning.MessageMap">CodeName.ScheduleOfTasks!$C$129</definedName>
    <definedName name="S.Planning.ProgramWebPage">CodeName.ScheduleOfTasks!$C$132</definedName>
    <definedName name="S.PlanningKickoff">CodeName.ScheduleOfTasks!$H$73</definedName>
    <definedName name="S.PlanningWorkbooksStart">CodeName.ScheduleOfTasks!$G$74</definedName>
    <definedName name="S.PostEQC.EffectiveUponFiling">CodeName.ScheduleOfTasks!$C$49</definedName>
    <definedName name="S.PostEQC.FileRuleWithSOS">CodeName.ScheduleOfTasks!$H$47</definedName>
    <definedName name="S.PostEQC.NotifyStakeholders">CodeName.ScheduleOfTasks!$C$848</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CodeName.ScheduleOfTasks!$AI$128</definedName>
    <definedName name="S.QtimeEnd">CodeName.ScheduleOfTasks!$H$114</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Version">Documentation!$G$1</definedName>
    <definedName name="S.VL_Bulletin">Lists.TableLookups!$B$74:$C$181</definedName>
    <definedName name="S.VL_EQCActivities">Lists.TableLookups!$B$5:$D$26</definedName>
  </definedNames>
  <calcPr calcId="152511"/>
</workbook>
</file>

<file path=xl/calcChain.xml><?xml version="1.0" encoding="utf-8"?>
<calcChain xmlns="http://schemas.openxmlformats.org/spreadsheetml/2006/main">
  <c r="AB19" i="94" l="1"/>
  <c r="AH19" i="94"/>
  <c r="C12" i="93" l="1"/>
  <c r="AB836" i="94" l="1"/>
  <c r="B836" i="94" s="1"/>
  <c r="AB833" i="94"/>
  <c r="AB832" i="94"/>
  <c r="B832" i="94" s="1"/>
  <c r="AB831" i="94"/>
  <c r="B831" i="94" s="1"/>
  <c r="AC832" i="94"/>
  <c r="AC831" i="94"/>
  <c r="AB834" i="94"/>
  <c r="C837" i="94"/>
  <c r="AB782" i="94"/>
  <c r="AB781" i="94"/>
  <c r="B781" i="94" s="1"/>
  <c r="AB809" i="94"/>
  <c r="AH772" i="94"/>
  <c r="AH768" i="94"/>
  <c r="AB41" i="94"/>
  <c r="AB761" i="94"/>
  <c r="B761" i="94" s="1"/>
  <c r="AB749" i="94"/>
  <c r="AB743" i="94"/>
  <c r="AH34" i="94"/>
  <c r="AB734" i="94"/>
  <c r="AB706" i="94"/>
  <c r="AB705" i="94"/>
  <c r="AB675" i="94"/>
  <c r="AC637" i="94"/>
  <c r="AB624" i="94"/>
  <c r="AB614" i="94"/>
  <c r="AB585" i="94"/>
  <c r="AB559" i="94"/>
  <c r="AB558" i="94"/>
  <c r="AB557" i="94"/>
  <c r="AB556" i="94"/>
  <c r="AB571" i="94"/>
  <c r="AB567" i="94"/>
  <c r="AB564" i="94"/>
  <c r="AB549" i="94"/>
  <c r="AB541" i="94"/>
  <c r="AB525" i="94"/>
  <c r="AB524" i="94"/>
  <c r="AC476" i="94"/>
  <c r="AC197" i="94"/>
  <c r="AB511" i="94"/>
  <c r="AC131" i="94"/>
  <c r="AC133" i="94"/>
  <c r="AC132" i="94"/>
  <c r="AC130" i="94"/>
  <c r="AC129" i="94"/>
  <c r="AC128" i="94"/>
  <c r="AB102" i="94"/>
  <c r="B102" i="94" s="1"/>
  <c r="AB101" i="94"/>
  <c r="AC95" i="94"/>
  <c r="AC98" i="94" s="1"/>
  <c r="AB95" i="94"/>
  <c r="AB78" i="94"/>
  <c r="AB79" i="94"/>
  <c r="G861" i="94"/>
  <c r="E42" i="93" s="1"/>
  <c r="C245" i="94"/>
  <c r="AC235" i="94"/>
  <c r="AC293" i="94" s="1"/>
  <c r="AB218" i="94"/>
  <c r="AB204" i="94"/>
  <c r="B204" i="94" s="1"/>
  <c r="AB206" i="94"/>
  <c r="AB604" i="94"/>
  <c r="B604" i="94" s="1"/>
  <c r="AB615" i="94"/>
  <c r="AC630" i="94"/>
  <c r="AC631" i="94"/>
  <c r="AC629" i="94"/>
  <c r="AC101" i="94" l="1"/>
  <c r="AC109" i="94"/>
  <c r="AC96" i="94"/>
  <c r="AC100" i="94"/>
  <c r="AC102" i="94"/>
  <c r="AC103" i="94"/>
  <c r="AC104" i="94"/>
  <c r="AC97" i="94"/>
  <c r="AC105" i="94"/>
  <c r="AC107" i="94"/>
  <c r="AC108" i="94"/>
  <c r="AC99" i="94"/>
  <c r="AC106" i="94"/>
  <c r="AC275" i="94"/>
  <c r="AC252" i="94"/>
  <c r="AC244" i="94"/>
  <c r="AC260" i="94"/>
  <c r="AC268" i="94"/>
  <c r="AC276" i="94"/>
  <c r="AC283" i="94"/>
  <c r="AC292" i="94"/>
  <c r="AC253" i="94"/>
  <c r="AC245" i="94"/>
  <c r="AC237" i="94"/>
  <c r="AC269" i="94"/>
  <c r="AC261" i="94"/>
  <c r="AC284" i="94"/>
  <c r="AC291" i="94"/>
  <c r="AC254" i="94"/>
  <c r="AC246" i="94"/>
  <c r="AC238" i="94"/>
  <c r="AC270" i="94"/>
  <c r="AC262" i="94"/>
  <c r="AC285" i="94"/>
  <c r="AC277" i="94"/>
  <c r="AC255" i="94"/>
  <c r="AC247" i="94"/>
  <c r="AC239" i="94"/>
  <c r="AC271" i="94"/>
  <c r="AC263" i="94"/>
  <c r="AC286" i="94"/>
  <c r="AC278" i="94"/>
  <c r="AC256" i="94"/>
  <c r="AC251" i="94"/>
  <c r="AC248" i="94"/>
  <c r="AC240" i="94"/>
  <c r="AC272" i="94"/>
  <c r="AC264" i="94"/>
  <c r="AC287" i="94"/>
  <c r="AC279" i="94"/>
  <c r="AC257" i="94"/>
  <c r="AC249" i="94"/>
  <c r="AC241" i="94"/>
  <c r="AC273" i="94"/>
  <c r="AC265" i="94"/>
  <c r="AC288" i="94"/>
  <c r="AC280" i="94"/>
  <c r="AC258" i="94"/>
  <c r="AC250" i="94"/>
  <c r="AC242" i="94"/>
  <c r="AC274" i="94"/>
  <c r="AC266" i="94"/>
  <c r="AC289" i="94"/>
  <c r="AC281" i="94"/>
  <c r="AC236" i="94"/>
  <c r="AC243" i="94"/>
  <c r="AC267" i="94"/>
  <c r="AC290" i="94"/>
  <c r="AC282" i="94"/>
  <c r="AB227" i="94"/>
  <c r="AB215" i="94"/>
  <c r="B215" i="94" s="1"/>
  <c r="AB216" i="94"/>
  <c r="AB649" i="94" l="1"/>
  <c r="AB587" i="94"/>
  <c r="AB590" i="94"/>
  <c r="AB582" i="94"/>
  <c r="AB578" i="94"/>
  <c r="B564" i="94"/>
  <c r="AB521" i="94"/>
  <c r="AB515" i="94"/>
  <c r="AB207" i="94"/>
  <c r="B207" i="94" s="1"/>
  <c r="AB205" i="94"/>
  <c r="B782" i="94" l="1"/>
  <c r="AB859" i="94"/>
  <c r="AB853" i="94"/>
  <c r="B853" i="94" s="1"/>
  <c r="AG850" i="94"/>
  <c r="AB840" i="94"/>
  <c r="AB828" i="94"/>
  <c r="B828" i="94" s="1"/>
  <c r="AB780" i="94"/>
  <c r="AC658" i="94"/>
  <c r="AB692" i="94"/>
  <c r="AC695" i="94"/>
  <c r="AB753" i="94"/>
  <c r="B753" i="94" s="1"/>
  <c r="AB750" i="94"/>
  <c r="B750" i="94" s="1"/>
  <c r="AB745" i="94"/>
  <c r="AB737" i="94"/>
  <c r="B743" i="94"/>
  <c r="AB732" i="94"/>
  <c r="B732" i="94" s="1"/>
  <c r="AC725" i="94"/>
  <c r="C810" i="94"/>
  <c r="C811" i="94"/>
  <c r="B834" i="94"/>
  <c r="AC834" i="94"/>
  <c r="AB830" i="94"/>
  <c r="B830" i="94" s="1"/>
  <c r="AC839" i="94"/>
  <c r="AB829" i="94"/>
  <c r="AC830" i="94"/>
  <c r="AC828" i="94"/>
  <c r="AC827" i="94"/>
  <c r="AB826" i="94"/>
  <c r="B826" i="94" s="1"/>
  <c r="AB816" i="94"/>
  <c r="B816" i="94" s="1"/>
  <c r="AC812" i="94"/>
  <c r="AB813" i="94"/>
  <c r="AC813" i="94"/>
  <c r="AB796" i="94"/>
  <c r="B796" i="94" s="1"/>
  <c r="C797" i="94"/>
  <c r="AB793" i="94"/>
  <c r="AC793" i="94"/>
  <c r="AC792" i="94"/>
  <c r="AC826" i="94"/>
  <c r="AB849" i="94"/>
  <c r="B615" i="94"/>
  <c r="B614" i="94"/>
  <c r="AB579" i="94"/>
  <c r="AB572" i="94"/>
  <c r="AB620" i="94"/>
  <c r="AB619" i="94"/>
  <c r="B556" i="94"/>
  <c r="C564" i="94"/>
  <c r="AB519" i="94"/>
  <c r="AB520" i="94"/>
  <c r="AB523" i="94"/>
  <c r="B227" i="94"/>
  <c r="AB512" i="94" l="1"/>
  <c r="AB213" i="94"/>
  <c r="AC192" i="94"/>
  <c r="B194" i="94"/>
  <c r="AB516" i="94"/>
  <c r="B523" i="94" l="1"/>
  <c r="AB503" i="94"/>
  <c r="AB504" i="94"/>
  <c r="AC504" i="94"/>
  <c r="AB508" i="94"/>
  <c r="AB478" i="94"/>
  <c r="AB496" i="94"/>
  <c r="AB144" i="94"/>
  <c r="AC145" i="94"/>
  <c r="AC181" i="94"/>
  <c r="AC183" i="94"/>
  <c r="AB609" i="94"/>
  <c r="B776" i="94"/>
  <c r="B721" i="94"/>
  <c r="B654" i="94"/>
  <c r="B438" i="94"/>
  <c r="AC421" i="94"/>
  <c r="AC422" i="94" s="1"/>
  <c r="AC393" i="94"/>
  <c r="AC398" i="94" s="1"/>
  <c r="AC365" i="94"/>
  <c r="AC367" i="94" s="1"/>
  <c r="AC337" i="94"/>
  <c r="AC339" i="94" s="1"/>
  <c r="AC432" i="94"/>
  <c r="AC431" i="94"/>
  <c r="C431" i="94"/>
  <c r="AC430" i="94"/>
  <c r="AB429" i="94"/>
  <c r="B429" i="94" s="1"/>
  <c r="AC429" i="94"/>
  <c r="AB427" i="94"/>
  <c r="B427" i="94" s="1"/>
  <c r="C427" i="94"/>
  <c r="C414" i="94"/>
  <c r="AB413" i="94"/>
  <c r="B413" i="94" s="1"/>
  <c r="C410" i="94"/>
  <c r="AB409" i="94"/>
  <c r="AB408" i="94"/>
  <c r="B408" i="94" s="1"/>
  <c r="C403" i="94"/>
  <c r="AB401" i="94"/>
  <c r="B401" i="94" s="1"/>
  <c r="AB399" i="94"/>
  <c r="B399" i="94" s="1"/>
  <c r="C399" i="94"/>
  <c r="C386" i="94"/>
  <c r="AB385" i="94"/>
  <c r="B385" i="94" s="1"/>
  <c r="C382" i="94"/>
  <c r="AB381" i="94"/>
  <c r="AB380" i="94"/>
  <c r="B380" i="94" s="1"/>
  <c r="C375" i="94"/>
  <c r="AB373" i="94"/>
  <c r="B373" i="94" s="1"/>
  <c r="AB371" i="94"/>
  <c r="B371" i="94" s="1"/>
  <c r="C371" i="94"/>
  <c r="C358" i="94"/>
  <c r="AB357" i="94"/>
  <c r="B357" i="94" s="1"/>
  <c r="C354" i="94"/>
  <c r="AB353" i="94"/>
  <c r="AB352" i="94"/>
  <c r="B352" i="94" s="1"/>
  <c r="C347" i="94"/>
  <c r="AB345" i="94"/>
  <c r="B345" i="94" s="1"/>
  <c r="AB343" i="94"/>
  <c r="B343" i="94" s="1"/>
  <c r="C343" i="94"/>
  <c r="C330" i="94"/>
  <c r="AB329" i="94"/>
  <c r="B329" i="94" s="1"/>
  <c r="C326" i="94"/>
  <c r="AB325" i="94"/>
  <c r="AB324" i="94"/>
  <c r="B324" i="94" s="1"/>
  <c r="AB444" i="94"/>
  <c r="AB448" i="94"/>
  <c r="AB443" i="94"/>
  <c r="AB442" i="94"/>
  <c r="AB315" i="94"/>
  <c r="AB248" i="94"/>
  <c r="B248" i="94" s="1"/>
  <c r="AB317" i="94"/>
  <c r="B317" i="94" s="1"/>
  <c r="AB301" i="94"/>
  <c r="B301" i="94" s="1"/>
  <c r="AB297" i="94"/>
  <c r="AB296" i="94"/>
  <c r="B296" i="94" s="1"/>
  <c r="AB261" i="94"/>
  <c r="AB290" i="94"/>
  <c r="B290" i="94" s="1"/>
  <c r="AB282" i="94"/>
  <c r="B282" i="94" s="1"/>
  <c r="AB283" i="94"/>
  <c r="AB276" i="94"/>
  <c r="AB272" i="94"/>
  <c r="AB273" i="94"/>
  <c r="B273" i="94" s="1"/>
  <c r="AB270" i="94"/>
  <c r="B270" i="94" s="1"/>
  <c r="AB269" i="94"/>
  <c r="AB263" i="94"/>
  <c r="B263" i="94" s="1"/>
  <c r="AC259" i="94"/>
  <c r="AB260" i="94"/>
  <c r="B260" i="94" s="1"/>
  <c r="AB258" i="94"/>
  <c r="AB240" i="94"/>
  <c r="AB238" i="94"/>
  <c r="B238" i="94" s="1"/>
  <c r="AB239" i="94"/>
  <c r="AB241" i="94"/>
  <c r="AB243" i="94"/>
  <c r="C244" i="94"/>
  <c r="C252" i="94"/>
  <c r="C243" i="94"/>
  <c r="C242" i="94"/>
  <c r="C255" i="94"/>
  <c r="AB203" i="94"/>
  <c r="B203" i="94" s="1"/>
  <c r="AB178" i="94"/>
  <c r="AB140" i="94"/>
  <c r="AB139" i="94"/>
  <c r="AB127" i="94"/>
  <c r="AB126" i="94"/>
  <c r="AB110" i="94"/>
  <c r="AB107" i="94"/>
  <c r="AB60" i="94"/>
  <c r="B60" i="94" s="1"/>
  <c r="AB77" i="94"/>
  <c r="AB72" i="94"/>
  <c r="B72" i="94" s="1"/>
  <c r="AB61" i="94"/>
  <c r="AB59" i="94"/>
  <c r="B59" i="94" s="1"/>
  <c r="AB100" i="94"/>
  <c r="AB105" i="94"/>
  <c r="B95" i="94"/>
  <c r="AB93" i="94"/>
  <c r="B93" i="94" s="1"/>
  <c r="AB92" i="94"/>
  <c r="B92" i="94" s="1"/>
  <c r="AB90" i="94"/>
  <c r="B90" i="94" s="1"/>
  <c r="AB88" i="94"/>
  <c r="B88" i="94" s="1"/>
  <c r="AB89" i="94"/>
  <c r="AB87" i="94"/>
  <c r="B87" i="94" s="1"/>
  <c r="AB80" i="94"/>
  <c r="AB74" i="94"/>
  <c r="AB73" i="94"/>
  <c r="AB602" i="94"/>
  <c r="AB608" i="94"/>
  <c r="AC423" i="94" l="1"/>
  <c r="AC424" i="94"/>
  <c r="AC425" i="94"/>
  <c r="AC426" i="94"/>
  <c r="AC427" i="94"/>
  <c r="AC428" i="94"/>
  <c r="AC394" i="94"/>
  <c r="AC395" i="94"/>
  <c r="AC400" i="94"/>
  <c r="AC396" i="94"/>
  <c r="AC397" i="94"/>
  <c r="AC399" i="94"/>
  <c r="AC366" i="94"/>
  <c r="AC372" i="94"/>
  <c r="AC368" i="94"/>
  <c r="AC369" i="94"/>
  <c r="AC370" i="94"/>
  <c r="AC371" i="94"/>
  <c r="AC338" i="94"/>
  <c r="AC344" i="94"/>
  <c r="AC340" i="94"/>
  <c r="AC341" i="94"/>
  <c r="AC342" i="94"/>
  <c r="AC343" i="94"/>
  <c r="D12" i="94"/>
  <c r="AC110" i="94" l="1"/>
  <c r="AB123" i="94"/>
  <c r="B123" i="94" s="1"/>
  <c r="AC123" i="94"/>
  <c r="AC111" i="94"/>
  <c r="AB115" i="94"/>
  <c r="AB114" i="94"/>
  <c r="AB280" i="94"/>
  <c r="B280" i="94" s="1"/>
  <c r="AB278" i="94"/>
  <c r="B278" i="94" s="1"/>
  <c r="B276" i="94"/>
  <c r="B620" i="94" l="1"/>
  <c r="B567" i="94"/>
  <c r="C277" i="94"/>
  <c r="AC435" i="94"/>
  <c r="AC434" i="94"/>
  <c r="C779" i="94"/>
  <c r="C724" i="94"/>
  <c r="C657" i="94"/>
  <c r="C475" i="94"/>
  <c r="C441" i="94"/>
  <c r="C158" i="94"/>
  <c r="C157" i="94"/>
  <c r="C107" i="94"/>
  <c r="C64" i="94"/>
  <c r="C58" i="94"/>
  <c r="C56" i="94"/>
  <c r="AC31" i="94"/>
  <c r="AC30" i="94"/>
  <c r="AB29" i="94"/>
  <c r="AC29" i="94" s="1"/>
  <c r="AC704" i="94"/>
  <c r="AC469" i="94"/>
  <c r="B579" i="94"/>
  <c r="B541" i="94"/>
  <c r="AB600" i="94"/>
  <c r="AB586" i="94"/>
  <c r="AB574" i="94"/>
  <c r="B574" i="94" s="1"/>
  <c r="B578" i="94"/>
  <c r="B619" i="94"/>
  <c r="B558" i="94"/>
  <c r="AB589" i="94"/>
  <c r="AC561" i="94"/>
  <c r="AC562" i="94"/>
  <c r="AC560" i="94"/>
  <c r="AB650" i="94"/>
  <c r="AB642" i="94"/>
  <c r="B625" i="94"/>
  <c r="AB588" i="94"/>
  <c r="B588" i="94" s="1"/>
  <c r="AB581" i="94"/>
  <c r="B581" i="94" s="1"/>
  <c r="AB580" i="94"/>
  <c r="B572" i="94"/>
  <c r="B571" i="94"/>
  <c r="B559" i="94"/>
  <c r="B582" i="94"/>
  <c r="AB552" i="94"/>
  <c r="B552" i="94" s="1"/>
  <c r="B557" i="94"/>
  <c r="AB553" i="94"/>
  <c r="AB618" i="94"/>
  <c r="B618" i="94" s="1"/>
  <c r="AB576" i="94"/>
  <c r="B576" i="94" s="1"/>
  <c r="AB118" i="94"/>
  <c r="C627" i="94"/>
  <c r="AB31" i="94"/>
  <c r="C89" i="94"/>
  <c r="B472" i="94"/>
  <c r="B232" i="94"/>
  <c r="B53" i="94"/>
  <c r="B2" i="94"/>
  <c r="AB603" i="94"/>
  <c r="AB597" i="94"/>
  <c r="AB591" i="94"/>
  <c r="B516" i="94" l="1"/>
  <c r="AB522" i="94"/>
  <c r="B524" i="94"/>
  <c r="I38" i="94"/>
  <c r="I29" i="94"/>
  <c r="I24" i="94"/>
  <c r="I23" i="94"/>
  <c r="I20" i="94"/>
  <c r="I16" i="94" s="1"/>
  <c r="I18" i="94"/>
  <c r="I15" i="94"/>
  <c r="I14" i="94"/>
  <c r="I12" i="94"/>
  <c r="I10" i="94"/>
  <c r="I8" i="94"/>
  <c r="AB32" i="94"/>
  <c r="AB25" i="94"/>
  <c r="AB24" i="94"/>
  <c r="AB23" i="94"/>
  <c r="AC25" i="94"/>
  <c r="AI128" i="94" l="1"/>
  <c r="AB502" i="94" s="1"/>
  <c r="F18" i="94" l="1"/>
  <c r="F20" i="94"/>
  <c r="F16" i="94" s="1"/>
  <c r="B80" i="94"/>
  <c r="B79" i="94"/>
  <c r="B78" i="94"/>
  <c r="AC759" i="94"/>
  <c r="AC758" i="94"/>
  <c r="AC757" i="94"/>
  <c r="AC756" i="94"/>
  <c r="AC755" i="94"/>
  <c r="B745" i="94"/>
  <c r="AB744" i="94"/>
  <c r="AB740" i="94"/>
  <c r="B740" i="94" s="1"/>
  <c r="B737" i="94"/>
  <c r="AB738" i="94"/>
  <c r="B738" i="94" s="1"/>
  <c r="AB711" i="94"/>
  <c r="AC671" i="94"/>
  <c r="AC670" i="94"/>
  <c r="AC669" i="94"/>
  <c r="AB659" i="94"/>
  <c r="B258" i="94"/>
  <c r="AB84" i="94"/>
  <c r="B84" i="94" s="1"/>
  <c r="AC83" i="94"/>
  <c r="AB86" i="94"/>
  <c r="B86" i="94" s="1"/>
  <c r="AC85" i="94"/>
  <c r="AC82" i="94"/>
  <c r="AB81" i="94"/>
  <c r="B81" i="94" s="1"/>
  <c r="AB622" i="94"/>
  <c r="B622" i="94" s="1"/>
  <c r="B624" i="94"/>
  <c r="AB22" i="94"/>
  <c r="AC22" i="94" s="1"/>
  <c r="B549" i="94" l="1"/>
  <c r="AB646" i="94"/>
  <c r="B646" i="94" s="1"/>
  <c r="AC651" i="94"/>
  <c r="AB641" i="94"/>
  <c r="AC640" i="94"/>
  <c r="C640" i="94"/>
  <c r="AB628" i="94"/>
  <c r="AB634" i="94"/>
  <c r="B591" i="94"/>
  <c r="AB513" i="94"/>
  <c r="B513" i="94" s="1"/>
  <c r="B515" i="94"/>
  <c r="B23" i="94"/>
  <c r="AC23" i="94"/>
  <c r="AG3" i="94"/>
  <c r="G3" i="94" s="1"/>
  <c r="AC6" i="94"/>
  <c r="AC32" i="94"/>
  <c r="AC14" i="94"/>
  <c r="AC12" i="94"/>
  <c r="B24" i="94"/>
  <c r="B6" i="99"/>
  <c r="E13" i="99"/>
  <c r="E12" i="99"/>
  <c r="E11" i="99"/>
  <c r="E10" i="99"/>
  <c r="E9" i="99"/>
  <c r="E8" i="99"/>
  <c r="E7" i="99"/>
  <c r="E6" i="99"/>
  <c r="D13" i="99"/>
  <c r="D12" i="99"/>
  <c r="D11" i="99"/>
  <c r="D10" i="99"/>
  <c r="D9" i="99"/>
  <c r="D8" i="99"/>
  <c r="D7" i="99"/>
  <c r="D6" i="99"/>
  <c r="AC164" i="94"/>
  <c r="AB165" i="94"/>
  <c r="B166" i="94" s="1"/>
  <c r="AC166" i="94"/>
  <c r="AB166" i="94"/>
  <c r="AC167" i="94"/>
  <c r="B168" i="94"/>
  <c r="AC168" i="94"/>
  <c r="AG168" i="94"/>
  <c r="G168" i="94" s="1"/>
  <c r="AH168" i="94"/>
  <c r="H168" i="94" s="1"/>
  <c r="B169" i="94"/>
  <c r="AC169" i="94"/>
  <c r="AG169" i="94"/>
  <c r="G169" i="94" s="1"/>
  <c r="AH169" i="94"/>
  <c r="H169" i="94" s="1"/>
  <c r="B170" i="94"/>
  <c r="AC170" i="94"/>
  <c r="AG170" i="94"/>
  <c r="G170" i="94" s="1"/>
  <c r="AH170" i="94"/>
  <c r="H170" i="94" s="1"/>
  <c r="B171" i="94"/>
  <c r="AC171" i="94"/>
  <c r="AG171" i="94"/>
  <c r="G171" i="94" s="1"/>
  <c r="AH171" i="94"/>
  <c r="H171" i="94" s="1"/>
  <c r="B172" i="94"/>
  <c r="AC172" i="94"/>
  <c r="AG172" i="94"/>
  <c r="G172" i="94" s="1"/>
  <c r="AH172" i="94"/>
  <c r="H172" i="94" s="1"/>
  <c r="B173" i="94"/>
  <c r="AC173" i="94"/>
  <c r="AG173" i="94"/>
  <c r="G173" i="94" s="1"/>
  <c r="AH173" i="94"/>
  <c r="H173" i="94" s="1"/>
  <c r="B174" i="94"/>
  <c r="AC174" i="94"/>
  <c r="AG174" i="94"/>
  <c r="G174" i="94" s="1"/>
  <c r="AH174" i="94"/>
  <c r="H174" i="94" s="1"/>
  <c r="AC175" i="94"/>
  <c r="AB177" i="94"/>
  <c r="B177" i="94" s="1"/>
  <c r="B178" i="94"/>
  <c r="B502" i="94"/>
  <c r="G54" i="94" l="1"/>
  <c r="AC165" i="94"/>
  <c r="AC176" i="94"/>
  <c r="AC177" i="94"/>
  <c r="AC178" i="94"/>
  <c r="G6" i="94"/>
  <c r="C644" i="94"/>
  <c r="AB629" i="94"/>
  <c r="AB601" i="94"/>
  <c r="AB499" i="94"/>
  <c r="AH91" i="94" l="1"/>
  <c r="H91" i="94" s="1"/>
  <c r="G195" i="94"/>
  <c r="AH59" i="94"/>
  <c r="H59" i="94" s="1"/>
  <c r="AH61" i="94" s="1"/>
  <c r="H61" i="94" s="1"/>
  <c r="AG177" i="94"/>
  <c r="AB495" i="94"/>
  <c r="B586" i="94"/>
  <c r="B512" i="94"/>
  <c r="B511" i="94"/>
  <c r="AB498" i="94"/>
  <c r="AG198" i="94" l="1"/>
  <c r="AG209" i="94"/>
  <c r="AC149" i="94"/>
  <c r="AC150" i="94"/>
  <c r="AC151" i="94"/>
  <c r="AC152" i="94"/>
  <c r="AC153" i="94"/>
  <c r="AC154" i="94"/>
  <c r="AC155" i="94"/>
  <c r="AC148" i="94"/>
  <c r="AB149" i="94"/>
  <c r="B149" i="94" s="1"/>
  <c r="AB150" i="94"/>
  <c r="B150" i="94" s="1"/>
  <c r="AB151" i="94"/>
  <c r="B151" i="94" s="1"/>
  <c r="AB152" i="94"/>
  <c r="B152" i="94" s="1"/>
  <c r="AB153" i="94"/>
  <c r="B153" i="94" s="1"/>
  <c r="AB154" i="94"/>
  <c r="B154" i="94" s="1"/>
  <c r="AB155" i="94"/>
  <c r="B155" i="94" s="1"/>
  <c r="AB148" i="94"/>
  <c r="B148" i="94" s="1"/>
  <c r="AC146" i="94"/>
  <c r="B585" i="94"/>
  <c r="AC645" i="94" l="1"/>
  <c r="B641" i="94"/>
  <c r="B628" i="94"/>
  <c r="AB161" i="94"/>
  <c r="AB162" i="94"/>
  <c r="AC147" i="94"/>
  <c r="AC621" i="94"/>
  <c r="B146" i="94" l="1"/>
  <c r="AC477" i="94"/>
  <c r="AC480" i="94" s="1"/>
  <c r="AC180" i="94"/>
  <c r="AC185" i="94"/>
  <c r="AC186" i="94"/>
  <c r="AC187" i="94"/>
  <c r="AC188" i="94"/>
  <c r="AC184" i="94"/>
  <c r="B508" i="94"/>
  <c r="B499" i="94"/>
  <c r="B496" i="94"/>
  <c r="B503" i="94"/>
  <c r="B495" i="94"/>
  <c r="B525" i="94"/>
  <c r="B522" i="94"/>
  <c r="AB181" i="94"/>
  <c r="B181" i="94" s="1"/>
  <c r="AB214" i="94"/>
  <c r="AB117" i="94"/>
  <c r="B117" i="94" s="1"/>
  <c r="AC117" i="94"/>
  <c r="AB116" i="94"/>
  <c r="B116" i="94" s="1"/>
  <c r="B77" i="94"/>
  <c r="AC125" i="94"/>
  <c r="AB111" i="94"/>
  <c r="C202" i="94"/>
  <c r="AC138" i="94"/>
  <c r="AC136" i="94"/>
  <c r="AB134" i="94"/>
  <c r="AB135" i="94"/>
  <c r="AC76" i="94"/>
  <c r="AC75" i="94"/>
  <c r="AC116" i="94"/>
  <c r="AB106" i="94"/>
  <c r="AC24" i="94"/>
  <c r="AC544" i="94" l="1"/>
  <c r="AC542" i="94"/>
  <c r="AC481" i="94"/>
  <c r="AC605" i="94"/>
  <c r="AC518" i="94"/>
  <c r="AC573" i="94"/>
  <c r="AC508" i="94"/>
  <c r="AC531" i="94"/>
  <c r="AC548" i="94"/>
  <c r="AC502" i="94"/>
  <c r="AC494" i="94"/>
  <c r="AC632" i="94"/>
  <c r="AC628" i="94"/>
  <c r="AC623" i="94"/>
  <c r="AC608" i="94"/>
  <c r="AC565" i="94"/>
  <c r="AC572" i="94"/>
  <c r="AC580" i="94"/>
  <c r="AC588" i="94"/>
  <c r="AC596" i="94"/>
  <c r="AC507" i="94"/>
  <c r="AC515" i="94"/>
  <c r="AC523" i="94"/>
  <c r="AC530" i="94"/>
  <c r="AC538" i="94"/>
  <c r="AC547" i="94"/>
  <c r="AC554" i="94"/>
  <c r="AC501" i="94"/>
  <c r="AC485" i="94"/>
  <c r="AC493" i="94"/>
  <c r="AC622" i="94"/>
  <c r="AC615" i="94"/>
  <c r="AC620" i="94"/>
  <c r="AC564" i="94"/>
  <c r="AC571" i="94"/>
  <c r="AC579" i="94"/>
  <c r="AC587" i="94"/>
  <c r="AC595" i="94"/>
  <c r="AC506" i="94"/>
  <c r="AC514" i="94"/>
  <c r="AC522" i="94"/>
  <c r="AC529" i="94"/>
  <c r="AC537" i="94"/>
  <c r="AC546" i="94"/>
  <c r="AC553" i="94"/>
  <c r="AC500" i="94"/>
  <c r="AC484" i="94"/>
  <c r="AC492" i="94"/>
  <c r="AC624" i="94"/>
  <c r="AC614" i="94"/>
  <c r="AC619" i="94"/>
  <c r="AC570" i="94"/>
  <c r="AC578" i="94"/>
  <c r="AC586" i="94"/>
  <c r="AC594" i="94"/>
  <c r="AC563" i="94"/>
  <c r="AC513" i="94"/>
  <c r="AC521" i="94"/>
  <c r="AC528" i="94"/>
  <c r="AC536" i="94"/>
  <c r="AC545" i="94"/>
  <c r="AC552" i="94"/>
  <c r="AC505" i="94"/>
  <c r="AC483" i="94"/>
  <c r="AC491" i="94"/>
  <c r="AC634" i="94"/>
  <c r="AC625" i="94"/>
  <c r="AC613" i="94"/>
  <c r="AC569" i="94"/>
  <c r="AC577" i="94"/>
  <c r="AC585" i="94"/>
  <c r="AC593" i="94"/>
  <c r="AC601" i="94"/>
  <c r="AC512" i="94"/>
  <c r="AC520" i="94"/>
  <c r="AC527" i="94"/>
  <c r="AC535" i="94"/>
  <c r="AC543" i="94"/>
  <c r="AC551" i="94"/>
  <c r="AC559" i="94"/>
  <c r="AC482" i="94"/>
  <c r="AC490" i="94"/>
  <c r="AC478" i="94"/>
  <c r="AC633" i="94"/>
  <c r="AC611" i="94"/>
  <c r="AC568" i="94"/>
  <c r="AC576" i="94"/>
  <c r="AC584" i="94"/>
  <c r="AC592" i="94"/>
  <c r="AC600" i="94"/>
  <c r="AC511" i="94"/>
  <c r="AC519" i="94"/>
  <c r="AC526" i="94"/>
  <c r="AC534" i="94"/>
  <c r="AC541" i="94"/>
  <c r="AC550" i="94"/>
  <c r="AC558" i="94"/>
  <c r="AC479" i="94"/>
  <c r="AC489" i="94"/>
  <c r="AC497" i="94"/>
  <c r="AC627" i="94"/>
  <c r="AC612" i="94"/>
  <c r="AC618" i="94"/>
  <c r="AC607" i="94"/>
  <c r="AC567" i="94"/>
  <c r="AC575" i="94"/>
  <c r="AC583" i="94"/>
  <c r="AC591" i="94"/>
  <c r="AC599" i="94"/>
  <c r="AC510" i="94"/>
  <c r="AC533" i="94"/>
  <c r="AC549" i="94"/>
  <c r="AC557" i="94"/>
  <c r="AC499" i="94"/>
  <c r="AC488" i="94"/>
  <c r="AC496" i="94"/>
  <c r="AC610" i="94"/>
  <c r="AC617" i="94"/>
  <c r="AC606" i="94"/>
  <c r="AC566" i="94"/>
  <c r="AC574" i="94"/>
  <c r="AC582" i="94"/>
  <c r="AC590" i="94"/>
  <c r="AC598" i="94"/>
  <c r="AC509" i="94"/>
  <c r="AC517" i="94"/>
  <c r="AC525" i="94"/>
  <c r="AC532" i="94"/>
  <c r="AC540" i="94"/>
  <c r="AC556" i="94"/>
  <c r="AC503" i="94"/>
  <c r="AC487" i="94"/>
  <c r="AC495" i="94"/>
  <c r="AC609" i="94"/>
  <c r="AC616" i="94"/>
  <c r="AC604" i="94"/>
  <c r="AC581" i="94"/>
  <c r="AC589" i="94"/>
  <c r="AC597" i="94"/>
  <c r="AC516" i="94"/>
  <c r="AC524" i="94"/>
  <c r="AC539" i="94"/>
  <c r="AC555" i="94"/>
  <c r="AC486" i="94"/>
  <c r="AB186" i="94"/>
  <c r="F184" i="94" s="1"/>
  <c r="AH184"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B115" i="94"/>
  <c r="AC115" i="94"/>
  <c r="E28" i="103"/>
  <c r="B25" i="102" l="1"/>
  <c r="C25" i="102" s="1"/>
  <c r="A1" i="102"/>
  <c r="A4" i="103"/>
  <c r="A3" i="103"/>
  <c r="F1" i="102"/>
  <c r="AB643" i="94"/>
  <c r="A3" i="102"/>
  <c r="B46" i="102"/>
  <c r="C46" i="102" s="1"/>
  <c r="AB710" i="94"/>
  <c r="AB709" i="94"/>
  <c r="B709" i="94" s="1"/>
  <c r="AC709" i="94"/>
  <c r="B706" i="94"/>
  <c r="AC641" i="94"/>
  <c r="B521" i="94"/>
  <c r="AC322" i="94"/>
  <c r="AC350" i="94"/>
  <c r="B114" i="94"/>
  <c r="AC359" i="94" l="1"/>
  <c r="AC357" i="94"/>
  <c r="AC351" i="94"/>
  <c r="AC373" i="94"/>
  <c r="AC356" i="94"/>
  <c r="AC364" i="94"/>
  <c r="AC376" i="94"/>
  <c r="AC355" i="94"/>
  <c r="AC363" i="94"/>
  <c r="AC375" i="94"/>
  <c r="AC354" i="94"/>
  <c r="AC362" i="94"/>
  <c r="AC358" i="94"/>
  <c r="AC374" i="94"/>
  <c r="AC353" i="94"/>
  <c r="AC361" i="94"/>
  <c r="AC352" i="94"/>
  <c r="AC360" i="94"/>
  <c r="AC326" i="94"/>
  <c r="AC334" i="94"/>
  <c r="AC325" i="94"/>
  <c r="AC333" i="94"/>
  <c r="AC324" i="94"/>
  <c r="AC332" i="94"/>
  <c r="AC331" i="94"/>
  <c r="AC345" i="94"/>
  <c r="AC330" i="94"/>
  <c r="AC329" i="94"/>
  <c r="AC348" i="94"/>
  <c r="AC323" i="94"/>
  <c r="AC347" i="94"/>
  <c r="AC328" i="94"/>
  <c r="AC336" i="94"/>
  <c r="AC346" i="94"/>
  <c r="AC327" i="94"/>
  <c r="AC335" i="94"/>
  <c r="E25" i="102"/>
  <c r="E56" i="102"/>
  <c r="E46" i="102"/>
  <c r="E57" i="102"/>
  <c r="F2" i="102"/>
  <c r="F4" i="102"/>
  <c r="AB455" i="94"/>
  <c r="B448" i="94"/>
  <c r="AC449" i="94"/>
  <c r="AC448" i="94"/>
  <c r="AB450" i="94"/>
  <c r="B450" i="94" s="1"/>
  <c r="G4" i="102" l="1"/>
  <c r="H4" i="102" s="1"/>
  <c r="I4" i="102" s="1"/>
  <c r="J4" i="102" s="1"/>
  <c r="K4" i="102" s="1"/>
  <c r="L4" i="102" s="1"/>
  <c r="M4" i="102" s="1"/>
  <c r="M2" i="102" l="1"/>
  <c r="N4" i="102"/>
  <c r="O4" i="102" s="1"/>
  <c r="P4" i="102" s="1"/>
  <c r="Q4" i="102" s="1"/>
  <c r="R4" i="102" s="1"/>
  <c r="S4" i="102" s="1"/>
  <c r="T4" i="102" s="1"/>
  <c r="T2" i="102" s="1"/>
  <c r="B14" i="102"/>
  <c r="AB190" i="94"/>
  <c r="B190" i="94" s="1"/>
  <c r="AC118" i="94"/>
  <c r="D38" i="94"/>
  <c r="D37" i="94"/>
  <c r="U4" i="102" l="1"/>
  <c r="V4" i="102" s="1"/>
  <c r="W4" i="102" s="1"/>
  <c r="X4" i="102" s="1"/>
  <c r="Y4" i="102" s="1"/>
  <c r="Z4" i="102" s="1"/>
  <c r="AA4" i="102" s="1"/>
  <c r="AB4" i="102" s="1"/>
  <c r="AC4" i="102" s="1"/>
  <c r="AD4" i="102" s="1"/>
  <c r="AE4" i="102" s="1"/>
  <c r="AF4" i="102" s="1"/>
  <c r="AG4" i="102" s="1"/>
  <c r="AH4" i="102" s="1"/>
  <c r="D15" i="94"/>
  <c r="AA2" i="102" l="1"/>
  <c r="AI4" i="102"/>
  <c r="AJ4" i="102" s="1"/>
  <c r="AK4" i="102" s="1"/>
  <c r="AL4" i="102" s="1"/>
  <c r="AM4" i="102" s="1"/>
  <c r="AN4" i="102" s="1"/>
  <c r="AO4" i="102" s="1"/>
  <c r="AH2" i="102"/>
  <c r="AC442" i="94"/>
  <c r="AO2" i="102" l="1"/>
  <c r="AP4" i="102"/>
  <c r="AQ4" i="102" s="1"/>
  <c r="AR4" i="102" s="1"/>
  <c r="AS4" i="102" s="1"/>
  <c r="AT4" i="102" s="1"/>
  <c r="AU4" i="102" s="1"/>
  <c r="AV4" i="102" s="1"/>
  <c r="AB14" i="94"/>
  <c r="B437" i="94" s="1"/>
  <c r="AW4" i="102" l="1"/>
  <c r="AX4" i="102" s="1"/>
  <c r="AY4" i="102" s="1"/>
  <c r="AZ4" i="102" s="1"/>
  <c r="BA4" i="102" s="1"/>
  <c r="BB4" i="102" s="1"/>
  <c r="BC4" i="102" s="1"/>
  <c r="AV2" i="102"/>
  <c r="BC2" i="102" l="1"/>
  <c r="BD4" i="102"/>
  <c r="BE4" i="102" s="1"/>
  <c r="BF4" i="102" s="1"/>
  <c r="BG4" i="102" s="1"/>
  <c r="BH4" i="102" s="1"/>
  <c r="BI4" i="102" s="1"/>
  <c r="AB39" i="94"/>
  <c r="AB38" i="94"/>
  <c r="AB37" i="94"/>
  <c r="AB671" i="94"/>
  <c r="AB670" i="94"/>
  <c r="AB669" i="94"/>
  <c r="AB668" i="94"/>
  <c r="C235" i="94"/>
  <c r="AC708" i="94"/>
  <c r="AC707" i="94"/>
  <c r="AC706" i="94"/>
  <c r="AC705" i="94"/>
  <c r="B73" i="94"/>
  <c r="B2" i="99"/>
  <c r="AB98" i="94"/>
  <c r="AC468" i="94"/>
  <c r="AB708" i="94"/>
  <c r="B705" i="94"/>
  <c r="AB754" i="94"/>
  <c r="C625" i="94" l="1"/>
  <c r="C190" i="94"/>
  <c r="C443" i="94"/>
  <c r="D2" i="96"/>
  <c r="AC730" i="94"/>
  <c r="AC729" i="94"/>
  <c r="AC728" i="94"/>
  <c r="AB138" i="94"/>
  <c r="AB137" i="94"/>
  <c r="C729" i="94" l="1"/>
  <c r="C596" i="94"/>
  <c r="C641" i="94"/>
  <c r="C585" i="94"/>
  <c r="C182" i="94"/>
  <c r="AC182" i="94" s="1"/>
  <c r="C446" i="94"/>
  <c r="C447" i="94"/>
  <c r="AB447" i="94"/>
  <c r="AB446" i="94"/>
  <c r="C319" i="94"/>
  <c r="C315" i="94"/>
  <c r="C302" i="94"/>
  <c r="C298" i="94"/>
  <c r="C209" i="94"/>
  <c r="C137" i="94"/>
  <c r="C135" i="94"/>
  <c r="C106" i="94"/>
  <c r="C434" i="94"/>
  <c r="C468" i="94"/>
  <c r="C650" i="94"/>
  <c r="C717" i="94"/>
  <c r="C772" i="94"/>
  <c r="C857" i="94"/>
  <c r="C824" i="94"/>
  <c r="C849" i="94"/>
  <c r="AB791" i="94" l="1"/>
  <c r="AC766" i="94"/>
  <c r="AC765" i="94"/>
  <c r="AB36" i="94" l="1"/>
  <c r="AB18" i="94"/>
  <c r="AC18" i="94" s="1"/>
  <c r="AB42" i="94"/>
  <c r="B42" i="94" s="1"/>
  <c r="AB8" i="94"/>
  <c r="B8" i="94" s="1"/>
  <c r="B41" i="94"/>
  <c r="AB12" i="94"/>
  <c r="B38" i="94"/>
  <c r="B37" i="94"/>
  <c r="AB30" i="94"/>
  <c r="AB16" i="94"/>
  <c r="AB27" i="94"/>
  <c r="AB26" i="94"/>
  <c r="B25" i="94"/>
  <c r="AB15" i="94"/>
  <c r="AC701" i="94"/>
  <c r="AC700" i="94"/>
  <c r="AC698" i="94"/>
  <c r="AC694" i="94"/>
  <c r="AC693" i="94"/>
  <c r="AC691" i="94"/>
  <c r="AC690" i="94"/>
  <c r="AC689" i="94"/>
  <c r="AC688" i="94"/>
  <c r="AC687" i="94"/>
  <c r="AC686" i="94"/>
  <c r="AC685" i="94"/>
  <c r="AC684" i="94"/>
  <c r="AC683" i="94"/>
  <c r="AC682" i="94"/>
  <c r="AC681" i="94"/>
  <c r="AC680" i="94"/>
  <c r="AC679" i="94"/>
  <c r="AC678" i="94"/>
  <c r="AC677" i="94"/>
  <c r="AC676" i="94"/>
  <c r="AC672" i="94"/>
  <c r="AC668" i="94"/>
  <c r="AC667" i="94"/>
  <c r="AC666" i="94"/>
  <c r="AC665" i="94"/>
  <c r="AC664" i="94"/>
  <c r="AC663" i="94"/>
  <c r="AC662" i="94"/>
  <c r="AC660" i="94"/>
  <c r="AC659" i="94"/>
  <c r="AC39" i="94"/>
  <c r="F15" i="94"/>
  <c r="AC112" i="94"/>
  <c r="AC114" i="94"/>
  <c r="AC113" i="94"/>
  <c r="AB729" i="94"/>
  <c r="AB728" i="94"/>
  <c r="AB730" i="94"/>
  <c r="AB727" i="94"/>
  <c r="H861" i="94"/>
  <c r="F14" i="94"/>
  <c r="E35" i="93" l="1"/>
  <c r="G2" i="93"/>
  <c r="E45" i="93"/>
  <c r="B29" i="94"/>
  <c r="B653" i="94"/>
  <c r="AC122" i="94"/>
  <c r="B118" i="94"/>
  <c r="AC121" i="94"/>
  <c r="B110" i="94"/>
  <c r="AC120" i="94"/>
  <c r="AB847" i="94"/>
  <c r="B711" i="94"/>
  <c r="AC711" i="94"/>
  <c r="B710" i="94"/>
  <c r="AC710" i="94"/>
  <c r="B708" i="94"/>
  <c r="B126" i="94"/>
  <c r="B127" i="94"/>
  <c r="AC127" i="94"/>
  <c r="AB660" i="94"/>
  <c r="AB143" i="94"/>
  <c r="B143" i="94" s="1"/>
  <c r="AC142" i="94"/>
  <c r="AC143" i="94"/>
  <c r="AC141" i="94"/>
  <c r="AC140" i="94"/>
  <c r="B140" i="94"/>
  <c r="B139" i="94"/>
  <c r="AC139" i="94"/>
  <c r="AC126" i="94"/>
  <c r="B138" i="94"/>
  <c r="B137" i="94"/>
  <c r="B135" i="94"/>
  <c r="B134" i="94"/>
  <c r="AC137" i="94"/>
  <c r="AC134" i="94"/>
  <c r="AB198" i="94"/>
  <c r="AB99" i="94"/>
  <c r="AC38" i="94"/>
  <c r="AC37" i="94"/>
  <c r="AC718" i="94"/>
  <c r="AC717" i="94"/>
  <c r="AC716" i="94"/>
  <c r="AC696" i="94"/>
  <c r="AC715" i="94"/>
  <c r="AG715" i="94" s="1"/>
  <c r="AC714" i="94"/>
  <c r="AG714" i="94" s="1"/>
  <c r="AC713" i="94"/>
  <c r="AG713" i="94" s="1"/>
  <c r="AC712" i="94"/>
  <c r="AC703" i="94"/>
  <c r="AC702" i="94"/>
  <c r="AC699" i="94"/>
  <c r="AC697" i="94"/>
  <c r="AC692" i="94"/>
  <c r="AC675" i="94"/>
  <c r="AC674" i="94"/>
  <c r="AC673" i="94"/>
  <c r="AC661" i="94"/>
  <c r="AC650" i="94"/>
  <c r="AC649" i="94"/>
  <c r="AC648" i="94"/>
  <c r="AC647" i="94"/>
  <c r="AC643" i="94"/>
  <c r="AC639" i="94"/>
  <c r="AC638" i="94"/>
  <c r="AC636" i="94"/>
  <c r="AC635" i="94"/>
  <c r="AC626" i="94"/>
  <c r="AC603" i="94"/>
  <c r="AC602" i="94"/>
  <c r="AC642" i="94"/>
  <c r="AC646" i="94"/>
  <c r="AC644" i="94"/>
  <c r="AC162" i="94"/>
  <c r="AC161" i="94"/>
  <c r="AC160" i="94"/>
  <c r="AC159" i="94"/>
  <c r="AC158" i="94"/>
  <c r="AC157" i="94"/>
  <c r="AC144" i="94"/>
  <c r="AC498" i="94"/>
  <c r="AC27" i="94"/>
  <c r="AC26" i="94"/>
  <c r="AC16" i="94"/>
  <c r="AC467" i="94"/>
  <c r="AC466" i="94"/>
  <c r="AC465" i="94"/>
  <c r="AC464" i="94"/>
  <c r="AC463" i="94"/>
  <c r="AC462" i="94"/>
  <c r="AC461" i="94"/>
  <c r="AC460" i="94"/>
  <c r="AC459" i="94"/>
  <c r="AC458" i="94"/>
  <c r="AC457" i="94"/>
  <c r="AC456" i="94"/>
  <c r="AC455" i="94"/>
  <c r="AC454" i="94"/>
  <c r="AC453" i="94"/>
  <c r="AC452" i="94"/>
  <c r="AC451" i="94"/>
  <c r="AC450" i="94"/>
  <c r="AB445" i="94"/>
  <c r="AB48" i="94"/>
  <c r="AC447" i="94"/>
  <c r="AC446" i="94"/>
  <c r="AC445" i="94"/>
  <c r="AC444" i="94"/>
  <c r="AC443" i="94"/>
  <c r="AC833" i="94"/>
  <c r="AC829" i="94"/>
  <c r="AC48" i="94"/>
  <c r="AC15" i="94"/>
  <c r="AB50" i="94"/>
  <c r="AC849" i="94"/>
  <c r="AC406" i="94"/>
  <c r="AC378" i="94"/>
  <c r="AC309" i="94"/>
  <c r="AC294" i="94"/>
  <c r="AC791" i="94"/>
  <c r="AC50" i="94"/>
  <c r="B603" i="94"/>
  <c r="AB606" i="94"/>
  <c r="B606" i="94" s="1"/>
  <c r="AB676" i="94"/>
  <c r="B676" i="94" s="1"/>
  <c r="AG144" i="94" l="1"/>
  <c r="AC415" i="94"/>
  <c r="AC414" i="94"/>
  <c r="AC413" i="94"/>
  <c r="AC407" i="94"/>
  <c r="AC412" i="94"/>
  <c r="AC420" i="94"/>
  <c r="AC411" i="94"/>
  <c r="AC419" i="94"/>
  <c r="AC410" i="94"/>
  <c r="AC418" i="94"/>
  <c r="AC409" i="94"/>
  <c r="AC417" i="94"/>
  <c r="AC408" i="94"/>
  <c r="AC416" i="94"/>
  <c r="AC380" i="94"/>
  <c r="AC388" i="94"/>
  <c r="AC401" i="94"/>
  <c r="AC387" i="94"/>
  <c r="AC404" i="94"/>
  <c r="AC386" i="94"/>
  <c r="AC403" i="94"/>
  <c r="AC385" i="94"/>
  <c r="AC402" i="94"/>
  <c r="AC384" i="94"/>
  <c r="AC392" i="94"/>
  <c r="AC383" i="94"/>
  <c r="AC391" i="94"/>
  <c r="AC382" i="94"/>
  <c r="AC390" i="94"/>
  <c r="AC381" i="94"/>
  <c r="AC389" i="94"/>
  <c r="AC379" i="94"/>
  <c r="AC298" i="94"/>
  <c r="AC306" i="94"/>
  <c r="AC297" i="94"/>
  <c r="AC305" i="94"/>
  <c r="AC296" i="94"/>
  <c r="AC304" i="94"/>
  <c r="AC317" i="94"/>
  <c r="AC303" i="94"/>
  <c r="AC320" i="94"/>
  <c r="AC302" i="94"/>
  <c r="AC319" i="94"/>
  <c r="AC301" i="94"/>
  <c r="AC295" i="94"/>
  <c r="AC318" i="94"/>
  <c r="AC300" i="94"/>
  <c r="AC308" i="94"/>
  <c r="AC299" i="94"/>
  <c r="AC307" i="94"/>
  <c r="AC316" i="94"/>
  <c r="AC315" i="94"/>
  <c r="AC314" i="94"/>
  <c r="AC313" i="94"/>
  <c r="AC310" i="94"/>
  <c r="AC312" i="94"/>
  <c r="AC311" i="94"/>
  <c r="AC135" i="94"/>
  <c r="B744" i="94"/>
  <c r="AC754" i="94"/>
  <c r="B754" i="94"/>
  <c r="B749" i="94"/>
  <c r="B519" i="94"/>
  <c r="AB772" i="94" l="1"/>
  <c r="AB716" i="94"/>
  <c r="B716" i="94" s="1"/>
  <c r="B642" i="94"/>
  <c r="AB468" i="94"/>
  <c r="AB434" i="94"/>
  <c r="B587" i="94"/>
  <c r="B162" i="94"/>
  <c r="B161" i="94"/>
  <c r="C13" i="99"/>
  <c r="B13" i="99"/>
  <c r="G2" i="99"/>
  <c r="B12" i="99"/>
  <c r="B11" i="99"/>
  <c r="B10" i="99"/>
  <c r="B9" i="99"/>
  <c r="B8" i="99"/>
  <c r="B7" i="99"/>
  <c r="C12" i="99"/>
  <c r="C11" i="99"/>
  <c r="C10" i="99"/>
  <c r="C9" i="99"/>
  <c r="C8" i="99"/>
  <c r="C7" i="99"/>
  <c r="B25" i="99"/>
  <c r="B24" i="99"/>
  <c r="B23" i="99"/>
  <c r="B22" i="99"/>
  <c r="B21" i="99"/>
  <c r="B20" i="99"/>
  <c r="B18" i="99"/>
  <c r="B19" i="99"/>
  <c r="B106" i="94"/>
  <c r="B105" i="94"/>
  <c r="AB661" i="94"/>
  <c r="B661" i="94" s="1"/>
  <c r="AB647" i="94"/>
  <c r="B609" i="94"/>
  <c r="B520" i="94"/>
  <c r="AB690" i="94"/>
  <c r="B690" i="94" s="1"/>
  <c r="AG465" i="94"/>
  <c r="AG464" i="94"/>
  <c r="AG463" i="94"/>
  <c r="AB461" i="94"/>
  <c r="AG453" i="94"/>
  <c r="AH453" i="94"/>
  <c r="AH454" i="94"/>
  <c r="AH452" i="94"/>
  <c r="AG452" i="94"/>
  <c r="AB465" i="94"/>
  <c r="B465" i="94" s="1"/>
  <c r="AB464" i="94"/>
  <c r="B464" i="94" s="1"/>
  <c r="AB463" i="94"/>
  <c r="B463" i="94" s="1"/>
  <c r="AB462" i="94"/>
  <c r="B462" i="94" s="1"/>
  <c r="AB454" i="94"/>
  <c r="B454" i="94" s="1"/>
  <c r="AB453" i="94"/>
  <c r="B453" i="94" s="1"/>
  <c r="AB451" i="94"/>
  <c r="B451" i="94" s="1"/>
  <c r="AB452" i="94"/>
  <c r="B452" i="94" s="1"/>
  <c r="B315" i="94"/>
  <c r="B218" i="94" l="1"/>
  <c r="AC848" i="94"/>
  <c r="B671" i="94"/>
  <c r="B670" i="94"/>
  <c r="B669" i="94"/>
  <c r="B668" i="94"/>
  <c r="AB667" i="94"/>
  <c r="B667" i="94" s="1"/>
  <c r="B660" i="94"/>
  <c r="B643" i="94" l="1"/>
  <c r="B602" i="94"/>
  <c r="B601" i="94"/>
  <c r="A41" i="103" l="1"/>
  <c r="B41" i="102"/>
  <c r="B100" i="94" l="1"/>
  <c r="AB846" i="94"/>
  <c r="B840" i="94"/>
  <c r="B478" i="94" l="1"/>
  <c r="B443" i="94"/>
  <c r="B442" i="94"/>
  <c r="B272" i="94"/>
  <c r="B198" i="94"/>
  <c r="AC198" i="94"/>
  <c r="B847" i="94"/>
  <c r="AB697" i="94"/>
  <c r="B697" i="94" s="1"/>
  <c r="AC204" i="94" l="1"/>
  <c r="AC220" i="94"/>
  <c r="AC228" i="94"/>
  <c r="AC203" i="94"/>
  <c r="AC211" i="94"/>
  <c r="AC219" i="94"/>
  <c r="AC227" i="94"/>
  <c r="AC202" i="94"/>
  <c r="AC210" i="94"/>
  <c r="AC218" i="94"/>
  <c r="AC226" i="94"/>
  <c r="AC200" i="94"/>
  <c r="AC208" i="94"/>
  <c r="AC216" i="94"/>
  <c r="AC224" i="94"/>
  <c r="AC201" i="94"/>
  <c r="AC209" i="94"/>
  <c r="AC217" i="94"/>
  <c r="AC225" i="94"/>
  <c r="AC207" i="94"/>
  <c r="AC215" i="94"/>
  <c r="AC223" i="94"/>
  <c r="AC206" i="94"/>
  <c r="AC214" i="94"/>
  <c r="AC222" i="94"/>
  <c r="AC199" i="94"/>
  <c r="AC205" i="94"/>
  <c r="AC213" i="94"/>
  <c r="AC221" i="94"/>
  <c r="AC229" i="94"/>
  <c r="AC212" i="94"/>
  <c r="AB595" i="94"/>
  <c r="B595" i="94" s="1"/>
  <c r="B434" i="94"/>
  <c r="B729" i="94"/>
  <c r="AC846" i="94"/>
  <c r="B728" i="94" l="1"/>
  <c r="B730" i="94"/>
  <c r="B727" i="94"/>
  <c r="B504" i="94"/>
  <c r="B30" i="94"/>
  <c r="B99" i="94"/>
  <c r="B98" i="94"/>
  <c r="AC191" i="94"/>
  <c r="AC190" i="94"/>
  <c r="AC119" i="94"/>
  <c r="B48" i="94" l="1"/>
  <c r="AB3" i="94"/>
  <c r="B111" i="94" l="1"/>
  <c r="B846" i="94" l="1"/>
  <c r="B859" i="94"/>
  <c r="B849" i="94"/>
  <c r="B791" i="94"/>
  <c r="B772" i="94"/>
  <c r="AB688" i="94"/>
  <c r="B688" i="94" s="1"/>
  <c r="AB686" i="94"/>
  <c r="B686" i="94" s="1"/>
  <c r="AB684" i="94"/>
  <c r="B684" i="94" s="1"/>
  <c r="AB682" i="94"/>
  <c r="B682" i="94" s="1"/>
  <c r="AB680" i="94"/>
  <c r="B680" i="94" s="1"/>
  <c r="AB678" i="94"/>
  <c r="B678" i="94" s="1"/>
  <c r="B650" i="94"/>
  <c r="B468" i="94"/>
  <c r="B692" i="94"/>
  <c r="B675" i="94"/>
  <c r="B659" i="94"/>
  <c r="AB466" i="94"/>
  <c r="B466" i="94" s="1"/>
  <c r="AB460" i="94"/>
  <c r="B460" i="94" s="1"/>
  <c r="B461" i="94"/>
  <c r="B455" i="94"/>
  <c r="B261" i="94"/>
  <c r="B269" i="94"/>
  <c r="B89" i="94"/>
  <c r="B101" i="94" l="1"/>
  <c r="B74" i="94"/>
  <c r="AB62" i="94"/>
  <c r="B62" i="94" s="1"/>
  <c r="B61" i="94"/>
  <c r="B649" i="94"/>
  <c r="B647" i="94"/>
  <c r="B600" i="94" l="1"/>
  <c r="B597" i="94"/>
  <c r="B590" i="94"/>
  <c r="B589" i="94"/>
  <c r="B498" i="94"/>
  <c r="B734" i="94" l="1"/>
  <c r="B39" i="94" l="1"/>
  <c r="B231" i="94" l="1"/>
  <c r="B18" i="94"/>
  <c r="D16" i="84"/>
  <c r="D17" i="84"/>
  <c r="D18" i="84"/>
  <c r="D19" i="84"/>
  <c r="D20" i="84"/>
  <c r="D21" i="84"/>
  <c r="D22" i="84"/>
  <c r="D23" i="84"/>
  <c r="D24" i="84"/>
  <c r="D25" i="84"/>
  <c r="D26" i="84"/>
  <c r="D15" i="84"/>
  <c r="C16" i="84"/>
  <c r="C17" i="84"/>
  <c r="C18" i="84"/>
  <c r="C19" i="84"/>
  <c r="AH41" i="93" s="1"/>
  <c r="C20" i="84"/>
  <c r="C21" i="84"/>
  <c r="C22" i="84"/>
  <c r="C23" i="84"/>
  <c r="C24" i="84"/>
  <c r="C25" i="84"/>
  <c r="C26" i="84"/>
  <c r="C15" i="84"/>
  <c r="B27" i="94"/>
  <c r="B471" i="94"/>
  <c r="B833" i="94" l="1"/>
  <c r="B829" i="94"/>
  <c r="B446" i="94"/>
  <c r="B447" i="94"/>
  <c r="B444" i="94"/>
  <c r="B445" i="94"/>
  <c r="AB437" i="94"/>
  <c r="B36" i="94"/>
  <c r="B26" i="94"/>
  <c r="B50" i="94"/>
  <c r="B15" i="94"/>
  <c r="B16" i="94"/>
  <c r="B22" i="94"/>
  <c r="B31" i="94"/>
  <c r="F74" i="84" l="1"/>
  <c r="B12" i="94"/>
  <c r="B7" i="102" l="1"/>
  <c r="B14" i="94"/>
  <c r="F66" i="84" l="1"/>
  <c r="F65" i="84"/>
  <c r="F64" i="84"/>
  <c r="F63" i="84"/>
  <c r="F62" i="84"/>
  <c r="F61" i="84"/>
  <c r="F60" i="84"/>
  <c r="F59" i="84"/>
  <c r="F58" i="84"/>
  <c r="F48" i="84"/>
  <c r="F47" i="84"/>
  <c r="F46" i="84"/>
  <c r="F45" i="84"/>
  <c r="F44" i="84"/>
  <c r="F43" i="84"/>
  <c r="F42" i="84"/>
  <c r="F41" i="84"/>
  <c r="F40" i="84"/>
  <c r="F57" i="84"/>
  <c r="F56" i="84"/>
  <c r="F55" i="84"/>
  <c r="F54" i="84"/>
  <c r="F53" i="84"/>
  <c r="F52" i="84"/>
  <c r="F51" i="84"/>
  <c r="F50" i="84"/>
  <c r="F49" i="84"/>
  <c r="F31" i="84"/>
  <c r="F32" i="84"/>
  <c r="F33" i="84"/>
  <c r="F34" i="84"/>
  <c r="F35" i="84"/>
  <c r="F36" i="84"/>
  <c r="F37" i="84"/>
  <c r="F38" i="84"/>
  <c r="F39" i="84"/>
  <c r="F67" i="84"/>
  <c r="F181" i="84" l="1"/>
  <c r="F180" i="84"/>
  <c r="F179" i="84"/>
  <c r="F178" i="84"/>
  <c r="F177" i="84"/>
  <c r="F176" i="84"/>
  <c r="F175" i="84"/>
  <c r="F174" i="84"/>
  <c r="F173" i="84"/>
  <c r="F172" i="84"/>
  <c r="F171" i="84"/>
  <c r="F170" i="84"/>
  <c r="F169" i="84"/>
  <c r="F168" i="84"/>
  <c r="F167" i="84"/>
  <c r="F166" i="84"/>
  <c r="F165" i="84"/>
  <c r="F164" i="84"/>
  <c r="F163" i="84"/>
  <c r="F162" i="84"/>
  <c r="F161" i="84"/>
  <c r="F160" i="84"/>
  <c r="F159" i="84"/>
  <c r="F158" i="84"/>
  <c r="F157" i="84"/>
  <c r="F156" i="84"/>
  <c r="F155" i="84"/>
  <c r="F154" i="84"/>
  <c r="F153" i="84"/>
  <c r="F152" i="84"/>
  <c r="F151" i="84"/>
  <c r="F150" i="84"/>
  <c r="F149" i="84"/>
  <c r="F148" i="84"/>
  <c r="F147" i="84"/>
  <c r="F146" i="84"/>
  <c r="F145" i="84"/>
  <c r="F144" i="84"/>
  <c r="F143" i="84"/>
  <c r="F142" i="84"/>
  <c r="F141" i="84"/>
  <c r="F140" i="84"/>
  <c r="F139" i="84"/>
  <c r="F138" i="84"/>
  <c r="F137" i="84"/>
  <c r="F136" i="84"/>
  <c r="F135" i="84"/>
  <c r="F134" i="84"/>
  <c r="F133" i="84"/>
  <c r="F132" i="84"/>
  <c r="F131" i="84"/>
  <c r="F130" i="84"/>
  <c r="F129" i="84"/>
  <c r="F128" i="84"/>
  <c r="F127" i="84"/>
  <c r="F126" i="84"/>
  <c r="F125" i="84"/>
  <c r="F124" i="84"/>
  <c r="F123" i="84"/>
  <c r="F122" i="84"/>
  <c r="F121" i="84"/>
  <c r="F120" i="84"/>
  <c r="F119" i="84"/>
  <c r="F118" i="84"/>
  <c r="F117" i="84"/>
  <c r="F116" i="84"/>
  <c r="F115" i="84"/>
  <c r="F114" i="84"/>
  <c r="F113" i="84"/>
  <c r="F112" i="84"/>
  <c r="F111" i="84"/>
  <c r="F110" i="84"/>
  <c r="F109" i="84"/>
  <c r="F108" i="84"/>
  <c r="F107" i="84"/>
  <c r="F106" i="84"/>
  <c r="F105" i="84"/>
  <c r="F104" i="84"/>
  <c r="F103" i="84"/>
  <c r="F102" i="84"/>
  <c r="F101" i="84"/>
  <c r="F100" i="84"/>
  <c r="F99" i="84"/>
  <c r="F98" i="84"/>
  <c r="F97" i="84"/>
  <c r="F96" i="84"/>
  <c r="F95" i="84"/>
  <c r="F94" i="84"/>
  <c r="F93" i="84"/>
  <c r="F92" i="84"/>
  <c r="F91" i="84"/>
  <c r="F90" i="84"/>
  <c r="F89" i="84"/>
  <c r="F88" i="84"/>
  <c r="F87" i="84"/>
  <c r="F86" i="84"/>
  <c r="F85" i="84"/>
  <c r="F84" i="84"/>
  <c r="F83" i="84"/>
  <c r="F82" i="84"/>
  <c r="F81" i="84"/>
  <c r="F80" i="84"/>
  <c r="F79" i="84"/>
  <c r="F78" i="84"/>
  <c r="F77" i="84"/>
  <c r="F76" i="84"/>
  <c r="F75" i="84"/>
  <c r="AH678" i="94" l="1"/>
  <c r="H678" i="94" s="1"/>
  <c r="AH680" i="94" l="1"/>
  <c r="H680" i="94" s="1"/>
  <c r="AH682" i="94" l="1"/>
  <c r="H682" i="94" s="1"/>
  <c r="AH684" i="94"/>
  <c r="H684" i="94" s="1"/>
  <c r="G452" i="94" l="1"/>
  <c r="H452" i="94" l="1"/>
  <c r="G453" i="94" l="1"/>
  <c r="H453" i="94" s="1"/>
  <c r="AG454" i="94" l="1"/>
  <c r="G454" i="94" s="1"/>
  <c r="G463" i="94"/>
  <c r="AH463" i="94" s="1"/>
  <c r="H463" i="94" s="1"/>
  <c r="G464" i="94" l="1"/>
  <c r="H454" i="94"/>
  <c r="AH464" i="94" l="1"/>
  <c r="H464" i="94" s="1"/>
  <c r="G465" i="94" l="1"/>
  <c r="AH465" i="94" l="1"/>
  <c r="H465" i="94" s="1"/>
  <c r="AH686" i="94" l="1"/>
  <c r="H686" i="94" s="1"/>
  <c r="AH690" i="94" l="1"/>
  <c r="H690" i="94" s="1"/>
  <c r="AH688" i="94"/>
  <c r="H688" i="94" s="1"/>
  <c r="E6" i="102" l="1"/>
  <c r="E33" i="102"/>
  <c r="G771" i="94"/>
  <c r="E52" i="102" l="1"/>
  <c r="E18" i="102"/>
  <c r="C15" i="102" l="1"/>
  <c r="E15" i="102" s="1"/>
  <c r="A42" i="103" l="1"/>
  <c r="C41" i="102"/>
  <c r="E41" i="102" s="1"/>
  <c r="AG669" i="94" l="1"/>
  <c r="AG670" i="94"/>
  <c r="AG671" i="94"/>
  <c r="AH670" i="94" l="1"/>
  <c r="H670" i="94" s="1"/>
  <c r="G670" i="94"/>
  <c r="AH669" i="94"/>
  <c r="H669" i="94" s="1"/>
  <c r="G669" i="94"/>
  <c r="AH671" i="94"/>
  <c r="H671" i="94" s="1"/>
  <c r="G671" i="94"/>
  <c r="G713" i="94"/>
  <c r="AH713" i="94" l="1"/>
  <c r="H713" i="94" s="1"/>
  <c r="G714" i="94" l="1"/>
  <c r="AH714" i="94" l="1"/>
  <c r="H714" i="94" s="1"/>
  <c r="G715" i="94" l="1"/>
  <c r="AH715" i="94" l="1"/>
  <c r="H715" i="94" s="1"/>
  <c r="C14" i="102" l="1"/>
  <c r="E14" i="102" l="1"/>
  <c r="E50" i="102" l="1"/>
  <c r="E26" i="102"/>
  <c r="E38" i="102" l="1"/>
  <c r="E22" i="102" l="1"/>
  <c r="B40" i="102" l="1"/>
  <c r="C40" i="102" s="1"/>
  <c r="E40" i="102" s="1"/>
  <c r="B20" i="102"/>
  <c r="C20" i="102" s="1"/>
  <c r="E20" i="102" s="1"/>
  <c r="E10" i="102" l="1"/>
  <c r="AG14" i="94" l="1"/>
  <c r="G14" i="94" l="1"/>
  <c r="G439" i="94" s="1"/>
  <c r="AG443" i="94" l="1"/>
  <c r="G443" i="94" s="1"/>
  <c r="AH443" i="94" s="1"/>
  <c r="H443" i="94" s="1"/>
  <c r="AG448" i="94" l="1"/>
  <c r="G448" i="94" s="1"/>
  <c r="AH448" i="94" l="1"/>
  <c r="H448" i="94" s="1"/>
  <c r="AH450" i="94" l="1"/>
  <c r="H450" i="94" s="1"/>
  <c r="AG451" i="94" s="1"/>
  <c r="G451" i="94" s="1"/>
  <c r="AH451" i="94" s="1"/>
  <c r="B32" i="94" l="1"/>
  <c r="AH50" i="94" l="1"/>
  <c r="H50" i="94" s="1"/>
  <c r="AH14" i="94"/>
  <c r="H14" i="94" s="1"/>
  <c r="H439" i="94" s="1"/>
  <c r="AH754" i="94" l="1"/>
  <c r="H754" i="94" s="1"/>
  <c r="H451" i="94"/>
  <c r="B21" i="102"/>
  <c r="C21" i="102" s="1"/>
  <c r="E21" i="102" s="1"/>
  <c r="B55" i="102"/>
  <c r="C55" i="102" s="1"/>
  <c r="E55" i="102" s="1"/>
  <c r="B17" i="102" l="1"/>
  <c r="C17" i="102" s="1"/>
  <c r="E17" i="102" s="1"/>
  <c r="B16" i="102"/>
  <c r="C16" i="102"/>
  <c r="E16" i="102" s="1"/>
  <c r="AG754" i="94" l="1"/>
  <c r="G754" i="94" s="1"/>
  <c r="AH561" i="94" l="1"/>
  <c r="H561" i="94" s="1"/>
  <c r="AH562" i="94"/>
  <c r="H562" i="94" s="1"/>
  <c r="AH560" i="94"/>
  <c r="H560" i="94" s="1"/>
  <c r="AH770" i="94" l="1"/>
  <c r="H770" i="94" s="1"/>
  <c r="AH762" i="94"/>
  <c r="H762" i="94" s="1"/>
  <c r="AH847" i="94"/>
  <c r="H847" i="94" s="1"/>
  <c r="H772" i="94"/>
  <c r="AH771" i="94"/>
  <c r="H771" i="94" s="1"/>
  <c r="B51" i="102"/>
  <c r="C51" i="102" s="1"/>
  <c r="E51" i="102" s="1"/>
  <c r="H768" i="94"/>
  <c r="AH769" i="94"/>
  <c r="H769" i="94" s="1"/>
  <c r="AG847" i="94"/>
  <c r="G847" i="94" s="1"/>
  <c r="AG38" i="94"/>
  <c r="G38" i="94" s="1"/>
  <c r="AH48" i="94"/>
  <c r="H48" i="94" s="1"/>
  <c r="B24" i="102" s="1"/>
  <c r="C24" i="102" s="1"/>
  <c r="E24" i="102" s="1"/>
  <c r="AG39" i="94"/>
  <c r="G39" i="94" s="1"/>
  <c r="AG46" i="94"/>
  <c r="AH41" i="94"/>
  <c r="H41" i="94" s="1"/>
  <c r="AH761" i="94" s="1"/>
  <c r="H761" i="94" s="1"/>
  <c r="AH47" i="94"/>
  <c r="H47" i="94" s="1"/>
  <c r="AH837" i="94" s="1"/>
  <c r="H837" i="94" s="1"/>
  <c r="AH27" i="94"/>
  <c r="AH732" i="94" l="1"/>
  <c r="H732" i="94" s="1"/>
  <c r="AG738" i="94" s="1"/>
  <c r="AH745" i="94"/>
  <c r="AH785" i="94"/>
  <c r="H785" i="94" s="1"/>
  <c r="AH726" i="94"/>
  <c r="H726" i="94" s="1"/>
  <c r="AH824" i="94"/>
  <c r="AH804" i="94"/>
  <c r="H804" i="94" s="1"/>
  <c r="B53" i="102"/>
  <c r="G777" i="94"/>
  <c r="AH829" i="94"/>
  <c r="H829" i="94" s="1"/>
  <c r="C48" i="102"/>
  <c r="E48" i="102" s="1"/>
  <c r="AH26" i="94"/>
  <c r="H26" i="94" s="1"/>
  <c r="AH39" i="94"/>
  <c r="H39" i="94" s="1"/>
  <c r="AI39" i="94" s="1"/>
  <c r="I41" i="94"/>
  <c r="I44" i="94" s="1"/>
  <c r="AH729" i="94"/>
  <c r="H729" i="94" s="1"/>
  <c r="AH730" i="94"/>
  <c r="H730" i="94" s="1"/>
  <c r="AH728" i="94"/>
  <c r="H728" i="94" s="1"/>
  <c r="AH12" i="94"/>
  <c r="H12" i="94" s="1"/>
  <c r="B36" i="102"/>
  <c r="C36" i="102" s="1"/>
  <c r="E36" i="102" s="1"/>
  <c r="AH38" i="94"/>
  <c r="H38" i="94" s="1"/>
  <c r="B37" i="102" s="1"/>
  <c r="C37" i="102" s="1"/>
  <c r="E37" i="102" s="1"/>
  <c r="B54" i="102"/>
  <c r="C54" i="102" s="1"/>
  <c r="E54" i="102" s="1"/>
  <c r="AH49" i="94"/>
  <c r="H49" i="94" s="1"/>
  <c r="AH46" i="94"/>
  <c r="AH782" i="94"/>
  <c r="H782" i="94" s="1"/>
  <c r="H824" i="94"/>
  <c r="AG29" i="94" l="1"/>
  <c r="AH20" i="94"/>
  <c r="H20" i="94" s="1"/>
  <c r="AH850" i="94"/>
  <c r="AH3" i="94"/>
  <c r="AG34" i="94"/>
  <c r="G655" i="94"/>
  <c r="AH16" i="94"/>
  <c r="H777" i="94"/>
  <c r="H722" i="94"/>
  <c r="H195" i="94"/>
  <c r="AH805" i="94"/>
  <c r="H805" i="94" s="1"/>
  <c r="C53" i="102"/>
  <c r="E53" i="102" s="1"/>
  <c r="H3" i="94"/>
  <c r="C13" i="102" s="1"/>
  <c r="E13" i="102" s="1"/>
  <c r="AH233" i="94"/>
  <c r="AH434" i="94"/>
  <c r="H434" i="94" s="1"/>
  <c r="H233" i="94"/>
  <c r="B48" i="102"/>
  <c r="AH30" i="94"/>
  <c r="H30" i="94" s="1"/>
  <c r="AH25" i="94"/>
  <c r="AI38" i="94"/>
  <c r="AB20" i="94" l="1"/>
  <c r="B20" i="94" s="1"/>
  <c r="AG770" i="94"/>
  <c r="G770" i="94" s="1"/>
  <c r="AG768" i="94"/>
  <c r="G768" i="94" s="1"/>
  <c r="AG769" i="94"/>
  <c r="G769" i="94" s="1"/>
  <c r="G722" i="94"/>
  <c r="H16" i="94"/>
  <c r="AH456" i="94" s="1"/>
  <c r="H456" i="94" s="1"/>
  <c r="AH459" i="94" s="1"/>
  <c r="H459" i="94" s="1"/>
  <c r="AH460" i="94" s="1"/>
  <c r="H460" i="94" s="1"/>
  <c r="AH161" i="94"/>
  <c r="AH162" i="94"/>
  <c r="H162" i="94" s="1"/>
  <c r="AH144" i="94"/>
  <c r="H144" i="94" s="1"/>
  <c r="H19" i="94"/>
  <c r="B19" i="102" s="1"/>
  <c r="C19" i="102" s="1"/>
  <c r="E19" i="102" s="1"/>
  <c r="AH31" i="94"/>
  <c r="H31" i="94" s="1"/>
  <c r="AG649" i="94"/>
  <c r="G649" i="94" s="1"/>
  <c r="AH635" i="94"/>
  <c r="H635" i="94" s="1"/>
  <c r="AH632" i="94"/>
  <c r="H632" i="94" s="1"/>
  <c r="AH149" i="94"/>
  <c r="H149" i="94" s="1"/>
  <c r="C19" i="99" s="1"/>
  <c r="AH152" i="94"/>
  <c r="H152" i="94" s="1"/>
  <c r="C22" i="99" s="1"/>
  <c r="AH155" i="94"/>
  <c r="H155" i="94" s="1"/>
  <c r="C25" i="99" s="1"/>
  <c r="AH148" i="94"/>
  <c r="H148" i="94" s="1"/>
  <c r="C18" i="99" s="1"/>
  <c r="B44" i="102"/>
  <c r="AH646" i="94"/>
  <c r="H646" i="94" s="1"/>
  <c r="AH641" i="94"/>
  <c r="H641" i="94" s="1"/>
  <c r="AH154" i="94"/>
  <c r="H154" i="94" s="1"/>
  <c r="C24" i="99" s="1"/>
  <c r="AH153" i="94"/>
  <c r="H153" i="94" s="1"/>
  <c r="C23" i="99" s="1"/>
  <c r="AH151" i="94"/>
  <c r="H151" i="94" s="1"/>
  <c r="C21" i="99" s="1"/>
  <c r="AH150" i="94"/>
  <c r="H150" i="94" s="1"/>
  <c r="C20" i="99" s="1"/>
  <c r="AG762" i="94"/>
  <c r="G762" i="94" s="1"/>
  <c r="AG729" i="94"/>
  <c r="G729" i="94" s="1"/>
  <c r="AG730" i="94"/>
  <c r="G730" i="94" s="1"/>
  <c r="AG728" i="94"/>
  <c r="G728" i="94" s="1"/>
  <c r="AG732" i="94"/>
  <c r="G732" i="94" s="1"/>
  <c r="AG674" i="94"/>
  <c r="AG661" i="94"/>
  <c r="G661" i="94" s="1"/>
  <c r="AG659" i="94"/>
  <c r="G659" i="94" s="1"/>
  <c r="AG672" i="94"/>
  <c r="G672" i="94" s="1"/>
  <c r="H25" i="94"/>
  <c r="AC20" i="94" l="1"/>
  <c r="AH160" i="94"/>
  <c r="H160" i="94" s="1"/>
  <c r="AG25" i="94"/>
  <c r="G25" i="94" s="1"/>
  <c r="AH576" i="94" s="1"/>
  <c r="AG592" i="94"/>
  <c r="G592" i="94" s="1"/>
  <c r="AH592" i="94" s="1"/>
  <c r="B23" i="102"/>
  <c r="C23" i="102" s="1"/>
  <c r="E23" i="102" s="1"/>
  <c r="B39" i="102"/>
  <c r="C39" i="102" s="1"/>
  <c r="E39" i="102" s="1"/>
  <c r="AG461" i="94"/>
  <c r="G461" i="94" s="1"/>
  <c r="AH461" i="94" s="1"/>
  <c r="H461" i="94" s="1"/>
  <c r="AG466" i="94"/>
  <c r="G466" i="94" s="1"/>
  <c r="AH466" i="94" s="1"/>
  <c r="H466" i="94" s="1"/>
  <c r="AG462" i="94"/>
  <c r="G462" i="94" s="1"/>
  <c r="B19" i="94"/>
  <c r="B49" i="102"/>
  <c r="AH676" i="94"/>
  <c r="H676" i="94" s="1"/>
  <c r="C6" i="99"/>
  <c r="AG167" i="94"/>
  <c r="G167" i="94" s="1"/>
  <c r="AG175" i="94" s="1"/>
  <c r="G175" i="94" s="1"/>
  <c r="AH674" i="94"/>
  <c r="AH659" i="94"/>
  <c r="H659" i="94" s="1"/>
  <c r="AH672" i="94"/>
  <c r="H672" i="94" s="1"/>
  <c r="AG668" i="94"/>
  <c r="AH661" i="94"/>
  <c r="H661" i="94" s="1"/>
  <c r="AG667" i="94" s="1"/>
  <c r="B42" i="102" l="1"/>
  <c r="C42" i="102" s="1"/>
  <c r="E42" i="102" s="1"/>
  <c r="AH629" i="94"/>
  <c r="H629" i="94" s="1"/>
  <c r="H592" i="94"/>
  <c r="A47" i="103"/>
  <c r="AH521" i="94"/>
  <c r="H521" i="94" s="1"/>
  <c r="AH24" i="94"/>
  <c r="H24" i="94" s="1"/>
  <c r="H553" i="94" s="1"/>
  <c r="AH520" i="94"/>
  <c r="H520" i="94" s="1"/>
  <c r="AH519" i="94"/>
  <c r="H519" i="94" s="1"/>
  <c r="AH589" i="94"/>
  <c r="H589" i="94" s="1"/>
  <c r="AH585" i="94" s="1"/>
  <c r="H585" i="94" s="1"/>
  <c r="AC19" i="94"/>
  <c r="AH462" i="94"/>
  <c r="H462" i="94" s="1"/>
  <c r="AG468" i="94" s="1"/>
  <c r="G468" i="94" s="1"/>
  <c r="AH468" i="94" s="1"/>
  <c r="H468" i="94" s="1"/>
  <c r="AH177" i="94"/>
  <c r="H177" i="94" s="1"/>
  <c r="AG692" i="94"/>
  <c r="G692" i="94" s="1"/>
  <c r="AG697" i="94"/>
  <c r="G697" i="94" s="1"/>
  <c r="AH32" i="94"/>
  <c r="H32" i="94" s="1"/>
  <c r="AH29" i="94" s="1"/>
  <c r="C49" i="102"/>
  <c r="E49" i="102" s="1"/>
  <c r="G667" i="94"/>
  <c r="AH667" i="94"/>
  <c r="H667" i="94" s="1"/>
  <c r="B47" i="102"/>
  <c r="A46" i="103"/>
  <c r="AH668" i="94"/>
  <c r="H668" i="94" s="1"/>
  <c r="G668" i="94"/>
  <c r="AH529" i="94" l="1"/>
  <c r="H529" i="94" s="1"/>
  <c r="AH534" i="94"/>
  <c r="H534" i="94" s="1"/>
  <c r="AH537" i="94"/>
  <c r="H537" i="94" s="1"/>
  <c r="AH536" i="94"/>
  <c r="H536" i="94" s="1"/>
  <c r="AH531" i="94"/>
  <c r="H531" i="94" s="1"/>
  <c r="AH528" i="94"/>
  <c r="H528" i="94" s="1"/>
  <c r="AH530" i="94"/>
  <c r="H530" i="94" s="1"/>
  <c r="AH535" i="94"/>
  <c r="H535" i="94" s="1"/>
  <c r="AH527" i="94"/>
  <c r="H527" i="94" s="1"/>
  <c r="C47" i="102"/>
  <c r="E47" i="102" s="1"/>
  <c r="AH602" i="94"/>
  <c r="H602" i="94" s="1"/>
  <c r="AH604" i="94" s="1"/>
  <c r="AG602" i="94"/>
  <c r="G602" i="94" s="1"/>
  <c r="AH532" i="94"/>
  <c r="H532" i="94" s="1"/>
  <c r="AG24" i="94"/>
  <c r="G24" i="94" s="1"/>
  <c r="AH549" i="94" s="1"/>
  <c r="H549" i="94" s="1"/>
  <c r="AH553" i="94" s="1"/>
  <c r="AH538" i="94"/>
  <c r="H538" i="94" s="1"/>
  <c r="C45" i="102"/>
  <c r="B45" i="102" s="1"/>
  <c r="AH533" i="94"/>
  <c r="H533" i="94" s="1"/>
  <c r="C44" i="102"/>
  <c r="E44" i="102" s="1"/>
  <c r="B43" i="102"/>
  <c r="C43" i="102" s="1"/>
  <c r="E43" i="102" s="1"/>
  <c r="E45" i="102" l="1"/>
  <c r="H604" i="94"/>
  <c r="AH624" i="94" s="1"/>
  <c r="H624" i="94" s="1"/>
  <c r="AH23" i="94"/>
  <c r="H23" i="94" s="1"/>
  <c r="AG23" i="94" s="1"/>
  <c r="G23" i="94" s="1"/>
  <c r="AH495" i="94" s="1"/>
  <c r="H495" i="94" s="1"/>
  <c r="AH541" i="94"/>
  <c r="H541" i="94" s="1"/>
  <c r="G553" i="94"/>
  <c r="AG576" i="94"/>
  <c r="G576" i="94" s="1"/>
  <c r="H576" i="94" s="1"/>
  <c r="G738" i="94"/>
  <c r="AH738" i="94" s="1"/>
  <c r="H738" i="94" s="1"/>
  <c r="AG745" i="94" l="1"/>
  <c r="G745" i="94" s="1"/>
  <c r="H745" i="94" s="1"/>
  <c r="AH622" i="94"/>
  <c r="H622" i="94" s="1"/>
  <c r="AG609" i="94"/>
  <c r="G609" i="94" s="1"/>
  <c r="AH524" i="94"/>
  <c r="H524" i="94" s="1"/>
  <c r="AH478" i="94"/>
  <c r="H478" i="94" s="1"/>
  <c r="AH516" i="94"/>
  <c r="H516" i="94" s="1"/>
  <c r="AG12" i="94"/>
  <c r="G12" i="94" s="1"/>
  <c r="AG37" i="94"/>
  <c r="G37" i="94" s="1"/>
  <c r="AH37" i="94"/>
  <c r="H37" i="94" s="1"/>
  <c r="B35" i="102" s="1"/>
  <c r="C35" i="102" s="1"/>
  <c r="E35" i="102" s="1"/>
  <c r="AG22" i="94"/>
  <c r="B13" i="102"/>
  <c r="G473" i="94" l="1"/>
  <c r="AH54" i="94"/>
  <c r="H54" i="94" s="1"/>
  <c r="AH190" i="94" s="1"/>
  <c r="AG397" i="94"/>
  <c r="AG395" i="94"/>
  <c r="AG426" i="94"/>
  <c r="AG398" i="94"/>
  <c r="AG423" i="94"/>
  <c r="AG425" i="94"/>
  <c r="AG417" i="94"/>
  <c r="AG420" i="94"/>
  <c r="AG419" i="94"/>
  <c r="AG418" i="94"/>
  <c r="AG389" i="94"/>
  <c r="AG392" i="94"/>
  <c r="AG391" i="94"/>
  <c r="AG390" i="94"/>
  <c r="AG361" i="94"/>
  <c r="AG364" i="94"/>
  <c r="AG363" i="94"/>
  <c r="AG362" i="94"/>
  <c r="AG333" i="94"/>
  <c r="AG336" i="94"/>
  <c r="AG335" i="94"/>
  <c r="AG334" i="94"/>
  <c r="AG308" i="94"/>
  <c r="AG307" i="94"/>
  <c r="G307" i="94" s="1"/>
  <c r="AH307" i="94" s="1"/>
  <c r="H307" i="94" s="1"/>
  <c r="AG306" i="94"/>
  <c r="G306" i="94" s="1"/>
  <c r="AH306" i="94" s="1"/>
  <c r="H306" i="94" s="1"/>
  <c r="AG305" i="94"/>
  <c r="AG239" i="94"/>
  <c r="G239" i="94" s="1"/>
  <c r="AH73" i="94"/>
  <c r="H73" i="94" s="1"/>
  <c r="AG534" i="94"/>
  <c r="G534" i="94" s="1"/>
  <c r="AG537" i="94"/>
  <c r="G537" i="94" s="1"/>
  <c r="AG478" i="94"/>
  <c r="G478" i="94" s="1"/>
  <c r="B15" i="102" s="1"/>
  <c r="AG532" i="94"/>
  <c r="G532" i="94" s="1"/>
  <c r="AG531" i="94"/>
  <c r="G531" i="94" s="1"/>
  <c r="AG527" i="94"/>
  <c r="G527" i="94" s="1"/>
  <c r="AG530" i="94"/>
  <c r="G530" i="94" s="1"/>
  <c r="AG535" i="94"/>
  <c r="G535" i="94" s="1"/>
  <c r="AG538" i="94"/>
  <c r="G538" i="94" s="1"/>
  <c r="AG495" i="94"/>
  <c r="G495" i="94" s="1"/>
  <c r="AG529" i="94"/>
  <c r="G529" i="94" s="1"/>
  <c r="AG533" i="94"/>
  <c r="G533" i="94" s="1"/>
  <c r="AG650" i="94"/>
  <c r="G650" i="94" s="1"/>
  <c r="AG528" i="94"/>
  <c r="G528" i="94" s="1"/>
  <c r="G177" i="94"/>
  <c r="G144" i="94"/>
  <c r="AG536" i="94"/>
  <c r="G536" i="94" s="1"/>
  <c r="AG434" i="94"/>
  <c r="G434" i="94" s="1"/>
  <c r="AG261" i="94"/>
  <c r="G261" i="94" s="1"/>
  <c r="AH261" i="94" s="1"/>
  <c r="H261" i="94" s="1"/>
  <c r="AG233" i="94"/>
  <c r="G233" i="94" s="1"/>
  <c r="AG269" i="94"/>
  <c r="G269" i="94" s="1"/>
  <c r="AH269" i="94" s="1"/>
  <c r="H269" i="94" s="1"/>
  <c r="AH272" i="94" s="1"/>
  <c r="AI37" i="94"/>
  <c r="B34" i="102"/>
  <c r="C34" i="102" s="1"/>
  <c r="E34" i="102" s="1"/>
  <c r="G308" i="94" l="1"/>
  <c r="AH239" i="94"/>
  <c r="H239" i="94" s="1"/>
  <c r="AH248" i="94" s="1"/>
  <c r="AG248" i="94"/>
  <c r="G248" i="94" s="1"/>
  <c r="H272" i="94"/>
  <c r="AG274" i="94" s="1"/>
  <c r="G274" i="94" s="1"/>
  <c r="AH274" i="94" s="1"/>
  <c r="H274" i="94" s="1"/>
  <c r="A24" i="103"/>
  <c r="AG74" i="94"/>
  <c r="G74" i="94" s="1"/>
  <c r="B9" i="102"/>
  <c r="C9" i="102" s="1"/>
  <c r="E9" i="102" s="1"/>
  <c r="AG516" i="94"/>
  <c r="G516" i="94" s="1"/>
  <c r="AH308" i="94" l="1"/>
  <c r="H308" i="94" s="1"/>
  <c r="AH275" i="94"/>
  <c r="H275" i="94" s="1"/>
  <c r="H248" i="94"/>
  <c r="AH74" i="94"/>
  <c r="H74" i="94" s="1"/>
  <c r="B11" i="102"/>
  <c r="AH282" i="94" l="1"/>
  <c r="H282" i="94" s="1"/>
  <c r="AG317" i="94" s="1"/>
  <c r="AH276" i="94"/>
  <c r="H276" i="94" s="1"/>
  <c r="AH77" i="94"/>
  <c r="H77" i="94" s="1"/>
  <c r="AH78" i="94" s="1"/>
  <c r="H78" i="94" s="1"/>
  <c r="AH79" i="94" s="1"/>
  <c r="H79" i="94" s="1"/>
  <c r="AH80" i="94" s="1"/>
  <c r="H80" i="94" s="1"/>
  <c r="AH84" i="94" s="1"/>
  <c r="H84" i="94" s="1"/>
  <c r="AH86" i="94" s="1"/>
  <c r="H86" i="94" s="1"/>
  <c r="AH88" i="94" s="1"/>
  <c r="H88" i="94" s="1"/>
  <c r="A25" i="103"/>
  <c r="C11" i="102"/>
  <c r="E11" i="102" s="1"/>
  <c r="H209" i="94" l="1"/>
  <c r="AG162" i="94"/>
  <c r="G162" i="94" s="1"/>
  <c r="AG641" i="94" s="1"/>
  <c r="AG161" i="94"/>
  <c r="G161" i="94" s="1"/>
  <c r="H161" i="94" s="1"/>
  <c r="AG429" i="94"/>
  <c r="G429" i="94" s="1"/>
  <c r="AH429" i="94" s="1"/>
  <c r="H429" i="94" s="1"/>
  <c r="G420" i="94"/>
  <c r="AH420" i="94" s="1"/>
  <c r="H420" i="94" s="1"/>
  <c r="G391" i="94"/>
  <c r="AH391" i="94" s="1"/>
  <c r="H391" i="94" s="1"/>
  <c r="G390" i="94"/>
  <c r="AH390" i="94" s="1"/>
  <c r="H390" i="94" s="1"/>
  <c r="AG401" i="94"/>
  <c r="G392" i="94"/>
  <c r="AH392" i="94" s="1"/>
  <c r="H392" i="94" s="1"/>
  <c r="G389" i="94"/>
  <c r="AH389" i="94" s="1"/>
  <c r="H389" i="94" s="1"/>
  <c r="G363" i="94"/>
  <c r="AH363" i="94" s="1"/>
  <c r="H363" i="94" s="1"/>
  <c r="G362" i="94"/>
  <c r="AH362" i="94" s="1"/>
  <c r="H362" i="94" s="1"/>
  <c r="AG373" i="94"/>
  <c r="G373" i="94" s="1"/>
  <c r="G364" i="94"/>
  <c r="AH364" i="94" s="1"/>
  <c r="H364" i="94" s="1"/>
  <c r="G361" i="94"/>
  <c r="AH361" i="94" s="1"/>
  <c r="H361" i="94" s="1"/>
  <c r="G335" i="94"/>
  <c r="AH335" i="94" s="1"/>
  <c r="H335" i="94" s="1"/>
  <c r="G334" i="94"/>
  <c r="AH334" i="94" s="1"/>
  <c r="H334" i="94" s="1"/>
  <c r="AG345" i="94"/>
  <c r="G345" i="94" s="1"/>
  <c r="AH345" i="94" s="1"/>
  <c r="H345" i="94" s="1"/>
  <c r="G336" i="94"/>
  <c r="AH336" i="94" s="1"/>
  <c r="H336" i="94" s="1"/>
  <c r="G333" i="94"/>
  <c r="AH333" i="94" s="1"/>
  <c r="H333" i="94" s="1"/>
  <c r="G317" i="94"/>
  <c r="AG294" i="94"/>
  <c r="G294" i="94" s="1"/>
  <c r="G305" i="94"/>
  <c r="AH305" i="94" s="1"/>
  <c r="H305" i="94" s="1"/>
  <c r="B27" i="102"/>
  <c r="C27" i="102" s="1"/>
  <c r="E27" i="102" s="1"/>
  <c r="AI302" i="94" l="1"/>
  <c r="AB311" i="94"/>
  <c r="B311" i="94" s="1"/>
  <c r="G401" i="94"/>
  <c r="AH401" i="94" s="1"/>
  <c r="H401" i="94" s="1"/>
  <c r="AH373" i="94"/>
  <c r="H373" i="94" s="1"/>
  <c r="G419" i="94"/>
  <c r="G418" i="94"/>
  <c r="G417" i="94"/>
  <c r="AH317" i="94"/>
  <c r="H317" i="94" s="1"/>
  <c r="G322" i="94"/>
  <c r="AG296" i="94"/>
  <c r="AG404" i="94"/>
  <c r="G404" i="94" s="1"/>
  <c r="AH404" i="94" s="1"/>
  <c r="H404" i="94" s="1"/>
  <c r="AB300" i="94"/>
  <c r="B300" i="94" s="1"/>
  <c r="AB303" i="94"/>
  <c r="B303" i="94" s="1"/>
  <c r="AG347" i="94"/>
  <c r="G347" i="94" s="1"/>
  <c r="AH347" i="94" s="1"/>
  <c r="H347" i="94" s="1"/>
  <c r="AG431" i="94"/>
  <c r="G431" i="94" s="1"/>
  <c r="AH431" i="94" s="1"/>
  <c r="H431" i="94" s="1"/>
  <c r="AB319" i="94"/>
  <c r="B319" i="94" s="1"/>
  <c r="AG375" i="94"/>
  <c r="G375" i="94" s="1"/>
  <c r="AH375" i="94" s="1"/>
  <c r="H375" i="94" s="1"/>
  <c r="AG348" i="94"/>
  <c r="G348" i="94" s="1"/>
  <c r="AH348" i="94" s="1"/>
  <c r="H348" i="94" s="1"/>
  <c r="AB298" i="94"/>
  <c r="B298" i="94" s="1"/>
  <c r="AG432" i="94"/>
  <c r="G432" i="94" s="1"/>
  <c r="AH432" i="94" s="1"/>
  <c r="H432" i="94" s="1"/>
  <c r="AG403" i="94"/>
  <c r="G403" i="94" s="1"/>
  <c r="AH403" i="94" s="1"/>
  <c r="H403" i="94" s="1"/>
  <c r="AG376" i="94"/>
  <c r="G376" i="94" s="1"/>
  <c r="AH376" i="94" s="1"/>
  <c r="H376" i="94" s="1"/>
  <c r="AB299" i="94"/>
  <c r="B299" i="94" s="1"/>
  <c r="AG319" i="94"/>
  <c r="G319" i="94" s="1"/>
  <c r="AH319" i="94" s="1"/>
  <c r="H319" i="94" s="1"/>
  <c r="AG320" i="94"/>
  <c r="G320" i="94" s="1"/>
  <c r="AH320" i="94" s="1"/>
  <c r="H320" i="94" s="1"/>
  <c r="AH318" i="94"/>
  <c r="H318" i="94" s="1"/>
  <c r="AG322" i="94"/>
  <c r="B28" i="102"/>
  <c r="C28" i="102" s="1"/>
  <c r="E28" i="102" s="1"/>
  <c r="G423" i="94"/>
  <c r="G395" i="94"/>
  <c r="AG367" i="94"/>
  <c r="G367" i="94" s="1"/>
  <c r="AG339" i="94"/>
  <c r="G339" i="94" s="1"/>
  <c r="AG311" i="94"/>
  <c r="G311" i="94" s="1"/>
  <c r="AI330" i="94" l="1"/>
  <c r="AG324" i="94"/>
  <c r="G324" i="94" s="1"/>
  <c r="AH324" i="94" s="1"/>
  <c r="H324" i="94" s="1"/>
  <c r="AH329" i="94" s="1"/>
  <c r="H329" i="94" s="1"/>
  <c r="AH330" i="94" s="1"/>
  <c r="H330" i="94" s="1"/>
  <c r="G296" i="94"/>
  <c r="AH296" i="94" s="1"/>
  <c r="H296" i="94" s="1"/>
  <c r="AH301" i="94" s="1"/>
  <c r="H301" i="94" s="1"/>
  <c r="AH302" i="94" s="1"/>
  <c r="H302" i="94" s="1"/>
  <c r="AB327" i="94"/>
  <c r="B327" i="94" s="1"/>
  <c r="AH346" i="94"/>
  <c r="H346" i="94" s="1"/>
  <c r="AB328" i="94"/>
  <c r="B328" i="94" s="1"/>
  <c r="AB326" i="94"/>
  <c r="B326" i="94" s="1"/>
  <c r="AB339" i="94"/>
  <c r="B339" i="94" s="1"/>
  <c r="AB331" i="94"/>
  <c r="B331" i="94" s="1"/>
  <c r="AB347" i="94"/>
  <c r="B347" i="94" s="1"/>
  <c r="AH419" i="94"/>
  <c r="H419" i="94" s="1"/>
  <c r="AH418" i="94"/>
  <c r="H418" i="94" s="1"/>
  <c r="AH417" i="94"/>
  <c r="H417" i="94" s="1"/>
  <c r="G350" i="94"/>
  <c r="AG350" i="94"/>
  <c r="B29" i="102"/>
  <c r="C29" i="102" s="1"/>
  <c r="E29" i="102" s="1"/>
  <c r="G425" i="94"/>
  <c r="AH423" i="94"/>
  <c r="H423" i="94" s="1"/>
  <c r="G397" i="94"/>
  <c r="AH395" i="94"/>
  <c r="H395" i="94" s="1"/>
  <c r="AG369" i="94"/>
  <c r="G369" i="94" s="1"/>
  <c r="AH367" i="94"/>
  <c r="H367" i="94" s="1"/>
  <c r="AG341" i="94"/>
  <c r="G341" i="94" s="1"/>
  <c r="AH339" i="94"/>
  <c r="H339" i="94" s="1"/>
  <c r="AG313" i="94"/>
  <c r="G313" i="94" s="1"/>
  <c r="AH311" i="94"/>
  <c r="H311" i="94" s="1"/>
  <c r="AH110" i="94"/>
  <c r="H110" i="94" s="1"/>
  <c r="AG126" i="94"/>
  <c r="G126" i="94" s="1"/>
  <c r="AH126" i="94" s="1"/>
  <c r="H126" i="94" s="1"/>
  <c r="G198" i="94"/>
  <c r="AH198" i="94" s="1"/>
  <c r="H198" i="94" s="1"/>
  <c r="AH114" i="94"/>
  <c r="H114" i="94" s="1"/>
  <c r="B8" i="102"/>
  <c r="C8" i="102" s="1"/>
  <c r="E8" i="102" s="1"/>
  <c r="AH116" i="94"/>
  <c r="H116" i="94" s="1"/>
  <c r="AG118" i="94"/>
  <c r="G118" i="94" s="1"/>
  <c r="AH118" i="94" s="1"/>
  <c r="H118" i="94" s="1"/>
  <c r="AH117" i="94"/>
  <c r="H117" i="94" s="1"/>
  <c r="A26" i="103"/>
  <c r="H190" i="94"/>
  <c r="AG137" i="94" l="1"/>
  <c r="AG138" i="94"/>
  <c r="AI358" i="94"/>
  <c r="AG352" i="94"/>
  <c r="G352" i="94" s="1"/>
  <c r="AH352" i="94" s="1"/>
  <c r="H352" i="94" s="1"/>
  <c r="AH357" i="94" s="1"/>
  <c r="H357" i="94" s="1"/>
  <c r="AH358" i="94" s="1"/>
  <c r="H358" i="94" s="1"/>
  <c r="AB354" i="94"/>
  <c r="B354" i="94" s="1"/>
  <c r="AH374" i="94"/>
  <c r="H374" i="94" s="1"/>
  <c r="AB356" i="94"/>
  <c r="B356" i="94" s="1"/>
  <c r="AB355" i="94"/>
  <c r="B355" i="94" s="1"/>
  <c r="AB367" i="94"/>
  <c r="B367" i="94" s="1"/>
  <c r="AB359" i="94"/>
  <c r="B359" i="94" s="1"/>
  <c r="G378" i="94"/>
  <c r="AB375" i="94"/>
  <c r="B375" i="94" s="1"/>
  <c r="B30" i="102"/>
  <c r="C30" i="102" s="1"/>
  <c r="E30" i="102" s="1"/>
  <c r="AG378" i="94"/>
  <c r="AH425" i="94"/>
  <c r="H425" i="94" s="1"/>
  <c r="AH397" i="94"/>
  <c r="H397" i="94" s="1"/>
  <c r="AG370" i="94"/>
  <c r="G370" i="94" s="1"/>
  <c r="AH369" i="94"/>
  <c r="H369" i="94" s="1"/>
  <c r="AG342" i="94"/>
  <c r="G342" i="94" s="1"/>
  <c r="AH341" i="94"/>
  <c r="H341" i="94" s="1"/>
  <c r="AG314" i="94"/>
  <c r="G314" i="94" s="1"/>
  <c r="AH313" i="94"/>
  <c r="H313" i="94" s="1"/>
  <c r="C7" i="102"/>
  <c r="E7" i="102" s="1"/>
  <c r="AG135" i="94"/>
  <c r="G135" i="94" s="1"/>
  <c r="B12" i="102"/>
  <c r="C12" i="102" s="1"/>
  <c r="E12" i="102" s="1"/>
  <c r="AI386" i="94" l="1"/>
  <c r="AG380" i="94"/>
  <c r="G380" i="94" s="1"/>
  <c r="AH380" i="94" s="1"/>
  <c r="H380" i="94" s="1"/>
  <c r="AH385" i="94" s="1"/>
  <c r="H385" i="94" s="1"/>
  <c r="AH386" i="94" s="1"/>
  <c r="H386" i="94" s="1"/>
  <c r="AB382" i="94"/>
  <c r="B382" i="94" s="1"/>
  <c r="AH402" i="94"/>
  <c r="H402" i="94" s="1"/>
  <c r="G426" i="94"/>
  <c r="AH426" i="94" s="1"/>
  <c r="H426" i="94" s="1"/>
  <c r="G398" i="94"/>
  <c r="AH398" i="94" s="1"/>
  <c r="H398" i="94" s="1"/>
  <c r="AG406" i="94"/>
  <c r="AB383" i="94"/>
  <c r="B383" i="94" s="1"/>
  <c r="AB384" i="94"/>
  <c r="B384" i="94" s="1"/>
  <c r="AB395" i="94"/>
  <c r="B395" i="94" s="1"/>
  <c r="AB387" i="94"/>
  <c r="B387" i="94" s="1"/>
  <c r="G406" i="94"/>
  <c r="B31" i="102"/>
  <c r="C31" i="102" s="1"/>
  <c r="E31" i="102" s="1"/>
  <c r="AB403" i="94"/>
  <c r="B403" i="94" s="1"/>
  <c r="AH370" i="94"/>
  <c r="H370" i="94" s="1"/>
  <c r="AH342" i="94"/>
  <c r="H342" i="94" s="1"/>
  <c r="AH314" i="94"/>
  <c r="H314" i="94" s="1"/>
  <c r="G137" i="94"/>
  <c r="AH135" i="94"/>
  <c r="H135" i="94" s="1"/>
  <c r="AG408" i="94" l="1"/>
  <c r="G408" i="94" s="1"/>
  <c r="AH408" i="94" s="1"/>
  <c r="H408" i="94" s="1"/>
  <c r="AH413" i="94" s="1"/>
  <c r="H413" i="94" s="1"/>
  <c r="AH414" i="94" s="1"/>
  <c r="H414" i="94" s="1"/>
  <c r="AI414" i="94"/>
  <c r="AB431" i="94"/>
  <c r="B431" i="94" s="1"/>
  <c r="AH430" i="94"/>
  <c r="H430" i="94" s="1"/>
  <c r="AB412" i="94"/>
  <c r="B412" i="94" s="1"/>
  <c r="AB410" i="94"/>
  <c r="B410" i="94" s="1"/>
  <c r="B32" i="102"/>
  <c r="C32" i="102" s="1"/>
  <c r="E32" i="102" s="1"/>
  <c r="AB423" i="94"/>
  <c r="B423" i="94" s="1"/>
  <c r="AB411" i="94"/>
  <c r="B411" i="94" s="1"/>
  <c r="AB415" i="94"/>
  <c r="B415" i="94" s="1"/>
  <c r="G138" i="94"/>
  <c r="AH137" i="94"/>
  <c r="H137" i="94" s="1"/>
  <c r="AH138" i="94" l="1"/>
  <c r="AG140" i="94"/>
  <c r="G140" i="94" s="1"/>
  <c r="AH140" i="94" s="1"/>
  <c r="H140" i="94" s="1"/>
  <c r="H138" i="94" l="1"/>
  <c r="AH42" i="94"/>
  <c r="AH22" i="94" l="1"/>
  <c r="H473" i="94" s="1"/>
  <c r="AH696" i="94"/>
  <c r="H696" i="94" s="1"/>
  <c r="AH649" i="94"/>
  <c r="H649" i="94" s="1"/>
  <c r="AH692" i="94"/>
  <c r="H692" i="94" s="1"/>
  <c r="AH697" i="94"/>
  <c r="H697" i="94" s="1"/>
  <c r="AH705" i="94" s="1"/>
  <c r="H705" i="94" s="1"/>
  <c r="AG706" i="94" s="1"/>
  <c r="G706" i="94" s="1"/>
  <c r="AH706" i="94" s="1"/>
  <c r="H706" i="94" s="1"/>
  <c r="AH711" i="94" s="1"/>
  <c r="H711" i="94" s="1"/>
  <c r="H655" i="94"/>
  <c r="AH650" i="94" l="1"/>
  <c r="H650" i="94" s="1"/>
  <c r="AG712" i="94"/>
  <c r="G712" i="94" s="1"/>
  <c r="AH712" i="94" s="1"/>
  <c r="H712" i="94" s="1"/>
  <c r="AH717" i="94" s="1"/>
  <c r="H717" i="94" s="1"/>
</calcChain>
</file>

<file path=xl/sharedStrings.xml><?xml version="1.0" encoding="utf-8"?>
<sst xmlns="http://schemas.openxmlformats.org/spreadsheetml/2006/main" count="1984" uniqueCount="763">
  <si>
    <t xml:space="preserve"> </t>
  </si>
  <si>
    <t>Veterans</t>
  </si>
  <si>
    <t>Thanksgiving</t>
  </si>
  <si>
    <t>Christmas</t>
  </si>
  <si>
    <t>New Year</t>
  </si>
  <si>
    <t xml:space="preserve">MLK Jr. </t>
  </si>
  <si>
    <t>Presidents</t>
  </si>
  <si>
    <t xml:space="preserve">Memorial </t>
  </si>
  <si>
    <t>Independence</t>
  </si>
  <si>
    <t>Labor</t>
  </si>
  <si>
    <t>EQCStaffRptDue</t>
  </si>
  <si>
    <t>EQCMaterialsDue</t>
  </si>
  <si>
    <t>Y</t>
  </si>
  <si>
    <t>W</t>
  </si>
  <si>
    <t>T</t>
  </si>
  <si>
    <t>Meeting 3</t>
  </si>
  <si>
    <t>Meeting 2</t>
  </si>
  <si>
    <t>Meeting 1</t>
  </si>
  <si>
    <t>Overview of Key Dates</t>
  </si>
  <si>
    <t>Meeting 4</t>
  </si>
  <si>
    <t>Applies to</t>
  </si>
  <si>
    <t>http://www.leg.state.or.us/ors/187.html</t>
  </si>
  <si>
    <t xml:space="preserve">Office Closure </t>
  </si>
  <si>
    <t>Calculation</t>
  </si>
  <si>
    <t>i</t>
  </si>
  <si>
    <t>6:00 p.m.</t>
  </si>
  <si>
    <t>Start</t>
  </si>
  <si>
    <t>SOS - file rules</t>
  </si>
  <si>
    <t xml:space="preserve">                 </t>
  </si>
  <si>
    <t>5 p.m.</t>
  </si>
  <si>
    <t>Option 2 ↓</t>
  </si>
  <si>
    <t>Option 1 ↓</t>
  </si>
  <si>
    <t>Inform</t>
  </si>
  <si>
    <t>Web Master</t>
  </si>
  <si>
    <t>EQC Assistant</t>
  </si>
  <si>
    <t>Assistant Attorney General</t>
  </si>
  <si>
    <t>Time Accounting</t>
  </si>
  <si>
    <t>Director</t>
  </si>
  <si>
    <t>Dick</t>
  </si>
  <si>
    <t>CONCEPT DEVELOPMENT</t>
  </si>
  <si>
    <t>A</t>
  </si>
  <si>
    <t>Team identifies meeting roles</t>
  </si>
  <si>
    <t xml:space="preserve">Team assigns custom task here </t>
  </si>
  <si>
    <t>Enter staff name here</t>
  </si>
  <si>
    <t>Team practices presentation</t>
  </si>
  <si>
    <t>* sending EMAIL.DAS.APPROVAL with Fee Approval Packet attached</t>
  </si>
  <si>
    <t>- in Outlook, request delivery and read receipts</t>
  </si>
  <si>
    <t>Hearings Officer</t>
  </si>
  <si>
    <t>RobertB</t>
  </si>
  <si>
    <t>* adds commenter and comment to COMMENTS</t>
  </si>
  <si>
    <t>Rule_Development|3-FeesApproval|EMAILS.Fees.pdf</t>
  </si>
  <si>
    <t>Rule_Development|1-Planning|EMAILS.Planning.pdf</t>
  </si>
  <si>
    <t>Rule_Development|6-EQCPreparation|EMAILS.EQC.Prep.pdf</t>
  </si>
  <si>
    <t>TEAM CELEBRATES</t>
  </si>
  <si>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</si>
  <si>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</si>
  <si>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</si>
  <si>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</si>
  <si>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</si>
  <si>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</si>
  <si>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</si>
  <si>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</si>
  <si>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</si>
  <si>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</si>
  <si>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</si>
  <si>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</si>
  <si>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involves stakeholder presenters, if any</t>
  </si>
  <si>
    <t>* releases unneeded venues</t>
  </si>
  <si>
    <t xml:space="preserve">Planning </t>
  </si>
  <si>
    <t>- advisory committee</t>
  </si>
  <si>
    <t>Presentation team ATTENDS EQC MEETING</t>
  </si>
  <si>
    <t>- self-addressed envelope, fold underside of flap over a 2nd certificate"</t>
  </si>
  <si>
    <t>write "Please date stamp certificate and return." on underside of flap</t>
  </si>
  <si>
    <t xml:space="preserve">Post EQC </t>
  </si>
  <si>
    <t>* reviews responsibilities of hearings officer</t>
  </si>
  <si>
    <t>* modifies documents as needed</t>
  </si>
  <si>
    <t>* develops introductory and logistics script</t>
  </si>
  <si>
    <t>N</t>
  </si>
  <si>
    <t>* Oregon Transparency law (not required for Advisory Committees)</t>
  </si>
  <si>
    <t>Team approves presentation materials</t>
  </si>
  <si>
    <t>* following up on status about 15 days after sending</t>
  </si>
  <si>
    <t>* develops INFO.MEETING.TEXT</t>
  </si>
  <si>
    <t>* develops INFO.PRESENTATION</t>
  </si>
  <si>
    <t>* practices presentation</t>
  </si>
  <si>
    <t>* makes presentation adjustments</t>
  </si>
  <si>
    <t>CodeName</t>
  </si>
  <si>
    <t>`</t>
  </si>
  <si>
    <t>Newspaper Advertisements</t>
  </si>
  <si>
    <t>Hearings</t>
  </si>
  <si>
    <t>Notes</t>
  </si>
  <si>
    <t>* saves them as Rule_Development|5-PublicComment...|EMAIL.Comment.pdf</t>
  </si>
  <si>
    <t xml:space="preserve">* leads team development of EQC presentation </t>
  </si>
  <si>
    <t>* makes any presentation adjustments</t>
  </si>
  <si>
    <t>* coordinates presentation practices</t>
  </si>
  <si>
    <t>- Enter custom reviewer and action</t>
  </si>
  <si>
    <t xml:space="preserve">* enter custom action word and reviewer </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</si>
  <si>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</si>
  <si>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</si>
  <si>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</si>
  <si>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</si>
  <si>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</si>
  <si>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</si>
  <si>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</si>
  <si>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</si>
  <si>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</si>
  <si>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</si>
  <si>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</si>
  <si>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</si>
  <si>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</si>
  <si>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</si>
  <si>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identify land use rules</t>
  </si>
  <si>
    <t>* verifies Web content meets team expectations</t>
  </si>
  <si>
    <t>* modifies MESSAGE.MAP</t>
  </si>
  <si>
    <t>* leads team work finalizing DEQ responses to public comment</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</si>
  <si>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</si>
  <si>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</si>
  <si>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</si>
  <si>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</si>
  <si>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</si>
  <si>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COMMUNICATIONS PLANNING</t>
  </si>
  <si>
    <t>Name initiator and subject for custom review loop 1</t>
  </si>
  <si>
    <r>
      <t xml:space="preserve">Start
 </t>
    </r>
    <r>
      <rPr>
        <b/>
        <sz val="12"/>
        <color theme="0"/>
        <rFont val="Courier New"/>
        <family val="3"/>
      </rPr>
      <t>↓</t>
    </r>
  </si>
  <si>
    <t xml:space="preserve">  </t>
  </si>
  <si>
    <t>Title</t>
  </si>
  <si>
    <t>Chief Public Affairs Officer</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</si>
  <si>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</si>
  <si>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</si>
  <si>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</si>
  <si>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JoKRanch@hotmail.com</t>
  </si>
  <si>
    <t xml:space="preserve">EdArmstrong2@gmail.com                              </t>
  </si>
  <si>
    <t>MorganRider@gmail.com</t>
  </si>
  <si>
    <t>cjohnson@eou.edu</t>
  </si>
  <si>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</si>
  <si>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</si>
  <si>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</si>
  <si>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</si>
  <si>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</si>
  <si>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</si>
  <si>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</si>
  <si>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KarenT</t>
  </si>
  <si>
    <t>AdamC</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</si>
  <si>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</si>
  <si>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</si>
  <si>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</si>
  <si>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</si>
  <si>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</si>
  <si>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</si>
  <si>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</si>
  <si>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</si>
  <si>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</si>
  <si>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</si>
  <si>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</si>
  <si>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FiscalReviewer</t>
  </si>
  <si>
    <t>Budget Analyst</t>
  </si>
  <si>
    <t xml:space="preserve">MEden@neea.org </t>
  </si>
  <si>
    <t xml:space="preserve">When updating EQC table, leave rows for previous year. </t>
  </si>
  <si>
    <t>M</t>
  </si>
  <si>
    <t>F</t>
  </si>
  <si>
    <t>S</t>
  </si>
  <si>
    <t xml:space="preserve">Adjust start date +/- from today </t>
  </si>
  <si>
    <t>starting</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</si>
  <si>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</si>
  <si>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</si>
  <si>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</si>
  <si>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</si>
  <si>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</si>
  <si>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</si>
  <si>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</si>
  <si>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</si>
  <si>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</si>
  <si>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</si>
  <si>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</si>
  <si>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</si>
  <si>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</si>
  <si>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</si>
  <si>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</si>
  <si>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</si>
  <si>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</si>
  <si>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</si>
  <si>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</si>
  <si>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</si>
  <si>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</si>
  <si>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</si>
  <si>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</si>
  <si>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</si>
  <si>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</si>
  <si>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</si>
  <si>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</si>
  <si>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</si>
  <si>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</si>
  <si>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</si>
  <si>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</si>
  <si>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</si>
  <si>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</si>
  <si>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</si>
  <si>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</si>
  <si>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</si>
  <si>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</si>
  <si>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</si>
  <si>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</si>
  <si>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</si>
  <si>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</si>
  <si>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</si>
  <si>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</si>
  <si>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</si>
  <si>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</si>
  <si>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</si>
  <si>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</si>
  <si>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</si>
  <si>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</si>
  <si>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</si>
  <si>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</si>
  <si>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</si>
  <si>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</si>
  <si>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</si>
  <si>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</si>
  <si>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</si>
  <si>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</si>
  <si>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</si>
  <si>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</si>
  <si>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</si>
  <si>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</si>
  <si>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</si>
  <si>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</si>
  <si>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</si>
  <si>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</si>
  <si>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</si>
  <si>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</si>
  <si>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</si>
  <si>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</si>
  <si>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</si>
  <si>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</si>
  <si>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</si>
  <si>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</si>
  <si>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</si>
  <si>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</si>
  <si>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</si>
  <si>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</si>
  <si>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</si>
  <si>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</si>
  <si>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</si>
  <si>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</si>
  <si>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</si>
  <si>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</si>
  <si>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</si>
  <si>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</si>
  <si>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</si>
  <si>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</si>
  <si>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</si>
  <si>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</si>
  <si>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</si>
  <si>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</si>
  <si>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</si>
  <si>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</si>
  <si>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</si>
  <si>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</si>
  <si>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</si>
  <si>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</si>
  <si>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</si>
  <si>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</si>
  <si>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</si>
  <si>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</si>
  <si>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</si>
  <si>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</si>
  <si>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</si>
  <si>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</si>
  <si>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</si>
  <si>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</si>
  <si>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</si>
  <si>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</si>
  <si>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</si>
  <si>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</si>
  <si>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</si>
  <si>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</si>
  <si>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</si>
  <si>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</si>
  <si>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</si>
  <si>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</si>
  <si>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</si>
  <si>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</si>
  <si>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</si>
  <si>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Standardization (ARC)</t>
  </si>
  <si>
    <t>Names entered under this area will become part of the Schedule of Tasks and Partnershup Agreement</t>
  </si>
  <si>
    <t xml:space="preserve">Updated Rulemaking Projects Priorities list
</t>
  </si>
  <si>
    <t>Activity Sequence - Planning for Director-approved rulemaking priorities</t>
  </si>
  <si>
    <t>Recipient</t>
  </si>
  <si>
    <t>HearingOfficer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</si>
  <si>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</si>
  <si>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</si>
  <si>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</si>
  <si>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</si>
  <si>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</si>
  <si>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</si>
  <si>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</si>
  <si>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</si>
  <si>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</si>
  <si>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</si>
  <si>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</si>
  <si>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</si>
  <si>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</si>
  <si>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</si>
  <si>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Portland</t>
  </si>
  <si>
    <t>Division Administrator - Program</t>
  </si>
  <si>
    <t>Division Administrator - Rules</t>
  </si>
  <si>
    <t>* selects 'A' if approved, 'P' if postponed, 'R' if rejected</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</si>
  <si>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</si>
  <si>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</si>
  <si>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</si>
  <si>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</si>
  <si>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submits Web Request for program Web page</t>
  </si>
  <si>
    <t>* identify rules to amend or repeal</t>
  </si>
  <si>
    <t>* adding rulemaking to work plans as appropriate</t>
  </si>
  <si>
    <t>* getting new team members' manager approval</t>
  </si>
  <si>
    <t xml:space="preserve">* SCHEDULE of tasks and deadlines </t>
  </si>
  <si>
    <t xml:space="preserve">* determine need for a crosswalk </t>
  </si>
  <si>
    <t>Date</t>
  </si>
  <si>
    <t>Time</t>
  </si>
  <si>
    <t>Last hearing:</t>
  </si>
  <si>
    <t>* observe EQC quorum notification requirements (ORS 192.630)</t>
  </si>
  <si>
    <t>PREPLANNING FOR HEARINGS</t>
  </si>
  <si>
    <t>DRAFT NOTICE PACKET</t>
  </si>
  <si>
    <t>* Enter custom resource here</t>
  </si>
  <si>
    <t>* identifies EQC facilitated hearing, coordinate with commissioner:</t>
  </si>
  <si>
    <t>KEEP MANAGEMENT INFORMED</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</si>
  <si>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</si>
  <si>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</si>
  <si>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</si>
  <si>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</si>
  <si>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</si>
  <si>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</si>
  <si>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</si>
  <si>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</si>
  <si>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CUSTOM SEQUENCE</t>
  </si>
  <si>
    <t>Publication Table</t>
  </si>
  <si>
    <t>KlamathHerald</t>
  </si>
  <si>
    <t>Oregonian</t>
  </si>
  <si>
    <t>EastOregon</t>
  </si>
  <si>
    <t>RegisterGuard</t>
  </si>
  <si>
    <t>MailTribune</t>
  </si>
  <si>
    <t>LaGrandeObserver</t>
  </si>
  <si>
    <t>JournalOfCommerce</t>
  </si>
  <si>
    <t>Other</t>
  </si>
  <si>
    <t>None</t>
  </si>
  <si>
    <t>Pub Date</t>
  </si>
  <si>
    <t>Rule Publication 
Work Period</t>
  </si>
  <si>
    <t>NOTIFICATIONS</t>
  </si>
  <si>
    <t>- Newspaper release    'Y' to develop</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</si>
  <si>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</si>
  <si>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</si>
  <si>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</si>
  <si>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</si>
  <si>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</si>
  <si>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</si>
  <si>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</si>
  <si>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</si>
  <si>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</si>
  <si>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</si>
  <si>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</si>
  <si>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</si>
  <si>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</si>
  <si>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</si>
  <si>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</si>
  <si>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</si>
  <si>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</si>
  <si>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</si>
  <si>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verifies PROPOSED.RULES are still based on current compilation</t>
  </si>
  <si>
    <t>City</t>
  </si>
  <si>
    <t>To restore any cell under columns G or H to default, place cursor in cell then enter "=A" followed by the cell address.  EXAMPLE: =AG13 would restore the default Start of Advisory Committee.</t>
  </si>
  <si>
    <t xml:space="preserve">Director added to DEQ Rulemaking Plan   </t>
  </si>
  <si>
    <t>* accepting all style guide and format edits</t>
  </si>
  <si>
    <t>Set under Planning</t>
  </si>
  <si>
    <t>* emails DAS notification of fees that don't require DAS approval</t>
  </si>
  <si>
    <t>* saves all evidence on Rule_Development | 4-Notice using naming conventions</t>
  </si>
  <si>
    <t>* validating Web page, comment form and Outlook account</t>
  </si>
  <si>
    <t>* creating an auto reply to Outlook account for University students</t>
  </si>
  <si>
    <t xml:space="preserve">* saves all evidence, lists and affidavits on Rule_Development | 4-Notice </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</si>
  <si>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</si>
  <si>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</si>
  <si>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</si>
  <si>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</si>
  <si>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</si>
  <si>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</si>
  <si>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</si>
  <si>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</si>
  <si>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</si>
  <si>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</si>
  <si>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</si>
  <si>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</si>
  <si>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</si>
  <si>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</si>
  <si>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</si>
  <si>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</si>
  <si>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</si>
  <si>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submitting newspaper notices to contractor </t>
  </si>
  <si>
    <t>Drop down list &gt;</t>
  </si>
  <si>
    <t>* opening public comment by notifying agency rulemaking list that includes:</t>
  </si>
  <si>
    <t>Approval to publish notice</t>
  </si>
  <si>
    <t>* adjusts factors as needed</t>
  </si>
  <si>
    <t>- EQC quorum notification requirements (ORS 192.630)</t>
  </si>
  <si>
    <t>Hearings Officers:</t>
  </si>
  <si>
    <t>Close public comment</t>
  </si>
  <si>
    <t>- staff contributors</t>
  </si>
  <si>
    <t>* leads Rules Group prioritization using CONSIDERATIONS and RESOURCES data that</t>
  </si>
  <si>
    <t>compares to other concepts, rulemakings in progress and Rules Group work load</t>
  </si>
  <si>
    <t xml:space="preserve">&lt; +/- calendar days adjustment </t>
  </si>
  <si>
    <t xml:space="preserve">&lt;  calendar days added       </t>
  </si>
  <si>
    <t>Meeting &gt;</t>
  </si>
  <si>
    <t>Complete by</t>
  </si>
  <si>
    <t>Adj</t>
  </si>
  <si>
    <t>Best practice</t>
  </si>
  <si>
    <t>9.00 a.m.</t>
  </si>
  <si>
    <t>PREVIEW PERIOD</t>
  </si>
  <si>
    <t>Cc…to all contributing and affected staff</t>
  </si>
  <si>
    <t>EQC Facilitated Hearing</t>
  </si>
  <si>
    <t>Review version history to help maintain rulemaking record                 &gt;</t>
  </si>
  <si>
    <t>* outstanding work</t>
  </si>
  <si>
    <t>- Online public comment form</t>
  </si>
  <si>
    <t xml:space="preserve">* obtains additional Rule Publication edits on changes if needed </t>
  </si>
  <si>
    <t>Rule_Development|4-Notice using naming conventions</t>
  </si>
  <si>
    <t>* addresses outstanding edits and comments</t>
  </si>
  <si>
    <t>* compares work products to earlier reviews to determine need for additional edits</t>
  </si>
  <si>
    <t>Loop 1 - Restart Rule Publication</t>
  </si>
  <si>
    <t>Loop 2 - Restart Rule Publication</t>
  </si>
  <si>
    <t>Loop 3 - Restart Rule Publication</t>
  </si>
  <si>
    <t>RULE PUBLICATION WORK</t>
  </si>
  <si>
    <t>Grey on white</t>
  </si>
  <si>
    <t>Teal on white</t>
  </si>
  <si>
    <t>Format</t>
  </si>
  <si>
    <t>=IF(WORKDAY($H12-1,1,S.DDL_DEQClosed)&lt;&gt;$H12,TRUE)</t>
  </si>
  <si>
    <t>9.00 am</t>
  </si>
  <si>
    <t>DO NOT MAIL TO COMMENTERS UNTIL EQC ASSISTANT FINALIZES STAFF REPORT</t>
  </si>
  <si>
    <t>Caption</t>
  </si>
  <si>
    <t>SandraJ</t>
  </si>
  <si>
    <t>CP</t>
  </si>
  <si>
    <t>MaragaretO</t>
  </si>
  <si>
    <t>BudgetAnalyst</t>
  </si>
  <si>
    <t>Leg.Liason</t>
  </si>
  <si>
    <t>DA.Program</t>
  </si>
  <si>
    <t>DA.Rules</t>
  </si>
  <si>
    <t>AAG</t>
  </si>
  <si>
    <t>LarryK</t>
  </si>
  <si>
    <t>PaulG</t>
  </si>
  <si>
    <t>DaveV</t>
  </si>
  <si>
    <t>HW</t>
  </si>
  <si>
    <t>- External Web page</t>
  </si>
  <si>
    <t>RGLead</t>
  </si>
  <si>
    <t>Stephanie Caldera</t>
  </si>
  <si>
    <t>Brian White</t>
  </si>
  <si>
    <t>Michele Thompson</t>
  </si>
  <si>
    <t>Meyer Goldstein</t>
  </si>
  <si>
    <t>Drop down list</t>
  </si>
  <si>
    <t>ProgLead</t>
  </si>
  <si>
    <t>Media Lead</t>
  </si>
  <si>
    <t>Rules Group Lead</t>
  </si>
  <si>
    <t>Add link to crosswalk</t>
  </si>
  <si>
    <t>Meyer</t>
  </si>
  <si>
    <t>StephanieC</t>
  </si>
  <si>
    <t>AndreaG</t>
  </si>
  <si>
    <t>Meyer (Fiscal)</t>
  </si>
  <si>
    <t xml:space="preserve">   * adds to Rules Idea list</t>
  </si>
  <si>
    <t>- CONSIDERATIONS</t>
  </si>
  <si>
    <t>- RESOURCES</t>
  </si>
  <si>
    <t>- SCHEDULE - Overview of Key Dates</t>
  </si>
  <si>
    <r>
      <t xml:space="preserve">* adds TEMPLATES to </t>
    </r>
    <r>
      <rPr>
        <b/>
        <sz val="10"/>
        <color theme="4" tint="-0.499984740745262"/>
        <rFont val="Cambria"/>
        <family val="1"/>
        <scheme val="minor"/>
      </rPr>
      <t>1. Planning</t>
    </r>
    <r>
      <rPr>
        <sz val="10"/>
        <color theme="4" tint="-0.499984740745262"/>
        <rFont val="Cambria"/>
        <family val="1"/>
        <scheme val="minor"/>
      </rPr>
      <t xml:space="preserve"> folder and adapts to concept:</t>
    </r>
  </si>
  <si>
    <t>- PowerPoint 'Add Concept  to Plan'</t>
  </si>
  <si>
    <t>* schedules and facilitates 1st work session:</t>
  </si>
  <si>
    <t>* RESOURCES to identify staff involved in rulemaking and implementation</t>
  </si>
  <si>
    <t xml:space="preserve">* CONSIDERATIONS to identify scope and potential risks </t>
  </si>
  <si>
    <t>* moves Rule_Development folder with documents to Rule_Archives</t>
  </si>
  <si>
    <t>* establishes new Rule_Development folder system</t>
  </si>
  <si>
    <t>- agenda aligns with PowerPoint</t>
  </si>
  <si>
    <t xml:space="preserve">START RULEMAKING </t>
  </si>
  <si>
    <t>* establishes SharePoint sub-site</t>
  </si>
  <si>
    <t>* moves SCHEDULE from Rule_Development into SharePoint to first page of sub-site</t>
  </si>
  <si>
    <r>
      <t xml:space="preserve">* moves other workbooks from Rule_Development into SharePoint folder </t>
    </r>
    <r>
      <rPr>
        <b/>
        <sz val="10"/>
        <color theme="4" tint="-0.499984740745262"/>
        <rFont val="Cambria"/>
        <family val="1"/>
        <scheme val="minor"/>
      </rPr>
      <t>1. Planning</t>
    </r>
  </si>
  <si>
    <t>WebRep</t>
  </si>
  <si>
    <t xml:space="preserve">- advisory committee guidelines                                                              </t>
  </si>
  <si>
    <t>- Public Involvement Resources</t>
  </si>
  <si>
    <t>* adapts Advisory Committee PowerPoint to rulemaking</t>
  </si>
  <si>
    <t>* asks team to prepare for work session by reviewing:</t>
  </si>
  <si>
    <t>* schedules 4-hour Advisory Committee work session</t>
  </si>
  <si>
    <t xml:space="preserve">- list potential meeting dates and venues </t>
  </si>
  <si>
    <t>- follows PowerPoint discussion and decision items</t>
  </si>
  <si>
    <t>*Advisory Committee page</t>
  </si>
  <si>
    <t>* Advisory Committee meeting page</t>
  </si>
  <si>
    <t>* Advisory Committee GovDelivery sign up</t>
  </si>
  <si>
    <t>* AC.WebPage</t>
  </si>
  <si>
    <t>- optional committee AC.CHARTER</t>
  </si>
  <si>
    <t>- CONSIDERATIONS workbook in SharePoint folder 1</t>
  </si>
  <si>
    <t>- draft AC.WebPage</t>
  </si>
  <si>
    <t>- add potential committee members to draft AC.ROSTER</t>
  </si>
  <si>
    <t>* submits Web Request anytime when Advisory Committee Web page needs updating</t>
  </si>
  <si>
    <t>MediaLead</t>
  </si>
  <si>
    <t>* team addresses any concerns and validates accuracy of how addressed</t>
  </si>
  <si>
    <t xml:space="preserve">* finalize AC.ROSTER based on responses </t>
  </si>
  <si>
    <t xml:space="preserve">* talk with potential committee members to determine interest </t>
  </si>
  <si>
    <t>- draft AC.MEMBER.INVITATION</t>
  </si>
  <si>
    <t>- decides whether to use optional AC.CHARTER</t>
  </si>
  <si>
    <t>- draft AC.AFFECTED.PARTIES.INVITATION to sign up for GovDelivery notices</t>
  </si>
  <si>
    <t xml:space="preserve">- draft AC.EQC.INVITATION to sign up for GovDelivery notices in folder 2 </t>
  </si>
  <si>
    <t>- identify all GovDelivery topics that include affected parties</t>
  </si>
  <si>
    <t>* meeting dates and venues</t>
  </si>
  <si>
    <t xml:space="preserve">* sends AC.AFFECTED.PARTIES.INVITATION to GovDelivery topic subscribers </t>
  </si>
  <si>
    <t>* emails AC.MEMBER.INVITATION with links and instructions</t>
  </si>
  <si>
    <t>* emails AC.EQC.INVITATION to sign up for Advisory Committee notices</t>
  </si>
  <si>
    <t>* GovDelivery topic subscribers to get  AC.AFFECTED.PARTIES.INVITATION</t>
  </si>
  <si>
    <t xml:space="preserve">* AC.AFFECTED.PARTIES.INVITATION to sign up for GovDelivery notices </t>
  </si>
  <si>
    <t xml:space="preserve">* AC.EQC.INVITATION to sign up for GovDelivery notices </t>
  </si>
  <si>
    <t>* maintains Advisory Committee record</t>
  </si>
  <si>
    <t>* coordinates or leads drafting:</t>
  </si>
  <si>
    <t>* submits Web Request 2 weeks before meeting using AC.WebRequest.ATTACHMENT</t>
  </si>
  <si>
    <t xml:space="preserve">* Advisory Committee meeting </t>
  </si>
  <si>
    <t>* team debrief meeting</t>
  </si>
  <si>
    <t>* facilitates Advisory Committee work session that:</t>
  </si>
  <si>
    <t>(documents become part of Notice and EQC packets)</t>
  </si>
  <si>
    <t>- save receipts to Rule_Development|3-Fee.Approval|PROOF.DAS.REQUEST.pdf</t>
  </si>
  <si>
    <r>
      <t xml:space="preserve">(DAS.PART1 used </t>
    </r>
    <r>
      <rPr>
        <b/>
        <sz val="10"/>
        <color theme="4" tint="-0.499984740745262"/>
        <rFont val="Cambria"/>
        <family val="1"/>
        <scheme val="minor"/>
      </rPr>
      <t>7.Post EQC</t>
    </r>
    <r>
      <rPr>
        <sz val="10"/>
        <color theme="4" tint="-0.499984740745262"/>
        <rFont val="Cambria"/>
        <family val="1"/>
        <scheme val="minor"/>
      </rPr>
      <t>)</t>
    </r>
  </si>
  <si>
    <t>AD to contractor &gt;</t>
  </si>
  <si>
    <t>* identifies newspaper and publication date</t>
  </si>
  <si>
    <t>To ensure results of formula fits in column B, maintain column width at 60.50 wide in Cambria 10</t>
  </si>
  <si>
    <t>* AC.MEMBER.INVITATION (includes URL and reminder to Sign-up for GovDelivery)</t>
  </si>
  <si>
    <t>RESOURCE INPUT - THIS IS NOT  A  REVIEW</t>
  </si>
  <si>
    <t>* Affected staff, including regional staff, for subject matter contributions</t>
  </si>
  <si>
    <t>* considers RESOURCES input</t>
  </si>
  <si>
    <t>* shares information about rules that may be involved in other rulemakings</t>
  </si>
  <si>
    <t>* consider regulations, policies, programs and systems that may affect subject rules</t>
  </si>
  <si>
    <t xml:space="preserve">* establishes the following using Web Request ATTACHMENT </t>
  </si>
  <si>
    <t xml:space="preserve">* coordinates meeting to discuss lessons learned </t>
  </si>
  <si>
    <r>
      <t>- STAFF.REPORT.ADDENDUM.</t>
    </r>
    <r>
      <rPr>
        <b/>
        <sz val="10"/>
        <color theme="4" tint="-0.499984740745262"/>
        <rFont val="Cambria"/>
        <family val="1"/>
        <scheme val="minor"/>
      </rPr>
      <t xml:space="preserve">pdf </t>
    </r>
    <r>
      <rPr>
        <sz val="10"/>
        <color theme="4" tint="-0.499984740745262"/>
        <rFont val="Cambria"/>
        <family val="1"/>
        <scheme val="minor"/>
      </rPr>
      <t>(if presented to EQC)</t>
    </r>
  </si>
  <si>
    <t>* completes SOS form, verifies and submits</t>
  </si>
  <si>
    <r>
      <t>- TABLES.340-###-####-SOS.</t>
    </r>
    <r>
      <rPr>
        <b/>
        <sz val="10"/>
        <color theme="4" tint="-0.499984740745262"/>
        <rFont val="Cambria"/>
        <family val="1"/>
        <scheme val="minor"/>
      </rPr>
      <t>pdf</t>
    </r>
    <r>
      <rPr>
        <sz val="10"/>
        <color theme="4" tint="-0.499984740745262"/>
        <rFont val="Cambria"/>
        <family val="1"/>
        <scheme val="minor"/>
      </rPr>
      <t xml:space="preserve">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</si>
  <si>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t>- TABLES.340-###-####-SOS</t>
    </r>
    <r>
      <rPr>
        <b/>
        <sz val="10"/>
        <color theme="4" tint="-0.499984740745262"/>
        <rFont val="Cambria"/>
        <family val="1"/>
        <scheme val="minor"/>
      </rPr>
      <t xml:space="preserve">.pdf </t>
    </r>
    <r>
      <rPr>
        <sz val="10"/>
        <color theme="4" tint="-0.499984740745262"/>
        <rFont val="Cambria"/>
        <family val="1"/>
        <scheme val="minor"/>
      </rPr>
      <t>(1 .docx per rule contains</t>
    </r>
    <r>
      <rPr>
        <b/>
        <sz val="10"/>
        <color theme="4" tint="-0.499984740745262"/>
        <rFont val="Cambria"/>
        <family val="1"/>
        <scheme val="minor"/>
      </rPr>
      <t xml:space="preserve"> ALL </t>
    </r>
    <r>
      <rPr>
        <sz val="10"/>
        <color theme="4" tint="-0.499984740745262"/>
        <rFont val="Cambria"/>
        <family val="1"/>
        <scheme val="minor"/>
      </rPr>
      <t>tables in rule)</t>
    </r>
  </si>
  <si>
    <t>* develops, scans and uploads AUTHORIZATION-SOS.pdf into online SOS form</t>
  </si>
  <si>
    <r>
      <t xml:space="preserve"> </t>
    </r>
    <r>
      <rPr>
        <sz val="10"/>
        <color rgb="FF008272"/>
        <rFont val="Cambria"/>
        <family val="1"/>
        <scheme val="minor"/>
      </rPr>
      <t xml:space="preserve">  DEQ PRACTICE</t>
    </r>
    <r>
      <rPr>
        <sz val="10"/>
        <color theme="4" tint="-0.499984740745262"/>
        <rFont val="Cambria"/>
        <family val="1"/>
        <scheme val="minor"/>
      </rPr>
      <t>: Put in shuttle on day of SOS filing</t>
    </r>
  </si>
  <si>
    <t>FILING</t>
  </si>
  <si>
    <t>* reviews, prepares and uploads::</t>
  </si>
  <si>
    <t>* logs onto Secretary of State online filing form</t>
  </si>
  <si>
    <t>* uses information in STAFF.REPORT &amp; ADDENDUM to populate form</t>
  </si>
  <si>
    <t>More details in Rulemaking Manual</t>
  </si>
  <si>
    <t>Effective Date</t>
  </si>
  <si>
    <t>Filed Date</t>
  </si>
  <si>
    <t>* saves certificate that SOS sent via email as CERTIFICATE-SOS.pdf</t>
  </si>
  <si>
    <r>
      <t xml:space="preserve">   </t>
    </r>
    <r>
      <rPr>
        <sz val="10"/>
        <color rgb="FFFF0000"/>
        <rFont val="Cambria"/>
        <family val="1"/>
        <scheme val="minor"/>
      </rPr>
      <t xml:space="preserve">DEADLINE: </t>
    </r>
    <r>
      <rPr>
        <sz val="10"/>
        <color theme="4" tint="-0.499984740745262"/>
        <rFont val="Cambria"/>
        <family val="1"/>
        <scheme val="minor"/>
      </rPr>
      <t>LC must receive notification within 10 days after CERTIFICATE date</t>
    </r>
  </si>
  <si>
    <t>* sends Procurement a scanned image of SHUTTLE.RECEIPT-LC</t>
  </si>
  <si>
    <r>
      <rPr>
        <sz val="10"/>
        <color rgb="FFFF0000"/>
        <rFont val="Cambria"/>
        <family val="1"/>
        <scheme val="minor"/>
      </rPr>
      <t xml:space="preserve">DEADLINE: </t>
    </r>
    <r>
      <rPr>
        <sz val="10"/>
        <color theme="4" tint="-0.499984740745262"/>
        <rFont val="Cambria"/>
        <family val="1"/>
        <scheme val="minor"/>
      </rPr>
      <t>DEQ must send notification or DAS Part 2 within 10 days of EQC action</t>
    </r>
  </si>
  <si>
    <t>CLOSING RECORDS AND ARCHIVAL</t>
  </si>
  <si>
    <r>
      <t xml:space="preserve">   </t>
    </r>
    <r>
      <rPr>
        <sz val="10"/>
        <color rgb="FFFF0000"/>
        <rFont val="Cambria"/>
        <family val="1"/>
        <scheme val="minor"/>
      </rPr>
      <t xml:space="preserve">DEADLINE: </t>
    </r>
    <r>
      <rPr>
        <sz val="10"/>
        <color theme="4" tint="-0.499984740745262"/>
        <rFont val="Cambria"/>
        <family val="1"/>
        <scheme val="minor"/>
      </rPr>
      <t>No Oregon deadline for filing rules after adoption - check EPA</t>
    </r>
  </si>
  <si>
    <t>Rule_Development | 7-PostEQC | EMAILS.PostEQC.pdf</t>
  </si>
  <si>
    <t>FROM: \\deqhq1\Rule_Development\Current</t>
  </si>
  <si>
    <t>TO:        \\deqhq1\Rule_Development\Filed</t>
  </si>
  <si>
    <t>* verifies Web page is current and accurate</t>
  </si>
  <si>
    <r>
      <t>* emails</t>
    </r>
    <r>
      <rPr>
        <b/>
        <sz val="10"/>
        <color theme="4" tint="-0.499984740745262"/>
        <rFont val="Cambria"/>
        <family val="1"/>
        <scheme val="minor"/>
      </rPr>
      <t xml:space="preserve"> optional </t>
    </r>
    <r>
      <rPr>
        <sz val="10"/>
        <color theme="4" tint="-0.499984740745262"/>
        <rFont val="Cambria"/>
        <family val="1"/>
        <scheme val="minor"/>
      </rPr>
      <t>STAKEHOLDER.NOTIFICATION that links to Web page</t>
    </r>
  </si>
  <si>
    <t>* ensures the final version of every document on SharePoint is Major (Published)</t>
  </si>
  <si>
    <r>
      <rPr>
        <sz val="10"/>
        <color rgb="FF008272"/>
        <rFont val="Cambria"/>
        <family val="1"/>
        <scheme val="minor"/>
      </rPr>
      <t xml:space="preserve">* </t>
    </r>
    <r>
      <rPr>
        <sz val="10"/>
        <color theme="4" tint="-0.499984740745262"/>
        <rFont val="Cambria"/>
        <family val="1"/>
        <scheme val="minor"/>
      </rPr>
      <t>scans physical records and save to Rule_Development</t>
    </r>
  </si>
  <si>
    <t>Legislative Counsel Notification</t>
  </si>
  <si>
    <r>
      <rPr>
        <sz val="10"/>
        <color rgb="FFFF0000"/>
        <rFont val="Cambria"/>
        <family val="1"/>
        <scheme val="minor"/>
      </rPr>
      <t xml:space="preserve">DEADLINE: </t>
    </r>
    <r>
      <rPr>
        <sz val="10"/>
        <color theme="4" tint="-0.499984740745262"/>
        <rFont val="Cambria"/>
        <family val="1"/>
        <scheme val="minor"/>
      </rPr>
      <t>Submit to EQC Assistant</t>
    </r>
  </si>
  <si>
    <t>* comparing NOTICE to STAFF.REPORT to determine what needs review</t>
  </si>
  <si>
    <t>*finalizes EQC Packet with core team:</t>
  </si>
  <si>
    <r>
      <rPr>
        <sz val="10"/>
        <color rgb="FF008272"/>
        <rFont val="Cambria"/>
        <family val="1"/>
        <scheme val="minor"/>
      </rPr>
      <t>SAVE DOCUMENTS ON</t>
    </r>
    <r>
      <rPr>
        <sz val="10"/>
        <color theme="1"/>
        <rFont val="Cambria"/>
        <family val="1"/>
        <scheme val="minor"/>
      </rPr>
      <t>:</t>
    </r>
    <r>
      <rPr>
        <sz val="10"/>
        <color theme="4" tint="-0.499984740745262"/>
        <rFont val="Cambria"/>
        <family val="1"/>
        <scheme val="minor"/>
      </rPr>
      <t xml:space="preserve"> SharePoint folder 6-EQC Preparation</t>
    </r>
  </si>
  <si>
    <t xml:space="preserve">* scans mailed comments and envelopes and saves as ID###.pdf </t>
  </si>
  <si>
    <r>
      <rPr>
        <sz val="10"/>
        <color rgb="FF008272"/>
        <rFont val="Cambria"/>
        <family val="1"/>
        <scheme val="minor"/>
      </rPr>
      <t>SAVE DOCUMENTS ON</t>
    </r>
    <r>
      <rPr>
        <sz val="10"/>
        <color theme="1"/>
        <rFont val="Cambria"/>
        <family val="1"/>
        <scheme val="minor"/>
      </rPr>
      <t>:</t>
    </r>
    <r>
      <rPr>
        <sz val="10"/>
        <color theme="4" tint="-0.499984740745262"/>
        <rFont val="Cambria"/>
        <family val="1"/>
        <scheme val="minor"/>
      </rPr>
      <t xml:space="preserve"> SharePoint folder 5-Public Comment</t>
    </r>
  </si>
  <si>
    <t>* stamps DEQ receipt date on address-side of envelope and on first page of letter</t>
  </si>
  <si>
    <t>DOCUMENT PREPARATION</t>
  </si>
  <si>
    <t>* verifies Outlook student comment account is empty/asks helpdesk to close account</t>
  </si>
  <si>
    <t>* leads verification that published rules in Oregon Bulletin are correct</t>
  </si>
  <si>
    <t>* archives folders when record is complete by moving:</t>
  </si>
  <si>
    <r>
      <t>&gt; saves as REDLINE.</t>
    </r>
    <r>
      <rPr>
        <b/>
        <sz val="10"/>
        <color theme="4" tint="-0.499984740745262"/>
        <rFont val="Cambria"/>
        <family val="1"/>
        <scheme val="minor"/>
      </rPr>
      <t>docx</t>
    </r>
    <r>
      <rPr>
        <sz val="10"/>
        <color theme="4" tint="-0.499984740745262"/>
        <rFont val="Cambria"/>
        <family val="1"/>
        <scheme val="minor"/>
      </rPr>
      <t xml:space="preserve"> (showing changes in strikethrough and underscore)</t>
    </r>
  </si>
  <si>
    <r>
      <t>- RULES.</t>
    </r>
    <r>
      <rPr>
        <b/>
        <sz val="10"/>
        <color theme="4" tint="-0.499984740745262"/>
        <rFont val="Cambria"/>
        <family val="1"/>
        <scheme val="minor"/>
      </rPr>
      <t>docx</t>
    </r>
    <r>
      <rPr>
        <sz val="10"/>
        <color theme="4" tint="-0.499984740745262"/>
        <rFont val="Cambria"/>
        <family val="1"/>
        <scheme val="minor"/>
      </rPr>
      <t xml:space="preserve"> (clean version in Word)</t>
    </r>
  </si>
  <si>
    <t>* validates approach with staff who provided input</t>
  </si>
  <si>
    <t>* raises unanticipated rulemaking and implementation risks to appropriate level</t>
  </si>
  <si>
    <t>DAAssistant</t>
  </si>
  <si>
    <t>are ready for Rule Publication</t>
  </si>
  <si>
    <t>* adding hearings to DEQ Event Calendar</t>
  </si>
  <si>
    <t>- program-specific lists</t>
  </si>
  <si>
    <t>* copies subject rules from SOS into template</t>
  </si>
  <si>
    <t>All drafters and reviewers work on SharePoint PROPOSED.RULES</t>
  </si>
  <si>
    <t>* SIP note is at bottom of all SIP rules and it is accurate</t>
  </si>
  <si>
    <t>* verifies each rule in PROPOSED.RULES is current with SOS compilation</t>
  </si>
  <si>
    <t xml:space="preserve">* verifies no rule adoptions could affect PROPOSED.RULES </t>
  </si>
  <si>
    <t>* PROPOSED.RULES      SharePoint | 0 Proposed Rules</t>
  </si>
  <si>
    <t>* NOTICE                             SharePoint | 4 Public Notice</t>
  </si>
  <si>
    <t>* SUPPORTING.DOCS - optional   SharePoint | 4 Public Notice</t>
  </si>
  <si>
    <t>* INVITATION.TO.COMMENT (after Notice approved)  SharePoint | 4 Public Notice</t>
  </si>
  <si>
    <t>- University Student Comment Account - helpdesk request with</t>
  </si>
  <si>
    <t>* saves EMAIL.PREVIEW.pdf to Rule_Development | 4-Notice</t>
  </si>
  <si>
    <t>NOTICE, PROPOSED.RULES &amp; any SUPPORTING.DCUMENTS</t>
  </si>
  <si>
    <t>* drafts INVITATION.TO.COMMENT using information from approved NOTICE</t>
  </si>
  <si>
    <t>* saves email as Rule_Development | 4-Notice | MGR.APPROVAL.Notice.pdf</t>
  </si>
  <si>
    <t>* pull rules to amend or repeal from SOS-Archives</t>
  </si>
  <si>
    <t xml:space="preserve">* identify new rules to adopt </t>
  </si>
  <si>
    <r>
      <t>* saves PROPOSED.RULES</t>
    </r>
    <r>
      <rPr>
        <sz val="10"/>
        <color rgb="FFFF0000"/>
        <rFont val="Cambria"/>
        <family val="1"/>
        <scheme val="minor"/>
      </rPr>
      <t>.Pristine</t>
    </r>
  </si>
  <si>
    <r>
      <t xml:space="preserve">* uploads a copy to SharePoint into </t>
    </r>
    <r>
      <rPr>
        <i/>
        <sz val="10"/>
        <color theme="4" tint="-0.499984740745262"/>
        <rFont val="Cambria"/>
        <family val="1"/>
        <scheme val="minor"/>
      </rPr>
      <t xml:space="preserve">0.ProposedRules </t>
    </r>
    <r>
      <rPr>
        <sz val="10"/>
        <color theme="4" tint="-0.499984740745262"/>
        <rFont val="Cambria"/>
        <family val="1"/>
        <scheme val="minor"/>
      </rPr>
      <t>as PROPOSED.RULES</t>
    </r>
  </si>
  <si>
    <t>* obtains, verifies, provides previously unused rule numbers for new rules/divisions</t>
  </si>
  <si>
    <t>* performs 1st plain language, style guide edits on SharePoint PROPOSED.RULES</t>
  </si>
  <si>
    <t xml:space="preserve">* offers organizational comments and examples </t>
  </si>
  <si>
    <t xml:space="preserve">* validate/correct and NOTE(s) </t>
  </si>
  <si>
    <t>* validate/correct statutes implemented at bottom of each rule</t>
  </si>
  <si>
    <t>* validate/correct statutory authorities at bottom of each rule</t>
  </si>
  <si>
    <t>* validate/correct all citations, tables, formulas and document references within rule</t>
  </si>
  <si>
    <t>* does not delete or change Hist. or ED.NOTES for any rule</t>
  </si>
  <si>
    <r>
      <rPr>
        <sz val="10"/>
        <color rgb="FF008272"/>
        <rFont val="Cambria"/>
        <family val="1"/>
        <scheme val="minor"/>
      </rPr>
      <t>SAVE DOCUMENTS ON</t>
    </r>
    <r>
      <rPr>
        <sz val="10"/>
        <color theme="1"/>
        <rFont val="Cambria"/>
        <family val="1"/>
        <scheme val="minor"/>
      </rPr>
      <t>:</t>
    </r>
    <r>
      <rPr>
        <sz val="10"/>
        <color theme="4" tint="-0.499984740745262"/>
        <rFont val="Cambria"/>
        <family val="1"/>
        <scheme val="minor"/>
      </rPr>
      <t xml:space="preserve"> SharePoint folder 2-Advisory Committee</t>
    </r>
  </si>
  <si>
    <r>
      <rPr>
        <sz val="10"/>
        <color rgb="FFFF0000"/>
        <rFont val="Cambria"/>
        <family val="1"/>
        <scheme val="minor"/>
      </rPr>
      <t xml:space="preserve">DEADLINE: </t>
    </r>
    <r>
      <rPr>
        <sz val="10"/>
        <color theme="4" tint="-0.499984740745262"/>
        <rFont val="Cambria"/>
        <family val="1"/>
        <scheme val="minor"/>
      </rPr>
      <t>Notice committee meetings 2 weeks before meeting</t>
    </r>
  </si>
  <si>
    <t>- examples of the required Advisory Committee Web pages</t>
  </si>
  <si>
    <t>talk about folders original format, etc</t>
  </si>
  <si>
    <t xml:space="preserve">* determine availability of any new (adopted) rule or division numbers </t>
  </si>
  <si>
    <t>EQC Meeting</t>
  </si>
  <si>
    <t>Update these dates when EQC Assistant publishes actual meeting date.s</t>
  </si>
  <si>
    <r>
      <rPr>
        <b/>
        <sz val="12"/>
        <color theme="1"/>
        <rFont val="Cambria"/>
        <family val="1"/>
        <scheme val="minor"/>
      </rPr>
      <t>LEGAL HOLIDAYS</t>
    </r>
    <r>
      <rPr>
        <sz val="12"/>
        <color theme="1"/>
        <rFont val="Cambria"/>
        <family val="1"/>
        <scheme val="minor"/>
      </rPr>
      <t xml:space="preserve">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r>
  </si>
  <si>
    <t>1 of 4</t>
  </si>
  <si>
    <t>2 of 4</t>
  </si>
  <si>
    <t>3 of 4</t>
  </si>
  <si>
    <t>4 of 4</t>
  </si>
  <si>
    <t>Publications</t>
  </si>
  <si>
    <t>Called from Planning section</t>
  </si>
  <si>
    <t>Called from Overview of Key Tasks section</t>
  </si>
  <si>
    <t>S.DDL_EQCMeeting
(B5:B26)</t>
  </si>
  <si>
    <t>S.DDL_Newapapers
(I5:I13)</t>
  </si>
  <si>
    <t>Due to SOS</t>
  </si>
  <si>
    <t>Publication Date</t>
  </si>
  <si>
    <t>Called throught workbook. When used in WORKDAY caculation, this is [holidays].</t>
  </si>
  <si>
    <t>TABLE - S.VL_EQCActivities (B5:D26)</t>
  </si>
  <si>
    <r>
      <t>Drop down lists (</t>
    </r>
    <r>
      <rPr>
        <b/>
        <i/>
        <sz val="18"/>
        <color theme="1"/>
        <rFont val="Cambria"/>
        <family val="1"/>
        <scheme val="minor"/>
      </rPr>
      <t>S.DDL_</t>
    </r>
    <r>
      <rPr>
        <b/>
        <sz val="18"/>
        <color theme="1"/>
        <rFont val="Cambria"/>
        <family val="1"/>
        <scheme val="minor"/>
      </rPr>
      <t>) used through Data Validation and VLOOKUP (</t>
    </r>
    <r>
      <rPr>
        <b/>
        <i/>
        <sz val="18"/>
        <color theme="1"/>
        <rFont val="Cambria"/>
        <family val="1"/>
        <scheme val="minor"/>
      </rPr>
      <t>S.VL_</t>
    </r>
    <r>
      <rPr>
        <b/>
        <sz val="18"/>
        <color theme="1"/>
        <rFont val="Cambria"/>
        <family val="1"/>
        <scheme val="minor"/>
      </rPr>
      <t>) tables</t>
    </r>
  </si>
  <si>
    <t>Legal Holiday
(B31:B67)</t>
  </si>
  <si>
    <t>S.DDL_DEQClosed
(B31:B79)</t>
  </si>
  <si>
    <t>S.VL_Bulletin ( B74:C181)</t>
  </si>
  <si>
    <t>S.DDL_Bulletin
(B74:B181)</t>
  </si>
  <si>
    <t>=IF(S.AC.CommitteeInvolved="N",0,1)</t>
  </si>
  <si>
    <t>ScheduleOfTasks tab</t>
  </si>
  <si>
    <t>Rulemaking Scope</t>
  </si>
  <si>
    <t>White on red</t>
  </si>
  <si>
    <t>ScheduleOf Tasks tab</t>
  </si>
  <si>
    <t>=IF(WORKDAY($G6,1,S.DDL_DEQClosed)&lt;&gt;$G6,TRUE)</t>
  </si>
  <si>
    <t xml:space="preserve">If you enter a date that falls on a DEQ office closure date, the cell warns you by turning the cell red with white font. The calculation uses the WORKDAY function to exclude office closure dates where the [holidays] argument is S.DDL_DEQClosed table developed on the Lists.TableLookups tab. </t>
  </si>
  <si>
    <t>Last cell on work area of ScheduleOfTasks</t>
  </si>
  <si>
    <t>CAUTION when applying conditional formats:</t>
  </si>
  <si>
    <t xml:space="preserve">  *  Place cursor in first cell to be formatted</t>
  </si>
  <si>
    <t xml:space="preserve">  * Inserting or deleting rows, causes multiple instances of the calculation that could cause the worksheet to become sluggish. Try to keep just one instance of a calculation. 
</t>
  </si>
  <si>
    <t>Cursor placement - $G6</t>
  </si>
  <si>
    <t>Cursor placement - $H12</t>
  </si>
  <si>
    <t>Cursor placement - $B6</t>
  </si>
  <si>
    <t>Red on white</t>
  </si>
  <si>
    <t>=IF(AND(S.General.RuleType="P",S.Notice.HearingInvolved="Y",S.Notice.Involved="N"),TRUE,FALSE)</t>
  </si>
  <si>
    <t>=IF(ISERROR($H$19)=TRUE,TRUE,)</t>
  </si>
  <si>
    <t>=IF($AJ$32=1,TRUE)</t>
  </si>
  <si>
    <t>Error messages</t>
  </si>
  <si>
    <t>$B$18:$H$49,$C$56</t>
  </si>
  <si>
    <t>$B$30,$B$32</t>
  </si>
  <si>
    <t>$B$19</t>
  </si>
  <si>
    <t>$B$32</t>
  </si>
  <si>
    <t>The Overview of Key dates section will display a message when you need to correct a key date.</t>
  </si>
  <si>
    <t>Working with conditional formats</t>
  </si>
  <si>
    <r>
      <t xml:space="preserve">When working with Styles | Conditional Formating select:
  * Manage </t>
    </r>
    <r>
      <rPr>
        <u/>
        <sz val="11"/>
        <color theme="1"/>
        <rFont val="Cambria"/>
        <family val="1"/>
        <scheme val="minor"/>
      </rPr>
      <t>R</t>
    </r>
    <r>
      <rPr>
        <sz val="11"/>
        <color theme="1"/>
        <rFont val="Cambria"/>
        <family val="2"/>
        <scheme val="minor"/>
      </rPr>
      <t xml:space="preserve">ules
  * </t>
    </r>
    <r>
      <rPr>
        <u/>
        <sz val="11"/>
        <color theme="1"/>
        <rFont val="Cambria"/>
        <family val="1"/>
        <scheme val="minor"/>
      </rPr>
      <t>S</t>
    </r>
    <r>
      <rPr>
        <sz val="11"/>
        <color theme="1"/>
        <rFont val="Cambria"/>
        <family val="2"/>
        <scheme val="minor"/>
      </rPr>
      <t>how formating rules for This Worksheet</t>
    </r>
  </si>
  <si>
    <t>* posts DEQ Rulemaking Plan on Rules and Regulations (external Web page)</t>
  </si>
  <si>
    <t>Do not turn off track changes in PROPOSED.RULES</t>
  </si>
  <si>
    <r>
      <rPr>
        <sz val="10"/>
        <color rgb="FF008272"/>
        <rFont val="Cambria"/>
        <family val="1"/>
        <scheme val="minor"/>
      </rPr>
      <t>SAVE DOCUMENTS ON</t>
    </r>
    <r>
      <rPr>
        <sz val="10"/>
        <color theme="1"/>
        <rFont val="Cambria"/>
        <family val="1"/>
        <scheme val="minor"/>
      </rPr>
      <t>:</t>
    </r>
    <r>
      <rPr>
        <sz val="10"/>
        <color theme="4" tint="-0.499984740745262"/>
        <rFont val="Cambria"/>
        <family val="1"/>
        <scheme val="minor"/>
      </rPr>
      <t xml:space="preserve"> SharePoint folder 4-Public Notice</t>
    </r>
  </si>
  <si>
    <t xml:space="preserve">subject completeness and accuracy </t>
  </si>
  <si>
    <t>* saves each document as Major version to capture all comments and tracked changes</t>
  </si>
  <si>
    <r>
      <t xml:space="preserve">* addresses </t>
    </r>
    <r>
      <rPr>
        <b/>
        <sz val="10"/>
        <color theme="4" tint="-0.499984740745262"/>
        <rFont val="Cambria"/>
        <family val="1"/>
        <scheme val="minor"/>
      </rPr>
      <t>all</t>
    </r>
    <r>
      <rPr>
        <sz val="10"/>
        <color theme="4" tint="-0.499984740745262"/>
        <rFont val="Cambria"/>
        <family val="1"/>
        <scheme val="minor"/>
      </rPr>
      <t xml:space="preserve"> comments, but does not delete them </t>
    </r>
  </si>
  <si>
    <t>* in NOTICE &amp; optional SUPPORTING.DOCUMENTS:</t>
  </si>
  <si>
    <t>During Rule Publication work:</t>
  </si>
  <si>
    <t xml:space="preserve">* determines whether NOTICE &amp; SUPPORTING DOCUMENTS </t>
  </si>
  <si>
    <t>BrianW</t>
  </si>
  <si>
    <t>- accepts all changes</t>
  </si>
  <si>
    <t>- deletes addressed comments</t>
  </si>
  <si>
    <t>- ensures Word's track changes is turned on</t>
  </si>
  <si>
    <t>- saves documents as Minor versions</t>
  </si>
  <si>
    <t xml:space="preserve">Do not turn off track changes in PROPOSED.RULES  </t>
  </si>
  <si>
    <t>See Proposed Rules section above</t>
  </si>
  <si>
    <t>- IF INCOMPLETE</t>
  </si>
  <si>
    <t>&gt; discusses/resolves any editorial differences</t>
  </si>
  <si>
    <t>&gt; addresses input to ensure edits and comments speak with one voice</t>
  </si>
  <si>
    <t xml:space="preserve">&gt; accepts non substantive edits </t>
  </si>
  <si>
    <t>&gt; determines whether work products meet DEQ publication standards</t>
  </si>
  <si>
    <t>&gt; leads review to determine fiscal and economic impact analysis sufficiency</t>
  </si>
  <si>
    <t xml:space="preserve">- IF COMPLETE </t>
  </si>
  <si>
    <t>* need to renegotiate schedule</t>
  </si>
  <si>
    <t xml:space="preserve">allow 5-7 days  </t>
  </si>
  <si>
    <t>* submits of Notice to EPA, if required</t>
  </si>
  <si>
    <t>- EQC members</t>
  </si>
  <si>
    <t xml:space="preserve">* saves receipts under Rule_Development|4-Notice </t>
  </si>
  <si>
    <t xml:space="preserve">* edits for plain English, style guide &amp; tone because this is part of EQC Packet </t>
  </si>
  <si>
    <t>- PROPOSED.RULES in folder 0</t>
  </si>
  <si>
    <t>- SUPPORTING.DOCUMENTS moved from folder 4 to folder 6</t>
  </si>
  <si>
    <t>* addresses rule publication edits and comments</t>
  </si>
  <si>
    <t>* prepares EQC packet</t>
  </si>
  <si>
    <t>* initiates management review and approval</t>
  </si>
  <si>
    <t>* notifies the following according to division's best practice after EQC Web posting</t>
  </si>
  <si>
    <r>
      <t>- STAFF.REPORT</t>
    </r>
    <r>
      <rPr>
        <b/>
        <sz val="10"/>
        <color theme="4" tint="-0.499984740745262"/>
        <rFont val="Cambria"/>
        <family val="1"/>
        <scheme val="minor"/>
      </rPr>
      <t>.pdf</t>
    </r>
  </si>
  <si>
    <t>*downloads documents as presented to EQC from SharePoint:</t>
  </si>
  <si>
    <r>
      <t>- PROPOSED.RULES</t>
    </r>
    <r>
      <rPr>
        <sz val="10"/>
        <color theme="4" tint="-0.499984740745262"/>
        <rFont val="Cambria"/>
        <family val="1"/>
        <scheme val="minor"/>
      </rPr>
      <t xml:space="preserve"> (showing changes)</t>
    </r>
  </si>
  <si>
    <r>
      <t>&gt; saves as RULES.</t>
    </r>
    <r>
      <rPr>
        <b/>
        <sz val="10"/>
        <color theme="4" tint="-0.499984740745262"/>
        <rFont val="Cambria"/>
        <family val="1"/>
        <scheme val="minor"/>
      </rPr>
      <t>docx</t>
    </r>
    <r>
      <rPr>
        <sz val="10"/>
        <color theme="4" tint="-0.499984740745262"/>
        <rFont val="Cambria"/>
        <family val="1"/>
        <scheme val="minor"/>
      </rPr>
      <t xml:space="preserve"> (clean version), accepts all changes, saves again</t>
    </r>
  </si>
  <si>
    <t>* notes sequence for Certificate and Order No.</t>
  </si>
  <si>
    <t xml:space="preserve">* moves share drive folder system </t>
  </si>
  <si>
    <t xml:space="preserve">* submits Web request to update Web page </t>
  </si>
  <si>
    <t>- prints REDLINE and saves copy as REDLINE-LC.pdf</t>
  </si>
  <si>
    <t>* prepares Legislative Counsel notification - see Rulemaking Manual:</t>
  </si>
  <si>
    <t>* sends via shuttle</t>
  </si>
  <si>
    <t>* sends Procurement a scanned image of SHUTTLE.RECEIPT-DAS</t>
  </si>
  <si>
    <t>* gathers emails about post EQC activities for the Rule Record and saves as:</t>
  </si>
  <si>
    <t>* coordinates closing SharePoint sub-site</t>
  </si>
  <si>
    <t>* sends Web page link with informational email:</t>
  </si>
  <si>
    <r>
      <t>* adds PROPOSED.RULES</t>
    </r>
    <r>
      <rPr>
        <sz val="10"/>
        <color rgb="FFFF0000"/>
        <rFont val="Cambria"/>
        <family val="1"/>
        <scheme val="minor"/>
      </rPr>
      <t>.Pristine</t>
    </r>
    <r>
      <rPr>
        <sz val="10"/>
        <color theme="4" tint="-0.499984740745262"/>
        <rFont val="Cambria"/>
        <family val="1"/>
        <scheme val="minor"/>
      </rPr>
      <t xml:space="preserve"> template to Rule_Development | 0.ProposedRules</t>
    </r>
  </si>
  <si>
    <t>* protects PROPOSED.RULES.Pristine on Rule_Development | 0. Draft Rules</t>
  </si>
  <si>
    <t>- prints CERTIFICATE and saves copy as CERTIFICATE-LC.pdf</t>
  </si>
  <si>
    <t>* prepares/scans return receipt shuttle envelope, saves as SHUTTLE.RECEIPT-LC.pdf</t>
  </si>
  <si>
    <t>* prepares/scans shuttle envelope, saves as SHUTTLE.RECEIPT-DAS.pdf</t>
  </si>
  <si>
    <t>X</t>
  </si>
  <si>
    <t>Calculations</t>
  </si>
  <si>
    <t>$C</t>
  </si>
  <si>
    <t>Y/N choices made in column C throughout the ScheduleOfTasks worksheet will turn rows related to that choice ON (Teal, 1) or OFF (Grey, 0).  For example, if you select 'N" for Advisory Committee in cell C12, all Advisory Committee tasks will fade to grey. The calculation for turning rows on or off is in column $AC.</t>
  </si>
  <si>
    <t>$AC</t>
  </si>
  <si>
    <t>=IF($AC18=2,TRUE)</t>
  </si>
  <si>
    <t>where "S.AC.CommitteeInvolved" is the Y/N choice for whether DEQ will convene an advisory committee. The "N" or no committee choice would turn all advisory committeee tasks on the worksheet to Grey and the "Y" choice would leave them unchanged.</t>
  </si>
  <si>
    <t>* coordinates moving major versions from SharePoint to Rule_Development</t>
  </si>
  <si>
    <t>Names used in workbook</t>
  </si>
  <si>
    <r>
      <t xml:space="preserve">All names in  this workbook start with </t>
    </r>
    <r>
      <rPr>
        <sz val="11"/>
        <color theme="1"/>
        <rFont val="Cambria"/>
        <family val="1"/>
        <scheme val="minor"/>
      </rPr>
      <t>"</t>
    </r>
    <r>
      <rPr>
        <b/>
        <sz val="11"/>
        <color rgb="FF993300"/>
        <rFont val="Cambria"/>
        <family val="1"/>
        <scheme val="minor"/>
      </rPr>
      <t>S.</t>
    </r>
    <r>
      <rPr>
        <sz val="11"/>
        <color theme="1"/>
        <rFont val="Cambria"/>
        <family val="1"/>
        <scheme val="minor"/>
      </rPr>
      <t>" to identify the name as a ScheduleOfTask name while all CONSIDERATION names start with "C." and RESOURCES names start with "R." A future plan is tolink the workbooks and this convention would prevent naming conflicts.</t>
    </r>
  </si>
  <si>
    <r>
      <t xml:space="preserve">See the names in this workbook by opening the </t>
    </r>
    <r>
      <rPr>
        <b/>
        <sz val="11"/>
        <color rgb="FF363636"/>
        <rFont val="Cambria"/>
        <family val="1"/>
        <scheme val="minor"/>
      </rPr>
      <t>Name Manager</t>
    </r>
    <r>
      <rPr>
        <sz val="11"/>
        <color rgb="FF363636"/>
        <rFont val="Cambria"/>
        <family val="1"/>
        <scheme val="minor"/>
      </rPr>
      <t xml:space="preserve"> dialog box, on the </t>
    </r>
    <r>
      <rPr>
        <b/>
        <sz val="11"/>
        <color rgb="FF363636"/>
        <rFont val="Cambria"/>
        <family val="1"/>
        <scheme val="minor"/>
      </rPr>
      <t>Formulas</t>
    </r>
    <r>
      <rPr>
        <sz val="11"/>
        <color rgb="FF363636"/>
        <rFont val="Cambria"/>
        <family val="1"/>
        <scheme val="minor"/>
      </rPr>
      <t xml:space="preserve"> tab, in the </t>
    </r>
    <r>
      <rPr>
        <b/>
        <sz val="11"/>
        <color rgb="FF363636"/>
        <rFont val="Cambria"/>
        <family val="1"/>
        <scheme val="minor"/>
      </rPr>
      <t>Defined Names</t>
    </r>
    <r>
      <rPr>
        <sz val="11"/>
        <color rgb="FF363636"/>
        <rFont val="Cambria"/>
        <family val="1"/>
        <scheme val="minor"/>
      </rPr>
      <t xml:space="preserve"> group then click </t>
    </r>
    <r>
      <rPr>
        <b/>
        <sz val="11"/>
        <color rgb="FF363636"/>
        <rFont val="Cambria"/>
        <family val="1"/>
        <scheme val="minor"/>
      </rPr>
      <t>Name Manager.</t>
    </r>
  </si>
  <si>
    <t>Missing Column 5 in DDL</t>
  </si>
  <si>
    <t>Check older versions</t>
  </si>
  <si>
    <t>Lookups - Lists and Tables</t>
  </si>
  <si>
    <t>Banner date parameters</t>
  </si>
  <si>
    <t>Restore default values</t>
  </si>
  <si>
    <t>To restore a cell's default value, place the cursor in that cell and enter the calculation "=A" followed by the current cell number.</t>
  </si>
  <si>
    <t>Column calculations</t>
  </si>
  <si>
    <r>
      <rPr>
        <b/>
        <sz val="9"/>
        <color theme="1"/>
        <rFont val="Cambria"/>
        <family val="1"/>
        <scheme val="minor"/>
      </rPr>
      <t>SAMPLE</t>
    </r>
    <r>
      <rPr>
        <sz val="9"/>
        <color theme="1"/>
        <rFont val="Cambria"/>
        <family val="1"/>
        <scheme val="minor"/>
      </rPr>
      <t xml:space="preserve">    =IF(S.General.RuleType="P","PERMANENT Rulemaking ","TEMPORARY Rulemaking")</t>
    </r>
  </si>
  <si>
    <r>
      <t>All</t>
    </r>
    <r>
      <rPr>
        <i/>
        <sz val="11"/>
        <color theme="1"/>
        <rFont val="Cambria"/>
        <family val="1"/>
        <scheme val="minor"/>
      </rPr>
      <t xml:space="preserve"> ScheduleOfTasks </t>
    </r>
    <r>
      <rPr>
        <sz val="11"/>
        <color theme="1"/>
        <rFont val="Cambria"/>
        <family val="1"/>
        <scheme val="minor"/>
      </rPr>
      <t>ca</t>
    </r>
    <r>
      <rPr>
        <sz val="11"/>
        <color theme="1"/>
        <rFont val="Cambria"/>
        <family val="2"/>
        <scheme val="minor"/>
      </rPr>
      <t>lculations start off the main work area and start at column $AB. Column $AC calculations set the scope of the rulemaking described under Rulemaking Scope below. The main worksheet calculation start in column $AG, have a goldenrod background and are hidden in normal worksheet operations. The calculations  for:</t>
    </r>
  </si>
  <si>
    <r>
      <rPr>
        <b/>
        <sz val="10"/>
        <color theme="1"/>
        <rFont val="Cambria"/>
        <family val="1"/>
        <scheme val="minor"/>
      </rPr>
      <t>SAMPLE</t>
    </r>
    <r>
      <rPr>
        <sz val="10"/>
        <color theme="1"/>
        <rFont val="Cambria"/>
        <family val="2"/>
        <scheme val="minor"/>
      </rPr>
      <t xml:space="preserve">   =IF(S.AC.CommitteeInvolved="N",0,1) </t>
    </r>
  </si>
  <si>
    <t>text to describe task</t>
  </si>
  <si>
    <r>
      <rPr>
        <b/>
        <sz val="11"/>
        <color theme="4" tint="-0.499984740745262"/>
        <rFont val="Cambria"/>
        <family val="1"/>
        <scheme val="minor"/>
      </rPr>
      <t xml:space="preserve">Column $B </t>
    </r>
    <r>
      <rPr>
        <sz val="11"/>
        <color theme="4" tint="-0.499984740745262"/>
        <rFont val="Cambria"/>
        <family val="1"/>
        <scheme val="minor"/>
      </rPr>
      <t xml:space="preserve"> are in column $AB </t>
    </r>
  </si>
  <si>
    <t>sets rulemaking scope</t>
  </si>
  <si>
    <r>
      <t xml:space="preserve">SAMPLE   </t>
    </r>
    <r>
      <rPr>
        <sz val="9"/>
        <color theme="1"/>
        <rFont val="Cambria"/>
        <family val="1"/>
        <scheme val="minor"/>
      </rPr>
      <t xml:space="preserve"> =S.Staff.Subject.Expert.FirstName&amp;" leads rule writing on SharePoint PROPOSED.RULES to:"</t>
    </r>
  </si>
  <si>
    <t>See names section below</t>
  </si>
  <si>
    <t>hyperlinks to useful information</t>
  </si>
  <si>
    <t>task completion checkbox</t>
  </si>
  <si>
    <t>no calculation</t>
  </si>
  <si>
    <t>date adjustments</t>
  </si>
  <si>
    <t>limited to several rows under Overview of Key Date. Value selected adjust dates in columns $G and $H</t>
  </si>
  <si>
    <t>task start date</t>
  </si>
  <si>
    <t>task end date</t>
  </si>
  <si>
    <t>hidden</t>
  </si>
  <si>
    <t>place holder for days elapse - we removed this function because it cluttered the work area</t>
  </si>
  <si>
    <r>
      <rPr>
        <b/>
        <sz val="9"/>
        <color theme="1"/>
        <rFont val="Cambria"/>
        <family val="2"/>
        <scheme val="minor"/>
      </rPr>
      <t>SAMPLE</t>
    </r>
    <r>
      <rPr>
        <sz val="9"/>
        <color theme="1"/>
        <rFont val="Cambria"/>
        <family val="2"/>
        <scheme val="minor"/>
      </rPr>
      <t xml:space="preserve">   =IF(S.Hearing.1stInvolve="N",,WORKDAY(S.Notice.SubmitToSOS,1,S.DDL_DEQClosed))</t>
    </r>
  </si>
  <si>
    <t>where the choice "N" set in column C triggers results in no date and "Y" triggers the WORKDAY calculation to determine whether DEQ is open 1 day after submitting notice to Secretary of State</t>
  </si>
  <si>
    <r>
      <rPr>
        <b/>
        <sz val="9"/>
        <color theme="1"/>
        <rFont val="Cambria"/>
        <family val="1"/>
        <scheme val="minor"/>
      </rPr>
      <t xml:space="preserve">SAMPLE </t>
    </r>
    <r>
      <rPr>
        <sz val="9"/>
        <color theme="1"/>
        <rFont val="Cambria"/>
        <family val="2"/>
        <scheme val="minor"/>
      </rPr>
      <t xml:space="preserve">  =VLOOKUP(S.EQC.Meeting,S.VL_EQCActivities,2,FALSE)</t>
    </r>
  </si>
  <si>
    <t>where the calculation looks up the date the Staff Report is due to EQC Assitant in the EQC meeting table</t>
  </si>
  <si>
    <r>
      <rPr>
        <b/>
        <sz val="11"/>
        <color theme="4" tint="-0.499984740745262"/>
        <rFont val="Cambria"/>
        <family val="1"/>
        <scheme val="minor"/>
      </rPr>
      <t xml:space="preserve">Column $C </t>
    </r>
    <r>
      <rPr>
        <sz val="11"/>
        <color theme="4" tint="-0.499984740745262"/>
        <rFont val="Cambria"/>
        <family val="2"/>
        <scheme val="minor"/>
      </rPr>
      <t xml:space="preserve"> are in column $AC </t>
    </r>
  </si>
  <si>
    <r>
      <rPr>
        <b/>
        <sz val="11"/>
        <color theme="4" tint="-0.499984740745262"/>
        <rFont val="Cambria"/>
        <family val="1"/>
        <scheme val="minor"/>
      </rPr>
      <t>Column $D</t>
    </r>
    <r>
      <rPr>
        <sz val="11"/>
        <color theme="4" tint="-0.499984740745262"/>
        <rFont val="Cambria"/>
        <family val="2"/>
        <scheme val="minor"/>
      </rPr>
      <t xml:space="preserve"> are in column $AD </t>
    </r>
  </si>
  <si>
    <r>
      <rPr>
        <b/>
        <sz val="11"/>
        <color theme="4" tint="-0.499984740745262"/>
        <rFont val="Cambria"/>
        <family val="1"/>
        <scheme val="minor"/>
      </rPr>
      <t xml:space="preserve">Column $E  </t>
    </r>
    <r>
      <rPr>
        <sz val="11"/>
        <color theme="4" tint="-0.499984740745262"/>
        <rFont val="Cambria"/>
        <family val="2"/>
        <scheme val="minor"/>
      </rPr>
      <t xml:space="preserve">are in column $AE </t>
    </r>
  </si>
  <si>
    <r>
      <rPr>
        <b/>
        <sz val="11"/>
        <color theme="4" tint="-0.499984740745262"/>
        <rFont val="Cambria"/>
        <family val="1"/>
        <scheme val="minor"/>
      </rPr>
      <t>Column $F</t>
    </r>
    <r>
      <rPr>
        <sz val="11"/>
        <color theme="4" tint="-0.499984740745262"/>
        <rFont val="Cambria"/>
        <family val="2"/>
        <scheme val="minor"/>
      </rPr>
      <t xml:space="preserve"> are in column $AF </t>
    </r>
  </si>
  <si>
    <r>
      <rPr>
        <b/>
        <sz val="11"/>
        <color theme="4" tint="-0.499984740745262"/>
        <rFont val="Cambria"/>
        <family val="1"/>
        <scheme val="minor"/>
      </rPr>
      <t xml:space="preserve">Column $G  </t>
    </r>
    <r>
      <rPr>
        <sz val="11"/>
        <color theme="4" tint="-0.499984740745262"/>
        <rFont val="Cambria"/>
        <family val="2"/>
        <scheme val="minor"/>
      </rPr>
      <t xml:space="preserve">are in column $AG </t>
    </r>
  </si>
  <si>
    <r>
      <rPr>
        <b/>
        <sz val="11"/>
        <color theme="4" tint="-0.499984740745262"/>
        <rFont val="Cambria"/>
        <family val="1"/>
        <scheme val="minor"/>
      </rPr>
      <t xml:space="preserve">Column $H  </t>
    </r>
    <r>
      <rPr>
        <sz val="11"/>
        <color theme="4" tint="-0.499984740745262"/>
        <rFont val="Cambria"/>
        <family val="2"/>
        <scheme val="minor"/>
      </rPr>
      <t xml:space="preserve">are in column $AH </t>
    </r>
  </si>
  <si>
    <t>Template last updated</t>
  </si>
  <si>
    <t>WendyW</t>
  </si>
  <si>
    <t>LydiaE</t>
  </si>
  <si>
    <t>JenniferW</t>
  </si>
  <si>
    <t>ProgMgr</t>
  </si>
  <si>
    <t>P</t>
  </si>
  <si>
    <t>Program Lead (Technical Lead)</t>
  </si>
  <si>
    <t>Sponsoring Manager (Mgr of Techical Lead)</t>
  </si>
  <si>
    <t>Media Lead (Issues final approvals)</t>
  </si>
  <si>
    <t>Jennifer Flynt</t>
  </si>
  <si>
    <t>Technical Lead</t>
  </si>
  <si>
    <t>Support staff (none available; use Tech. Lead)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</si>
</sst>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dd"/>
    <numFmt numFmtId="171" formatCode="[$-409]mmm\-yy;@"/>
    <numFmt numFmtId="172" formatCode="[$-409]mmm\.\ d\,\ yyyy;@"/>
    <numFmt numFmtId="173" formatCode="[$-409]d\-mmm\-yy;@"/>
  </numFmts>
  <fonts count="173"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9"/>
      <color theme="1"/>
      <name val="Cambria"/>
      <family val="2"/>
      <scheme val="minor"/>
    </font>
    <font>
      <sz val="11"/>
      <color theme="0"/>
      <name val="Cambria"/>
      <family val="2"/>
      <scheme val="minor"/>
    </font>
    <font>
      <sz val="11"/>
      <color theme="4" tint="-0.499984740745262"/>
      <name val="Cambria"/>
      <family val="2"/>
      <scheme val="minor"/>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sz val="10"/>
      <name val="Arial"/>
      <family val="2"/>
    </font>
    <font>
      <b/>
      <sz val="9"/>
      <color theme="0"/>
      <name val="Arial"/>
      <family val="2"/>
    </font>
    <font>
      <b/>
      <sz val="11"/>
      <color theme="0"/>
      <name val="Cambria"/>
      <family val="1"/>
      <scheme val="minor"/>
    </font>
    <font>
      <sz val="11"/>
      <color theme="1"/>
      <name val="Calibri"/>
      <family val="2"/>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sz val="10"/>
      <color theme="4" tint="-0.499984740745262"/>
      <name val="Cambria"/>
      <family val="2"/>
      <scheme val="minor"/>
    </font>
    <font>
      <b/>
      <sz val="10"/>
      <color rgb="FF9933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b/>
      <i/>
      <sz val="11"/>
      <color rgb="FFFF0000"/>
      <name val="Calibri"/>
      <family val="2"/>
      <scheme val="major"/>
    </font>
    <font>
      <i/>
      <sz val="11"/>
      <color rgb="FFFF0000"/>
      <name val="Calibri"/>
      <family val="2"/>
      <scheme val="major"/>
    </font>
    <font>
      <b/>
      <sz val="9"/>
      <color rgb="FFFF0000"/>
      <name val="Cambria"/>
      <family val="1"/>
      <scheme val="minor"/>
    </font>
    <font>
      <sz val="10"/>
      <color rgb="FFFF0000"/>
      <name val="Cambria"/>
      <family val="1"/>
      <scheme val="minor"/>
    </font>
    <font>
      <sz val="10"/>
      <color rgb="FF008272"/>
      <name val="Cambria"/>
      <family val="1"/>
      <scheme val="minor"/>
    </font>
    <font>
      <sz val="9"/>
      <color rgb="FFFF0000"/>
      <name val="Cambria"/>
      <family val="1"/>
      <scheme val="minor"/>
    </font>
    <font>
      <sz val="11"/>
      <color theme="4" tint="-0.499984740745262"/>
      <name val="Calibri"/>
      <family val="2"/>
    </font>
    <font>
      <sz val="16"/>
      <color rgb="FFFF0000"/>
      <name val="Cambria"/>
      <family val="2"/>
      <scheme val="minor"/>
    </font>
    <font>
      <b/>
      <sz val="16"/>
      <color rgb="FFFF0000"/>
      <name val="Cambria"/>
      <family val="1"/>
      <scheme val="minor"/>
    </font>
    <font>
      <b/>
      <sz val="12"/>
      <color theme="1"/>
      <name val="Cambria"/>
      <family val="1"/>
      <scheme val="minor"/>
    </font>
    <font>
      <sz val="12"/>
      <color theme="1"/>
      <name val="Times New Roman"/>
      <family val="1"/>
    </font>
    <font>
      <b/>
      <sz val="12"/>
      <name val="Cambria"/>
      <family val="1"/>
      <scheme val="minor"/>
    </font>
    <font>
      <u/>
      <sz val="11"/>
      <color theme="1"/>
      <name val="Cambria"/>
      <family val="1"/>
      <scheme val="minor"/>
    </font>
    <font>
      <sz val="9"/>
      <color theme="0" tint="-0.34998626667073579"/>
      <name val="Cambria"/>
      <family val="2"/>
      <scheme val="minor"/>
    </font>
    <font>
      <b/>
      <sz val="9"/>
      <color theme="0"/>
      <name val="Cambria"/>
      <family val="1"/>
      <scheme val="minor"/>
    </font>
    <font>
      <b/>
      <sz val="11"/>
      <color rgb="FFFF0000"/>
      <name val="Arial"/>
      <family val="2"/>
    </font>
    <font>
      <sz val="11"/>
      <color rgb="FFFF0000"/>
      <name val="Times New Roman"/>
      <family val="1"/>
    </font>
    <font>
      <sz val="11"/>
      <color rgb="FFCC0000"/>
      <name val="Cambria"/>
      <family val="2"/>
      <scheme val="minor"/>
    </font>
    <font>
      <sz val="9"/>
      <color theme="1"/>
      <name val="Cambria"/>
      <family val="1"/>
      <scheme val="minor"/>
    </font>
    <font>
      <b/>
      <sz val="16"/>
      <color theme="4" tint="-0.249977111117893"/>
      <name val="Cambria"/>
      <family val="1"/>
      <scheme val="minor"/>
    </font>
    <font>
      <sz val="9"/>
      <color rgb="FFFFC000"/>
      <name val="Cambria"/>
      <family val="1"/>
      <scheme val="minor"/>
    </font>
    <font>
      <b/>
      <sz val="11"/>
      <color rgb="FF993300"/>
      <name val="Cambria"/>
      <family val="1"/>
      <scheme val="minor"/>
    </font>
    <font>
      <sz val="11"/>
      <color rgb="FF363636"/>
      <name val="Cambria"/>
      <family val="1"/>
      <scheme val="minor"/>
    </font>
    <font>
      <b/>
      <sz val="11"/>
      <color rgb="FF363636"/>
      <name val="Cambria"/>
      <family val="1"/>
      <scheme val="minor"/>
    </font>
    <font>
      <sz val="8"/>
      <color theme="0" tint="-0.499984740745262"/>
      <name val="Cambria"/>
      <family val="2"/>
      <scheme val="minor"/>
    </font>
    <font>
      <sz val="8"/>
      <color theme="0"/>
      <name val="Cambria"/>
      <family val="2"/>
      <scheme val="minor"/>
    </font>
    <font>
      <b/>
      <sz val="9"/>
      <color theme="1"/>
      <name val="Cambria"/>
      <family val="1"/>
      <scheme val="minor"/>
    </font>
    <font>
      <b/>
      <sz val="10"/>
      <color theme="1"/>
      <name val="Cambria"/>
      <family val="1"/>
      <scheme val="minor"/>
    </font>
    <font>
      <b/>
      <sz val="10"/>
      <color theme="4" tint="-0.499984740745262"/>
      <name val="Calibri"/>
      <family val="2"/>
      <scheme val="major"/>
    </font>
    <font>
      <b/>
      <sz val="9"/>
      <color theme="1"/>
      <name val="Cambria"/>
      <family val="2"/>
      <scheme val="minor"/>
    </font>
    <font>
      <b/>
      <sz val="11"/>
      <color theme="1"/>
      <name val="Cambria"/>
      <family val="1"/>
      <scheme val="minor"/>
    </font>
    <font>
      <sz val="8"/>
      <color theme="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49998474074526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4"/>
        <bgColor indexed="64"/>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gray125">
        <fgColor theme="0" tint="-0.24994659260841701"/>
        <bgColor theme="4" tint="0.79998168889431442"/>
      </patternFill>
    </fill>
    <fill>
      <patternFill patternType="solid">
        <fgColor rgb="FFFF0000"/>
        <bgColor indexed="64"/>
      </patternFill>
    </fill>
    <fill>
      <patternFill patternType="solid">
        <fgColor theme="5" tint="0.59999389629810485"/>
        <bgColor indexed="64"/>
      </patternFill>
    </fill>
  </fills>
  <borders count="11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bottom style="thick">
        <color theme="5" tint="-0.249977111117893"/>
      </bottom>
      <diagonal/>
    </border>
    <border>
      <left/>
      <right style="thick">
        <color theme="5" tint="-0.249977111117893"/>
      </right>
      <top style="thick">
        <color theme="5" tint="-0.249977111117893"/>
      </top>
      <bottom/>
      <diagonal/>
    </border>
    <border>
      <left style="thick">
        <color theme="5" tint="-0.249977111117893"/>
      </left>
      <right/>
      <top/>
      <bottom style="thick">
        <color theme="5" tint="-0.249977111117893"/>
      </bottom>
      <diagonal/>
    </border>
    <border>
      <left/>
      <right style="thick">
        <color theme="5" tint="-0.249977111117893"/>
      </right>
      <top/>
      <bottom/>
      <diagonal/>
    </border>
    <border>
      <left style="thick">
        <color theme="5" tint="-0.249977111117893"/>
      </left>
      <right/>
      <top/>
      <bottom/>
      <diagonal/>
    </border>
    <border>
      <left style="thick">
        <color theme="5" tint="-0.249977111117893"/>
      </left>
      <right/>
      <top style="thick">
        <color theme="5" tint="-0.249977111117893"/>
      </top>
      <bottom/>
      <diagonal/>
    </border>
    <border>
      <left/>
      <right/>
      <top style="thick">
        <color theme="5" tint="-0.249977111117893"/>
      </top>
      <bottom/>
      <diagonal/>
    </border>
    <border>
      <left/>
      <right style="thick">
        <color theme="5" tint="-0.249977111117893"/>
      </right>
      <top/>
      <bottom style="thick">
        <color theme="5" tint="-0.249977111117893"/>
      </bottom>
      <diagonal/>
    </border>
    <border>
      <left style="medium">
        <color theme="4" tint="-0.499984740745262"/>
      </left>
      <right style="medium">
        <color theme="4" tint="-0.499984740745262"/>
      </right>
      <top/>
      <bottom/>
      <diagonal/>
    </border>
    <border>
      <left style="medium">
        <color theme="4" tint="-0.499984740745262"/>
      </left>
      <right/>
      <top/>
      <bottom/>
      <diagonal/>
    </border>
    <border>
      <left style="thin">
        <color theme="0" tint="-0.14999847407452621"/>
      </left>
      <right style="thin">
        <color theme="0" tint="-0.14999847407452621"/>
      </right>
      <top/>
      <bottom style="thin">
        <color theme="0" tint="-0.14999847407452621"/>
      </bottom>
      <diagonal/>
    </border>
  </borders>
  <cellStyleXfs count="11">
    <xf numFmtId="164" fontId="0" fillId="0" borderId="0"/>
    <xf numFmtId="0" fontId="83" fillId="2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31">
    <xf numFmtId="164" fontId="0" fillId="0" borderId="0" xfId="0"/>
    <xf numFmtId="164" fontId="7" fillId="0" borderId="0" xfId="0" applyFont="1"/>
    <xf numFmtId="164" fontId="10" fillId="7" borderId="0" xfId="0" applyFont="1" applyFill="1" applyBorder="1" applyAlignment="1"/>
    <xf numFmtId="167" fontId="10" fillId="14" borderId="0" xfId="4" applyNumberFormat="1" applyFont="1" applyFill="1" applyBorder="1" applyAlignment="1">
      <alignment vertical="center"/>
    </xf>
    <xf numFmtId="164" fontId="7" fillId="0" borderId="0" xfId="0" applyFont="1" applyBorder="1"/>
    <xf numFmtId="167" fontId="15" fillId="17" borderId="0" xfId="4" applyNumberFormat="1" applyFont="1" applyFill="1" applyBorder="1" applyAlignment="1">
      <alignment horizontal="left" vertical="top"/>
    </xf>
    <xf numFmtId="164" fontId="0" fillId="0" borderId="0" xfId="0"/>
    <xf numFmtId="166" fontId="15" fillId="17" borderId="0" xfId="4" applyNumberFormat="1" applyFont="1" applyFill="1" applyBorder="1" applyAlignment="1">
      <alignment horizontal="left"/>
    </xf>
    <xf numFmtId="164" fontId="0" fillId="0" borderId="0" xfId="0" applyAlignment="1">
      <alignment horizontal="center"/>
    </xf>
    <xf numFmtId="164" fontId="6"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164" fontId="17"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0" borderId="0" xfId="0" applyFont="1" applyAlignment="1">
      <alignment horizontal="left" indent="3"/>
    </xf>
    <xf numFmtId="164" fontId="20"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0" fillId="12" borderId="0" xfId="0" applyFont="1" applyFill="1" applyBorder="1" applyAlignment="1" applyProtection="1">
      <alignment horizontal="left" vertical="center"/>
    </xf>
    <xf numFmtId="164" fontId="0" fillId="12" borderId="0" xfId="0" applyFill="1" applyBorder="1" applyProtection="1"/>
    <xf numFmtId="164" fontId="0" fillId="12" borderId="0" xfId="0" applyFill="1" applyBorder="1" applyAlignment="1" applyProtection="1">
      <alignment horizontal="left"/>
    </xf>
    <xf numFmtId="0" fontId="22" fillId="12" borderId="0" xfId="1" applyFont="1" applyFill="1" applyBorder="1" applyAlignment="1" applyProtection="1">
      <alignment horizontal="left" vertical="center"/>
    </xf>
    <xf numFmtId="164" fontId="20" fillId="12" borderId="0" xfId="0" quotePrefix="1" applyFont="1" applyFill="1" applyBorder="1" applyAlignment="1" applyProtection="1">
      <alignment horizontal="left" vertical="center"/>
    </xf>
    <xf numFmtId="164" fontId="23" fillId="12" borderId="0" xfId="0" applyFont="1" applyFill="1" applyBorder="1" applyProtection="1"/>
    <xf numFmtId="164" fontId="0" fillId="12" borderId="0" xfId="0" applyFill="1" applyBorder="1" applyAlignment="1" applyProtection="1">
      <alignment horizontal="center" vertical="center"/>
    </xf>
    <xf numFmtId="164" fontId="0" fillId="2" borderId="0" xfId="0" applyFill="1"/>
    <xf numFmtId="166" fontId="6" fillId="13" borderId="0" xfId="4" applyNumberFormat="1" applyFont="1" applyFill="1" applyBorder="1" applyAlignment="1" applyProtection="1">
      <alignment horizontal="center" vertical="center"/>
    </xf>
    <xf numFmtId="166" fontId="20" fillId="12" borderId="0" xfId="0" applyNumberFormat="1" applyFont="1" applyFill="1" applyBorder="1" applyAlignment="1" applyProtection="1">
      <alignment horizontal="center" vertical="center"/>
    </xf>
    <xf numFmtId="164" fontId="31" fillId="2" borderId="0" xfId="0" applyFont="1" applyFill="1" applyBorder="1" applyProtection="1"/>
    <xf numFmtId="164" fontId="31" fillId="2" borderId="0" xfId="0" applyFont="1" applyFill="1" applyBorder="1" applyAlignment="1" applyProtection="1"/>
    <xf numFmtId="164" fontId="31" fillId="2" borderId="0" xfId="0" applyFont="1" applyFill="1" applyBorder="1" applyAlignment="1" applyProtection="1">
      <alignment horizontal="right"/>
    </xf>
    <xf numFmtId="0" fontId="33" fillId="16" borderId="0" xfId="0" applyNumberFormat="1" applyFont="1" applyFill="1" applyBorder="1" applyAlignment="1" applyProtection="1">
      <alignment horizontal="left" wrapText="1"/>
    </xf>
    <xf numFmtId="169" fontId="26" fillId="7" borderId="0" xfId="0" applyNumberFormat="1" applyFont="1" applyFill="1" applyBorder="1" applyAlignment="1" applyProtection="1">
      <alignment horizontal="center"/>
    </xf>
    <xf numFmtId="0" fontId="26" fillId="16" borderId="0" xfId="0" applyNumberFormat="1" applyFont="1" applyFill="1" applyBorder="1" applyAlignment="1" applyProtection="1">
      <alignment horizontal="left" wrapText="1"/>
    </xf>
    <xf numFmtId="164" fontId="30" fillId="0" borderId="0" xfId="0" applyFont="1" applyFill="1" applyBorder="1" applyAlignment="1" applyProtection="1"/>
    <xf numFmtId="164" fontId="31" fillId="0" borderId="0" xfId="0" applyFont="1" applyFill="1" applyBorder="1" applyAlignment="1" applyProtection="1">
      <alignment horizontal="right"/>
    </xf>
    <xf numFmtId="164" fontId="31" fillId="0" borderId="0" xfId="0" applyFont="1" applyFill="1" applyBorder="1" applyAlignment="1" applyProtection="1"/>
    <xf numFmtId="0" fontId="39" fillId="2" borderId="0" xfId="0" applyNumberFormat="1" applyFont="1" applyFill="1" applyBorder="1" applyAlignment="1" applyProtection="1"/>
    <xf numFmtId="0" fontId="39" fillId="2" borderId="0" xfId="0" applyNumberFormat="1" applyFont="1" applyFill="1" applyBorder="1" applyAlignment="1" applyProtection="1">
      <alignment horizontal="right"/>
    </xf>
    <xf numFmtId="0" fontId="30" fillId="2" borderId="0" xfId="1" applyNumberFormat="1" applyFont="1" applyFill="1" applyBorder="1" applyAlignment="1" applyProtection="1">
      <alignment horizontal="center" vertical="center" wrapText="1"/>
    </xf>
    <xf numFmtId="0" fontId="30" fillId="2" borderId="0" xfId="1" applyNumberFormat="1" applyFont="1" applyFill="1" applyBorder="1" applyAlignment="1" applyProtection="1">
      <alignment wrapText="1"/>
    </xf>
    <xf numFmtId="0" fontId="30" fillId="2" borderId="0" xfId="1" applyNumberFormat="1" applyFont="1" applyFill="1" applyBorder="1" applyAlignment="1" applyProtection="1">
      <alignment horizontal="right" wrapText="1"/>
    </xf>
    <xf numFmtId="0" fontId="30" fillId="0" borderId="0" xfId="0" applyNumberFormat="1" applyFont="1" applyFill="1" applyBorder="1" applyAlignment="1" applyProtection="1">
      <alignment horizontal="left" wrapText="1"/>
    </xf>
    <xf numFmtId="164" fontId="31" fillId="9" borderId="0" xfId="0" applyFont="1" applyFill="1" applyBorder="1" applyAlignment="1" applyProtection="1"/>
    <xf numFmtId="164" fontId="31" fillId="9" borderId="0" xfId="0" applyFont="1" applyFill="1" applyBorder="1" applyAlignment="1" applyProtection="1">
      <alignment horizontal="right"/>
    </xf>
    <xf numFmtId="0" fontId="40" fillId="2" borderId="0" xfId="0" applyNumberFormat="1" applyFont="1" applyFill="1" applyBorder="1" applyAlignment="1" applyProtection="1">
      <alignment horizontal="left" wrapText="1"/>
    </xf>
    <xf numFmtId="0" fontId="41" fillId="0" borderId="0"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left" wrapText="1"/>
    </xf>
    <xf numFmtId="1" fontId="42" fillId="0" borderId="0" xfId="0" applyNumberFormat="1" applyFont="1" applyBorder="1" applyAlignment="1" applyProtection="1">
      <alignment horizontal="right" wrapText="1"/>
    </xf>
    <xf numFmtId="0" fontId="27" fillId="7" borderId="0" xfId="0" applyNumberFormat="1" applyFont="1" applyFill="1" applyBorder="1" applyAlignment="1" applyProtection="1">
      <alignment horizontal="left"/>
    </xf>
    <xf numFmtId="0" fontId="44" fillId="16" borderId="0" xfId="0" applyNumberFormat="1" applyFont="1" applyFill="1" applyBorder="1" applyAlignment="1" applyProtection="1">
      <alignment horizontal="left" vertical="center" wrapText="1"/>
    </xf>
    <xf numFmtId="164" fontId="31" fillId="9" borderId="0" xfId="0" applyFont="1" applyFill="1" applyBorder="1" applyProtection="1"/>
    <xf numFmtId="164" fontId="0" fillId="12" borderId="0" xfId="0" applyFill="1" applyBorder="1" applyAlignment="1">
      <alignment horizontal="right"/>
    </xf>
    <xf numFmtId="0" fontId="35" fillId="7" borderId="0" xfId="0" applyNumberFormat="1" applyFont="1" applyFill="1" applyBorder="1" applyAlignment="1" applyProtection="1">
      <alignment horizontal="left" vertical="center" wrapText="1" indent="1"/>
    </xf>
    <xf numFmtId="0" fontId="35" fillId="7" borderId="0" xfId="0" applyNumberFormat="1" applyFont="1" applyFill="1" applyBorder="1" applyAlignment="1" applyProtection="1">
      <alignment horizontal="center" vertical="center" wrapText="1"/>
    </xf>
    <xf numFmtId="0" fontId="36" fillId="16" borderId="0" xfId="0" applyNumberFormat="1" applyFont="1" applyFill="1" applyBorder="1" applyAlignment="1" applyProtection="1">
      <alignment horizontal="center"/>
    </xf>
    <xf numFmtId="164" fontId="35" fillId="7" borderId="0" xfId="0" applyNumberFormat="1" applyFont="1" applyFill="1" applyBorder="1" applyAlignment="1" applyProtection="1">
      <alignment horizontal="left" vertical="center" wrapText="1" indent="3"/>
    </xf>
    <xf numFmtId="0" fontId="30" fillId="2" borderId="0" xfId="1" applyNumberFormat="1" applyFont="1" applyFill="1" applyBorder="1" applyAlignment="1" applyProtection="1">
      <alignment vertical="center" wrapText="1"/>
    </xf>
    <xf numFmtId="164" fontId="35" fillId="7" borderId="0" xfId="0" applyNumberFormat="1" applyFont="1" applyFill="1" applyBorder="1" applyAlignment="1" applyProtection="1">
      <alignment horizontal="left" wrapText="1"/>
    </xf>
    <xf numFmtId="164" fontId="35" fillId="7" borderId="0" xfId="0" applyNumberFormat="1" applyFont="1" applyFill="1" applyBorder="1" applyAlignment="1" applyProtection="1">
      <alignment horizontal="right" wrapText="1"/>
    </xf>
    <xf numFmtId="0" fontId="40" fillId="2" borderId="0" xfId="0" applyNumberFormat="1" applyFont="1" applyFill="1" applyBorder="1" applyAlignment="1" applyProtection="1">
      <alignment horizontal="left" vertical="center" wrapText="1"/>
    </xf>
    <xf numFmtId="0" fontId="40" fillId="2" borderId="0" xfId="0" applyNumberFormat="1" applyFont="1" applyFill="1" applyBorder="1" applyAlignment="1" applyProtection="1">
      <alignment horizontal="center" vertical="center" wrapText="1"/>
    </xf>
    <xf numFmtId="166" fontId="40" fillId="2" borderId="0" xfId="0" applyNumberFormat="1" applyFont="1" applyFill="1" applyBorder="1" applyAlignment="1" applyProtection="1"/>
    <xf numFmtId="166" fontId="40" fillId="5" borderId="0" xfId="0" applyNumberFormat="1" applyFont="1" applyFill="1" applyBorder="1" applyAlignment="1" applyProtection="1">
      <alignment horizontal="right"/>
    </xf>
    <xf numFmtId="0" fontId="39" fillId="9" borderId="0" xfId="0" applyNumberFormat="1" applyFont="1" applyFill="1" applyBorder="1" applyAlignment="1" applyProtection="1">
      <alignment wrapText="1"/>
    </xf>
    <xf numFmtId="1" fontId="38" fillId="7" borderId="0" xfId="0" applyNumberFormat="1" applyFont="1" applyFill="1" applyBorder="1" applyAlignment="1" applyProtection="1">
      <alignment horizontal="right" wrapText="1"/>
    </xf>
    <xf numFmtId="166" fontId="35" fillId="16" borderId="0" xfId="0" applyNumberFormat="1" applyFont="1" applyFill="1" applyBorder="1" applyAlignment="1" applyProtection="1">
      <alignment horizontal="right"/>
    </xf>
    <xf numFmtId="166" fontId="42" fillId="0" borderId="0" xfId="0" applyNumberFormat="1" applyFont="1" applyBorder="1" applyAlignment="1" applyProtection="1"/>
    <xf numFmtId="0" fontId="43" fillId="16" borderId="0" xfId="0" applyNumberFormat="1" applyFont="1" applyFill="1" applyBorder="1" applyAlignment="1" applyProtection="1">
      <alignment horizontal="center"/>
    </xf>
    <xf numFmtId="164" fontId="0" fillId="0" borderId="0" xfId="0" applyAlignment="1">
      <alignment horizontal="left" vertical="top" wrapText="1"/>
    </xf>
    <xf numFmtId="0" fontId="28" fillId="0" borderId="0" xfId="0" applyNumberFormat="1" applyFont="1" applyFill="1" applyBorder="1" applyAlignment="1" applyProtection="1">
      <alignment horizontal="left" wrapText="1"/>
    </xf>
    <xf numFmtId="164" fontId="32" fillId="0" borderId="0" xfId="0" applyFont="1" applyFill="1" applyBorder="1" applyAlignment="1" applyProtection="1"/>
    <xf numFmtId="0" fontId="28" fillId="0" borderId="0" xfId="0" applyNumberFormat="1" applyFont="1" applyFill="1" applyBorder="1" applyAlignment="1" applyProtection="1">
      <alignment horizontal="center" vertical="center" wrapText="1"/>
    </xf>
    <xf numFmtId="0" fontId="46" fillId="2" borderId="0" xfId="0" applyNumberFormat="1" applyFont="1" applyFill="1" applyBorder="1" applyProtection="1"/>
    <xf numFmtId="168" fontId="45" fillId="7" borderId="0" xfId="0" applyNumberFormat="1" applyFont="1" applyFill="1" applyBorder="1" applyAlignment="1" applyProtection="1">
      <alignment horizontal="right" wrapText="1"/>
    </xf>
    <xf numFmtId="164" fontId="20" fillId="2" borderId="0" xfId="0" applyFont="1" applyFill="1" applyBorder="1" applyAlignment="1">
      <alignment horizontal="center"/>
    </xf>
    <xf numFmtId="164" fontId="0" fillId="2" borderId="0" xfId="0" applyFill="1" applyBorder="1"/>
    <xf numFmtId="164" fontId="0" fillId="2" borderId="0" xfId="0" quotePrefix="1" applyFill="1"/>
    <xf numFmtId="164" fontId="0" fillId="2" borderId="0" xfId="0" quotePrefix="1" applyFill="1" applyBorder="1"/>
    <xf numFmtId="164" fontId="24" fillId="9" borderId="0" xfId="0" applyFont="1" applyFill="1" applyBorder="1"/>
    <xf numFmtId="167" fontId="6" fillId="13" borderId="0" xfId="4" applyNumberFormat="1" applyFont="1" applyFill="1" applyBorder="1" applyAlignment="1" applyProtection="1">
      <alignment horizontal="left" vertical="center"/>
    </xf>
    <xf numFmtId="1" fontId="25"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3" fillId="16" borderId="0" xfId="0" applyNumberFormat="1" applyFont="1" applyFill="1" applyBorder="1" applyAlignment="1" applyProtection="1">
      <alignment horizontal="left" vertical="center" wrapText="1"/>
    </xf>
    <xf numFmtId="0" fontId="39" fillId="2" borderId="0" xfId="0" applyNumberFormat="1" applyFont="1" applyFill="1" applyBorder="1" applyAlignment="1" applyProtection="1">
      <alignment horizontal="center" vertical="center"/>
    </xf>
    <xf numFmtId="0" fontId="26" fillId="16"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27" fillId="7" borderId="0" xfId="0" applyNumberFormat="1" applyFont="1" applyFill="1" applyBorder="1" applyAlignment="1" applyProtection="1">
      <alignment horizontal="left" vertical="center"/>
    </xf>
    <xf numFmtId="166" fontId="35" fillId="7" borderId="0" xfId="0" applyNumberFormat="1" applyFont="1" applyFill="1" applyBorder="1" applyAlignment="1" applyProtection="1"/>
    <xf numFmtId="164" fontId="0" fillId="2" borderId="0" xfId="0" applyFont="1" applyFill="1" applyBorder="1" applyAlignment="1">
      <alignment horizontal="left" vertical="center" wrapText="1"/>
    </xf>
    <xf numFmtId="0" fontId="28" fillId="2" borderId="0" xfId="0" applyNumberFormat="1" applyFont="1" applyFill="1" applyBorder="1" applyAlignment="1" applyProtection="1">
      <alignment horizontal="center" vertical="center" wrapText="1"/>
    </xf>
    <xf numFmtId="0" fontId="30" fillId="0" borderId="0" xfId="0" applyNumberFormat="1" applyFont="1" applyBorder="1" applyAlignment="1" applyProtection="1">
      <alignment horizontal="left" wrapText="1"/>
    </xf>
    <xf numFmtId="0" fontId="28" fillId="2" borderId="3" xfId="0" applyNumberFormat="1" applyFont="1" applyFill="1" applyBorder="1" applyAlignment="1" applyProtection="1">
      <alignment horizontal="center" vertical="center" wrapText="1"/>
      <protection locked="0"/>
    </xf>
    <xf numFmtId="0" fontId="50" fillId="2" borderId="3" xfId="0" applyNumberFormat="1"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left" wrapText="1"/>
    </xf>
    <xf numFmtId="166" fontId="50" fillId="5" borderId="2" xfId="0" applyNumberFormat="1" applyFont="1" applyFill="1" applyBorder="1" applyAlignment="1" applyProtection="1">
      <alignment horizontal="right"/>
      <protection locked="0"/>
    </xf>
    <xf numFmtId="164" fontId="52" fillId="0" borderId="0" xfId="0" applyFont="1" applyBorder="1"/>
    <xf numFmtId="164" fontId="53" fillId="0" borderId="0" xfId="0" applyFont="1" applyFill="1" applyBorder="1" applyAlignment="1" applyProtection="1"/>
    <xf numFmtId="164" fontId="52" fillId="0" borderId="0" xfId="0" applyFont="1" applyFill="1" applyBorder="1" applyAlignment="1" applyProtection="1"/>
    <xf numFmtId="0" fontId="54" fillId="2" borderId="3" xfId="0" applyNumberFormat="1" applyFont="1" applyFill="1" applyBorder="1" applyAlignment="1" applyProtection="1">
      <alignment horizontal="center" vertical="center" wrapText="1"/>
      <protection locked="0"/>
    </xf>
    <xf numFmtId="0" fontId="54" fillId="0" borderId="0" xfId="0" applyNumberFormat="1" applyFont="1" applyFill="1" applyBorder="1" applyAlignment="1" applyProtection="1">
      <alignment horizontal="left" wrapText="1"/>
    </xf>
    <xf numFmtId="164" fontId="54" fillId="0" borderId="0" xfId="0" applyFont="1" applyFill="1" applyBorder="1" applyAlignment="1" applyProtection="1"/>
    <xf numFmtId="0" fontId="54" fillId="2" borderId="13" xfId="0" applyNumberFormat="1" applyFont="1" applyFill="1" applyBorder="1" applyAlignment="1" applyProtection="1">
      <alignment horizontal="center" vertical="center" wrapText="1"/>
    </xf>
    <xf numFmtId="166" fontId="35" fillId="7" borderId="0" xfId="0" applyNumberFormat="1" applyFont="1" applyFill="1" applyBorder="1" applyAlignment="1" applyProtection="1">
      <alignment horizontal="right" vertical="center"/>
    </xf>
    <xf numFmtId="0" fontId="51" fillId="0" borderId="0" xfId="0" applyNumberFormat="1" applyFont="1" applyBorder="1" applyAlignment="1" applyProtection="1">
      <alignment horizontal="left" wrapText="1"/>
    </xf>
    <xf numFmtId="0" fontId="54" fillId="2" borderId="2" xfId="0" applyNumberFormat="1" applyFont="1" applyFill="1" applyBorder="1" applyAlignment="1" applyProtection="1">
      <alignment horizontal="center" vertical="center" wrapText="1"/>
      <protection locked="0"/>
    </xf>
    <xf numFmtId="166" fontId="35" fillId="16" borderId="0" xfId="0" applyNumberFormat="1" applyFont="1" applyFill="1" applyBorder="1" applyAlignment="1" applyProtection="1">
      <alignment horizontal="right"/>
      <protection locked="0"/>
    </xf>
    <xf numFmtId="164" fontId="18" fillId="12" borderId="0" xfId="0" applyFont="1" applyFill="1" applyBorder="1"/>
    <xf numFmtId="0" fontId="56" fillId="2" borderId="0" xfId="0" applyNumberFormat="1" applyFont="1" applyFill="1" applyBorder="1" applyAlignment="1" applyProtection="1">
      <alignment horizontal="left" vertical="center" wrapText="1" indent="1"/>
    </xf>
    <xf numFmtId="164" fontId="56" fillId="2" borderId="0" xfId="0" applyNumberFormat="1" applyFont="1" applyFill="1" applyBorder="1" applyAlignment="1" applyProtection="1">
      <alignment horizontal="left" vertical="center" wrapText="1" indent="2"/>
    </xf>
    <xf numFmtId="164" fontId="56" fillId="2" borderId="0" xfId="0" applyNumberFormat="1" applyFont="1" applyFill="1" applyBorder="1" applyAlignment="1" applyProtection="1">
      <alignment horizontal="left" vertical="top" wrapText="1"/>
    </xf>
    <xf numFmtId="164" fontId="56" fillId="0" borderId="0" xfId="0" applyNumberFormat="1" applyFont="1" applyBorder="1" applyAlignment="1" applyProtection="1">
      <alignment horizontal="left" vertical="center" wrapText="1" indent="4"/>
    </xf>
    <xf numFmtId="164" fontId="56" fillId="2" borderId="0" xfId="0" applyNumberFormat="1" applyFont="1" applyFill="1" applyBorder="1" applyAlignment="1" applyProtection="1">
      <alignment horizontal="left" vertical="center" wrapText="1"/>
    </xf>
    <xf numFmtId="0" fontId="57" fillId="0" borderId="0" xfId="0" applyNumberFormat="1" applyFont="1" applyBorder="1" applyAlignment="1" applyProtection="1">
      <alignment horizontal="left" vertical="center" wrapText="1"/>
    </xf>
    <xf numFmtId="164" fontId="58" fillId="8" borderId="14" xfId="0" applyFont="1" applyFill="1" applyBorder="1" applyProtection="1">
      <protection locked="0"/>
    </xf>
    <xf numFmtId="164" fontId="29" fillId="2" borderId="0" xfId="0" applyFont="1" applyFill="1"/>
    <xf numFmtId="164" fontId="37" fillId="2" borderId="0" xfId="0" applyFont="1" applyFill="1" applyAlignment="1">
      <alignment horizontal="center" vertical="center"/>
    </xf>
    <xf numFmtId="0" fontId="3" fillId="2" borderId="0" xfId="0" applyNumberFormat="1" applyFont="1" applyFill="1" applyBorder="1" applyAlignment="1" applyProtection="1">
      <alignment horizontal="right" vertical="center" wrapText="1"/>
    </xf>
    <xf numFmtId="0" fontId="56" fillId="0" borderId="0" xfId="0" applyNumberFormat="1" applyFont="1" applyBorder="1" applyAlignment="1" applyProtection="1">
      <alignment horizontal="left" vertical="center" wrapText="1" indent="1"/>
    </xf>
    <xf numFmtId="164" fontId="56" fillId="0" borderId="0" xfId="0" applyNumberFormat="1" applyFont="1" applyBorder="1" applyAlignment="1" applyProtection="1">
      <alignment horizontal="left" vertical="center" wrapText="1" indent="1"/>
    </xf>
    <xf numFmtId="164" fontId="56" fillId="0" borderId="0" xfId="0" applyNumberFormat="1" applyFont="1" applyBorder="1" applyAlignment="1" applyProtection="1">
      <alignment horizontal="left" vertical="center" wrapText="1"/>
    </xf>
    <xf numFmtId="164" fontId="60" fillId="0" borderId="0" xfId="0" applyNumberFormat="1" applyFont="1" applyBorder="1" applyAlignment="1" applyProtection="1">
      <alignment horizontal="center" vertical="center" wrapText="1"/>
    </xf>
    <xf numFmtId="166" fontId="56" fillId="2" borderId="2" xfId="0" applyNumberFormat="1" applyFont="1" applyFill="1" applyBorder="1" applyAlignment="1" applyProtection="1">
      <alignment horizontal="right" vertical="center" wrapText="1"/>
      <protection locked="0"/>
    </xf>
    <xf numFmtId="166" fontId="60" fillId="2" borderId="2" xfId="0" applyNumberFormat="1" applyFont="1" applyFill="1" applyBorder="1" applyAlignment="1" applyProtection="1">
      <alignment horizontal="right" vertical="center" wrapText="1"/>
      <protection locked="0"/>
    </xf>
    <xf numFmtId="166" fontId="56" fillId="5" borderId="2" xfId="0" applyNumberFormat="1" applyFont="1" applyFill="1" applyBorder="1" applyAlignment="1" applyProtection="1">
      <alignment horizontal="right"/>
      <protection locked="0"/>
    </xf>
    <xf numFmtId="168" fontId="56" fillId="0" borderId="0" xfId="0" applyNumberFormat="1" applyFont="1" applyFill="1" applyBorder="1" applyAlignment="1" applyProtection="1">
      <alignment horizontal="right" wrapText="1"/>
    </xf>
    <xf numFmtId="164" fontId="62" fillId="0" borderId="0" xfId="0" applyFont="1" applyFill="1" applyBorder="1" applyAlignment="1" applyProtection="1"/>
    <xf numFmtId="166" fontId="56" fillId="5" borderId="9" xfId="0" applyNumberFormat="1" applyFont="1" applyFill="1" applyBorder="1" applyAlignment="1" applyProtection="1">
      <alignment horizontal="right"/>
      <protection locked="0"/>
    </xf>
    <xf numFmtId="168" fontId="61" fillId="0" borderId="0" xfId="0" applyNumberFormat="1" applyFont="1" applyFill="1" applyBorder="1" applyAlignment="1" applyProtection="1">
      <alignment horizontal="right" wrapText="1"/>
    </xf>
    <xf numFmtId="164" fontId="62" fillId="0" borderId="0" xfId="0" applyFont="1" applyFill="1" applyBorder="1" applyAlignment="1" applyProtection="1">
      <alignment horizontal="right"/>
    </xf>
    <xf numFmtId="166" fontId="56" fillId="5" borderId="2" xfId="0" applyNumberFormat="1" applyFont="1" applyFill="1" applyBorder="1" applyAlignment="1" applyProtection="1">
      <alignment horizontal="right"/>
    </xf>
    <xf numFmtId="164" fontId="62" fillId="0" borderId="15" xfId="0" applyFont="1" applyFill="1" applyBorder="1" applyAlignment="1" applyProtection="1"/>
    <xf numFmtId="166" fontId="56" fillId="0" borderId="2" xfId="0" applyNumberFormat="1" applyFont="1" applyFill="1" applyBorder="1" applyAlignment="1" applyProtection="1">
      <alignment horizontal="right"/>
      <protection locked="0"/>
    </xf>
    <xf numFmtId="164" fontId="56" fillId="2" borderId="0" xfId="0" applyNumberFormat="1" applyFont="1" applyFill="1" applyBorder="1" applyAlignment="1" applyProtection="1">
      <alignment vertical="center" wrapText="1"/>
    </xf>
    <xf numFmtId="164" fontId="56" fillId="2" borderId="0" xfId="0" applyNumberFormat="1" applyFont="1" applyFill="1" applyBorder="1" applyAlignment="1" applyProtection="1">
      <alignment horizontal="left" vertical="center" wrapText="1"/>
    </xf>
    <xf numFmtId="0" fontId="56" fillId="0" borderId="0" xfId="0" applyNumberFormat="1" applyFont="1" applyFill="1" applyBorder="1" applyAlignment="1" applyProtection="1">
      <alignment horizontal="left" wrapText="1"/>
    </xf>
    <xf numFmtId="164" fontId="56" fillId="2" borderId="0" xfId="0" applyNumberFormat="1" applyFont="1" applyFill="1" applyBorder="1" applyAlignment="1" applyProtection="1">
      <alignment horizontal="left" vertical="center" wrapText="1" indent="1"/>
    </xf>
    <xf numFmtId="0" fontId="56" fillId="2" borderId="0" xfId="0" quotePrefix="1" applyNumberFormat="1" applyFont="1" applyFill="1" applyBorder="1" applyAlignment="1" applyProtection="1">
      <alignment horizontal="left" wrapText="1" indent="2"/>
    </xf>
    <xf numFmtId="0" fontId="64" fillId="0" borderId="0" xfId="0" applyNumberFormat="1" applyFont="1" applyFill="1" applyBorder="1" applyAlignment="1" applyProtection="1">
      <alignment horizontal="center" vertical="center" wrapText="1"/>
    </xf>
    <xf numFmtId="0" fontId="56" fillId="2" borderId="0" xfId="0" quotePrefix="1" applyNumberFormat="1" applyFont="1" applyFill="1" applyBorder="1" applyAlignment="1" applyProtection="1">
      <alignment horizontal="left" vertical="top" wrapText="1" indent="2"/>
    </xf>
    <xf numFmtId="0" fontId="56" fillId="2" borderId="0" xfId="0" applyNumberFormat="1" applyFont="1" applyFill="1" applyBorder="1" applyAlignment="1" applyProtection="1">
      <alignment horizontal="left" vertical="top" wrapText="1" indent="4"/>
    </xf>
    <xf numFmtId="0" fontId="64" fillId="0" borderId="0" xfId="0" applyNumberFormat="1" applyFont="1" applyFill="1" applyBorder="1" applyAlignment="1" applyProtection="1">
      <alignment horizontal="left" vertical="center" wrapText="1" indent="1"/>
    </xf>
    <xf numFmtId="164" fontId="56" fillId="0" borderId="0" xfId="0" applyNumberFormat="1" applyFont="1" applyFill="1" applyBorder="1" applyAlignment="1" applyProtection="1">
      <alignment horizontal="left" vertical="center" wrapText="1" indent="2"/>
    </xf>
    <xf numFmtId="164" fontId="56"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center" wrapText="1"/>
    </xf>
    <xf numFmtId="164" fontId="62" fillId="0" borderId="0" xfId="0" applyFont="1"/>
    <xf numFmtId="164" fontId="62" fillId="0" borderId="0" xfId="0" applyFont="1" applyBorder="1"/>
    <xf numFmtId="0" fontId="66" fillId="0" borderId="2" xfId="0" applyNumberFormat="1"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left" wrapText="1"/>
    </xf>
    <xf numFmtId="0" fontId="56" fillId="2" borderId="2" xfId="0" applyNumberFormat="1" applyFont="1" applyFill="1" applyBorder="1" applyAlignment="1" applyProtection="1">
      <alignment horizontal="center" vertical="center" wrapText="1"/>
      <protection locked="0"/>
    </xf>
    <xf numFmtId="167" fontId="56" fillId="2" borderId="0" xfId="1" applyNumberFormat="1" applyFont="1" applyFill="1" applyBorder="1" applyAlignment="1" applyProtection="1">
      <alignment horizontal="left" vertical="center" wrapText="1"/>
    </xf>
    <xf numFmtId="167" fontId="56" fillId="0" borderId="0" xfId="0" applyNumberFormat="1" applyFont="1" applyBorder="1" applyAlignment="1" applyProtection="1">
      <alignment horizontal="left" vertical="center" wrapText="1"/>
    </xf>
    <xf numFmtId="166" fontId="56" fillId="0" borderId="0" xfId="0" applyNumberFormat="1" applyFont="1" applyFill="1" applyBorder="1" applyAlignment="1" applyProtection="1"/>
    <xf numFmtId="164" fontId="68" fillId="0" borderId="0" xfId="0" applyFont="1" applyFill="1" applyBorder="1" applyAlignment="1" applyProtection="1">
      <alignment horizontal="right"/>
    </xf>
    <xf numFmtId="164" fontId="68" fillId="0" borderId="0" xfId="0" applyFont="1" applyFill="1" applyBorder="1" applyAlignment="1" applyProtection="1"/>
    <xf numFmtId="167" fontId="56" fillId="0" borderId="0" xfId="0" applyNumberFormat="1" applyFont="1" applyBorder="1" applyAlignment="1" applyProtection="1">
      <alignment horizontal="left" vertical="center" wrapText="1" indent="1"/>
    </xf>
    <xf numFmtId="167" fontId="56" fillId="5" borderId="0" xfId="4" applyNumberFormat="1" applyFont="1" applyFill="1" applyBorder="1" applyAlignment="1" applyProtection="1">
      <alignment horizontal="left" vertical="center"/>
    </xf>
    <xf numFmtId="166" fontId="56" fillId="2" borderId="2" xfId="0" applyNumberFormat="1" applyFont="1" applyFill="1" applyBorder="1" applyAlignment="1" applyProtection="1">
      <protection locked="0"/>
    </xf>
    <xf numFmtId="0" fontId="56" fillId="2" borderId="3" xfId="0" applyNumberFormat="1" applyFont="1" applyFill="1" applyBorder="1" applyAlignment="1" applyProtection="1">
      <alignment horizontal="center" vertical="center" wrapText="1"/>
      <protection locked="0"/>
    </xf>
    <xf numFmtId="0" fontId="56" fillId="4" borderId="0" xfId="0" applyNumberFormat="1" applyFont="1" applyFill="1" applyBorder="1" applyAlignment="1" applyProtection="1">
      <alignment vertical="center"/>
    </xf>
    <xf numFmtId="0" fontId="56" fillId="4" borderId="0" xfId="0" applyNumberFormat="1" applyFont="1" applyFill="1" applyBorder="1" applyAlignment="1" applyProtection="1">
      <alignment horizontal="center" vertical="center"/>
    </xf>
    <xf numFmtId="0" fontId="56" fillId="4" borderId="0" xfId="0" applyNumberFormat="1" applyFont="1" applyFill="1" applyBorder="1" applyAlignment="1" applyProtection="1"/>
    <xf numFmtId="1" fontId="56" fillId="4" borderId="0" xfId="0" applyNumberFormat="1" applyFont="1" applyFill="1" applyBorder="1" applyAlignment="1" applyProtection="1">
      <alignment horizontal="right"/>
    </xf>
    <xf numFmtId="166" fontId="56" fillId="5" borderId="0" xfId="0" applyNumberFormat="1" applyFont="1" applyFill="1" applyBorder="1" applyAlignment="1" applyProtection="1"/>
    <xf numFmtId="167" fontId="56" fillId="2" borderId="0" xfId="0" applyNumberFormat="1" applyFont="1" applyFill="1" applyBorder="1" applyAlignment="1" applyProtection="1">
      <alignment horizontal="left" vertical="center" wrapText="1" indent="1"/>
    </xf>
    <xf numFmtId="166" fontId="56" fillId="0" borderId="2" xfId="0" applyNumberFormat="1" applyFont="1" applyBorder="1" applyAlignment="1" applyProtection="1">
      <protection locked="0"/>
    </xf>
    <xf numFmtId="164" fontId="62" fillId="2" borderId="0" xfId="0" applyFont="1" applyFill="1" applyBorder="1" applyAlignment="1" applyProtection="1"/>
    <xf numFmtId="0" fontId="69" fillId="2" borderId="0" xfId="0" applyNumberFormat="1" applyFont="1" applyFill="1" applyBorder="1" applyAlignment="1" applyProtection="1">
      <alignment horizontal="center" vertical="center" wrapText="1"/>
    </xf>
    <xf numFmtId="164" fontId="56" fillId="0" borderId="0" xfId="0" applyNumberFormat="1" applyFont="1" applyFill="1" applyBorder="1" applyAlignment="1" applyProtection="1">
      <alignment horizontal="left" vertical="center" wrapText="1" indent="1"/>
    </xf>
    <xf numFmtId="164" fontId="56" fillId="0" borderId="0" xfId="0" applyNumberFormat="1" applyFont="1" applyFill="1" applyBorder="1" applyAlignment="1" applyProtection="1">
      <alignment horizontal="left" vertical="center" wrapText="1"/>
    </xf>
    <xf numFmtId="0" fontId="56" fillId="2" borderId="0" xfId="0" applyNumberFormat="1" applyFont="1" applyFill="1" applyBorder="1" applyAlignment="1" applyProtection="1">
      <alignment horizontal="left" wrapText="1" indent="1"/>
    </xf>
    <xf numFmtId="0" fontId="60" fillId="2" borderId="0" xfId="0" applyNumberFormat="1" applyFont="1" applyFill="1" applyBorder="1" applyAlignment="1" applyProtection="1">
      <alignment horizontal="right" vertical="center" wrapText="1"/>
    </xf>
    <xf numFmtId="164" fontId="62" fillId="0" borderId="0" xfId="0" applyFont="1" applyBorder="1" applyAlignment="1" applyProtection="1"/>
    <xf numFmtId="0" fontId="56" fillId="0" borderId="0" xfId="0" applyNumberFormat="1" applyFont="1" applyFill="1" applyBorder="1" applyAlignment="1" applyProtection="1">
      <alignment horizontal="center" vertical="center" wrapText="1"/>
    </xf>
    <xf numFmtId="0" fontId="56" fillId="2" borderId="2" xfId="0" applyNumberFormat="1" applyFont="1" applyFill="1" applyBorder="1" applyAlignment="1" applyProtection="1">
      <alignment horizontal="left" vertical="center" wrapText="1"/>
      <protection locked="0"/>
    </xf>
    <xf numFmtId="166" fontId="56" fillId="2" borderId="2" xfId="0" applyNumberFormat="1" applyFont="1" applyFill="1" applyBorder="1" applyAlignment="1" applyProtection="1"/>
    <xf numFmtId="0" fontId="60" fillId="0" borderId="0" xfId="0" applyNumberFormat="1" applyFont="1" applyBorder="1" applyAlignment="1" applyProtection="1">
      <alignment horizontal="right" vertical="center" wrapText="1"/>
    </xf>
    <xf numFmtId="164" fontId="56" fillId="0" borderId="0" xfId="0" quotePrefix="1" applyNumberFormat="1" applyFont="1" applyFill="1" applyBorder="1" applyAlignment="1" applyProtection="1">
      <alignment horizontal="left" vertical="center" wrapText="1"/>
    </xf>
    <xf numFmtId="0" fontId="56" fillId="2" borderId="9" xfId="0" applyNumberFormat="1" applyFont="1" applyFill="1" applyBorder="1" applyAlignment="1" applyProtection="1">
      <alignment horizontal="center" vertical="center" wrapText="1"/>
      <protection locked="0"/>
    </xf>
    <xf numFmtId="164" fontId="62" fillId="2" borderId="0" xfId="0" applyFont="1" applyFill="1" applyBorder="1" applyProtection="1"/>
    <xf numFmtId="164" fontId="62" fillId="2" borderId="0" xfId="0" applyFont="1" applyFill="1" applyBorder="1" applyAlignment="1" applyProtection="1">
      <alignment horizontal="right"/>
    </xf>
    <xf numFmtId="164" fontId="56" fillId="2" borderId="0" xfId="1" applyNumberFormat="1" applyFont="1" applyFill="1" applyBorder="1" applyAlignment="1" applyProtection="1">
      <alignment horizontal="left" vertical="center" wrapText="1" indent="1"/>
    </xf>
    <xf numFmtId="164" fontId="56" fillId="0" borderId="0" xfId="0" applyFont="1" applyBorder="1" applyAlignment="1" applyProtection="1">
      <alignment horizontal="left" wrapText="1" indent="1"/>
    </xf>
    <xf numFmtId="164" fontId="56" fillId="0" borderId="0" xfId="1" applyNumberFormat="1" applyFont="1" applyFill="1" applyBorder="1" applyAlignment="1" applyProtection="1">
      <alignment horizontal="left" vertical="center" wrapText="1" indent="1"/>
    </xf>
    <xf numFmtId="0" fontId="56" fillId="0" borderId="0" xfId="1" applyNumberFormat="1" applyFont="1" applyFill="1" applyBorder="1" applyAlignment="1" applyProtection="1">
      <alignment horizontal="left" vertical="center" wrapText="1" indent="1"/>
    </xf>
    <xf numFmtId="167" fontId="56" fillId="2" borderId="0" xfId="1" applyNumberFormat="1" applyFont="1" applyFill="1" applyBorder="1" applyAlignment="1" applyProtection="1">
      <alignment horizontal="left" vertical="center" wrapText="1" indent="1"/>
    </xf>
    <xf numFmtId="164" fontId="62" fillId="0" borderId="0" xfId="0" applyFont="1" applyProtection="1"/>
    <xf numFmtId="166" fontId="61" fillId="2" borderId="2" xfId="0" applyNumberFormat="1" applyFont="1" applyFill="1" applyBorder="1" applyAlignment="1" applyProtection="1">
      <protection locked="0"/>
    </xf>
    <xf numFmtId="164" fontId="62" fillId="0" borderId="0" xfId="0" applyFont="1" applyBorder="1" applyProtection="1"/>
    <xf numFmtId="0" fontId="56" fillId="2" borderId="0" xfId="0" applyNumberFormat="1" applyFont="1" applyFill="1" applyBorder="1" applyAlignment="1" applyProtection="1">
      <alignment horizontal="center" vertical="center" wrapText="1"/>
    </xf>
    <xf numFmtId="0" fontId="56" fillId="0" borderId="0" xfId="0" applyNumberFormat="1" applyFont="1" applyBorder="1" applyAlignment="1" applyProtection="1">
      <alignment horizontal="right" vertical="center" wrapText="1"/>
    </xf>
    <xf numFmtId="164" fontId="65" fillId="2" borderId="0" xfId="0" applyNumberFormat="1" applyFont="1" applyFill="1" applyBorder="1" applyAlignment="1" applyProtection="1">
      <alignment horizontal="left" vertical="center" wrapText="1" indent="3"/>
    </xf>
    <xf numFmtId="164" fontId="60" fillId="2" borderId="0" xfId="0" applyNumberFormat="1" applyFont="1" applyFill="1" applyBorder="1" applyAlignment="1" applyProtection="1">
      <alignment horizontal="left" vertical="center" wrapText="1" indent="3"/>
    </xf>
    <xf numFmtId="164" fontId="60" fillId="2" borderId="0" xfId="0" applyNumberFormat="1" applyFont="1" applyFill="1" applyBorder="1" applyAlignment="1" applyProtection="1">
      <alignment horizontal="left" vertical="center" wrapText="1"/>
    </xf>
    <xf numFmtId="164" fontId="62" fillId="0" borderId="0" xfId="0" applyFont="1" applyAlignment="1"/>
    <xf numFmtId="166" fontId="56" fillId="2" borderId="0" xfId="0" applyNumberFormat="1" applyFont="1" applyFill="1" applyBorder="1" applyAlignment="1" applyProtection="1"/>
    <xf numFmtId="166" fontId="73" fillId="2" borderId="0" xfId="0" applyNumberFormat="1" applyFont="1" applyFill="1"/>
    <xf numFmtId="0" fontId="56" fillId="0" borderId="0" xfId="0" applyNumberFormat="1" applyFont="1" applyFill="1" applyBorder="1" applyAlignment="1" applyProtection="1">
      <alignment horizontal="left" wrapText="1" indent="1"/>
    </xf>
    <xf numFmtId="164" fontId="62" fillId="0" borderId="0" xfId="0" applyFont="1" applyFill="1" applyBorder="1"/>
    <xf numFmtId="164" fontId="62" fillId="2" borderId="0" xfId="0" applyFont="1" applyFill="1" applyBorder="1"/>
    <xf numFmtId="164" fontId="62" fillId="0" borderId="0" xfId="0" applyFont="1" applyFill="1" applyBorder="1" applyAlignment="1" applyProtection="1">
      <alignment horizontal="left" indent="1"/>
    </xf>
    <xf numFmtId="164" fontId="56" fillId="2" borderId="0" xfId="0" applyNumberFormat="1" applyFont="1" applyFill="1" applyBorder="1" applyAlignment="1" applyProtection="1">
      <alignment horizontal="left" vertical="center" wrapText="1" indent="5"/>
    </xf>
    <xf numFmtId="164" fontId="71" fillId="2" borderId="0" xfId="0" applyFont="1" applyFill="1" applyBorder="1" applyAlignment="1" applyProtection="1"/>
    <xf numFmtId="164" fontId="56" fillId="2" borderId="0" xfId="0" applyNumberFormat="1" applyFont="1" applyFill="1" applyBorder="1" applyAlignment="1" applyProtection="1">
      <alignment horizontal="left" vertical="center" wrapText="1" indent="3"/>
    </xf>
    <xf numFmtId="164" fontId="5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64" fontId="75" fillId="0" borderId="0" xfId="0" applyFont="1"/>
    <xf numFmtId="164" fontId="76" fillId="0" borderId="0" xfId="0" applyFont="1"/>
    <xf numFmtId="0" fontId="28" fillId="2" borderId="17" xfId="0" applyNumberFormat="1" applyFont="1" applyFill="1" applyBorder="1" applyAlignment="1" applyProtection="1">
      <alignment horizontal="center" vertical="center" wrapText="1"/>
      <protection locked="0"/>
    </xf>
    <xf numFmtId="0" fontId="56" fillId="2" borderId="12" xfId="0" applyNumberFormat="1" applyFont="1" applyFill="1" applyBorder="1" applyAlignment="1" applyProtection="1">
      <alignment horizontal="center" vertical="center" wrapText="1"/>
      <protection locked="0"/>
    </xf>
    <xf numFmtId="0" fontId="67" fillId="19" borderId="16" xfId="1" applyFont="1" applyFill="1" applyBorder="1" applyAlignment="1" applyProtection="1">
      <alignment horizontal="center" vertical="center"/>
    </xf>
    <xf numFmtId="164" fontId="56" fillId="2" borderId="0" xfId="0" applyNumberFormat="1" applyFont="1" applyFill="1" applyBorder="1" applyAlignment="1" applyProtection="1">
      <alignment horizontal="left" vertical="center" wrapText="1" indent="4"/>
    </xf>
    <xf numFmtId="164" fontId="72"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0" fontId="60" fillId="2" borderId="0" xfId="1" applyNumberFormat="1" applyFont="1" applyFill="1" applyBorder="1" applyAlignment="1" applyProtection="1">
      <alignment horizontal="right" vertical="center" wrapText="1" indent="2"/>
    </xf>
    <xf numFmtId="166" fontId="63" fillId="2" borderId="0" xfId="0" applyNumberFormat="1" applyFont="1" applyFill="1"/>
    <xf numFmtId="167" fontId="56" fillId="2" borderId="0" xfId="0" applyNumberFormat="1" applyFont="1" applyFill="1" applyBorder="1" applyAlignment="1" applyProtection="1">
      <alignment horizontal="left" wrapText="1" indent="4"/>
    </xf>
    <xf numFmtId="164" fontId="60" fillId="2" borderId="0" xfId="0" applyNumberFormat="1" applyFont="1" applyFill="1" applyBorder="1" applyAlignment="1" applyProtection="1">
      <alignment horizontal="left" wrapText="1"/>
    </xf>
    <xf numFmtId="167" fontId="5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26" fillId="16" borderId="0" xfId="0" applyNumberFormat="1" applyFont="1" applyFill="1" applyBorder="1" applyAlignment="1" applyProtection="1">
      <alignment horizontal="left" vertical="top" wrapText="1"/>
    </xf>
    <xf numFmtId="169" fontId="26" fillId="16"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2" fillId="12" borderId="0" xfId="1" applyFont="1" applyFill="1" applyBorder="1" applyAlignment="1" applyProtection="1">
      <alignment horizontal="left" vertical="top"/>
    </xf>
    <xf numFmtId="0" fontId="26" fillId="16" borderId="0" xfId="0" applyNumberFormat="1" applyFont="1" applyFill="1" applyBorder="1" applyAlignment="1" applyProtection="1">
      <alignment horizontal="center" vertical="top" wrapText="1"/>
    </xf>
    <xf numFmtId="0" fontId="77" fillId="16" borderId="0" xfId="0" applyNumberFormat="1" applyFont="1" applyFill="1" applyBorder="1" applyAlignment="1" applyProtection="1">
      <alignment horizontal="left" indent="2"/>
    </xf>
    <xf numFmtId="164" fontId="77" fillId="7" borderId="0" xfId="0" applyFont="1" applyFill="1" applyAlignment="1">
      <alignment horizontal="left" indent="2"/>
    </xf>
    <xf numFmtId="0" fontId="37" fillId="16" borderId="0" xfId="0" applyNumberFormat="1" applyFont="1" applyFill="1" applyBorder="1" applyAlignment="1" applyProtection="1">
      <alignment horizontal="center"/>
    </xf>
    <xf numFmtId="0" fontId="77" fillId="16"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5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67" fillId="19" borderId="11" xfId="1" applyFont="1" applyFill="1" applyBorder="1" applyAlignment="1" applyProtection="1">
      <alignment horizontal="center" vertical="center"/>
    </xf>
    <xf numFmtId="164" fontId="60" fillId="2" borderId="11" xfId="0" applyNumberFormat="1" applyFont="1" applyFill="1" applyBorder="1" applyAlignment="1" applyProtection="1">
      <alignment horizontal="center" vertical="center" wrapText="1"/>
    </xf>
    <xf numFmtId="0" fontId="56" fillId="2" borderId="0" xfId="1" applyNumberFormat="1" applyFont="1" applyFill="1" applyBorder="1" applyAlignment="1" applyProtection="1">
      <alignment horizontal="left" vertical="center" wrapText="1"/>
    </xf>
    <xf numFmtId="164" fontId="56" fillId="0" borderId="0" xfId="0" applyFont="1" applyBorder="1" applyAlignment="1" applyProtection="1">
      <alignment horizontal="left" wrapText="1"/>
    </xf>
    <xf numFmtId="0" fontId="56" fillId="2" borderId="0" xfId="1" applyNumberFormat="1" applyFont="1" applyFill="1" applyBorder="1" applyAlignment="1" applyProtection="1">
      <alignment horizontal="left" vertical="center" wrapText="1"/>
      <protection locked="0"/>
    </xf>
    <xf numFmtId="0" fontId="56" fillId="0" borderId="0" xfId="0" quotePrefix="1" applyNumberFormat="1" applyFont="1" applyBorder="1" applyAlignment="1" applyProtection="1">
      <alignment horizontal="left" vertical="center" wrapText="1" indent="2"/>
    </xf>
    <xf numFmtId="164" fontId="56" fillId="2" borderId="0" xfId="0" applyNumberFormat="1" applyFont="1" applyFill="1" applyBorder="1" applyAlignment="1" applyProtection="1">
      <alignment horizontal="left" wrapText="1" indent="1"/>
    </xf>
    <xf numFmtId="164" fontId="56" fillId="2" borderId="0" xfId="0" applyNumberFormat="1" applyFont="1" applyFill="1" applyBorder="1" applyAlignment="1" applyProtection="1">
      <alignment horizontal="left" vertical="top" wrapText="1" indent="1"/>
    </xf>
    <xf numFmtId="164" fontId="56" fillId="2" borderId="0" xfId="0" quotePrefix="1" applyNumberFormat="1" applyFont="1" applyFill="1" applyBorder="1" applyAlignment="1" applyProtection="1">
      <alignment horizontal="left" wrapText="1" indent="2"/>
    </xf>
    <xf numFmtId="164" fontId="56" fillId="2" borderId="0" xfId="0" quotePrefix="1" applyNumberFormat="1" applyFont="1" applyFill="1" applyBorder="1" applyAlignment="1" applyProtection="1">
      <alignment horizontal="left" vertical="center" wrapText="1" indent="2"/>
    </xf>
    <xf numFmtId="164" fontId="56" fillId="2" borderId="0" xfId="0" quotePrefix="1" applyNumberFormat="1" applyFont="1" applyFill="1" applyBorder="1" applyAlignment="1" applyProtection="1">
      <alignment horizontal="left" vertical="top" wrapText="1" indent="2"/>
    </xf>
    <xf numFmtId="167" fontId="56" fillId="0" borderId="0" xfId="0" applyNumberFormat="1" applyFont="1" applyFill="1" applyBorder="1" applyAlignment="1" applyProtection="1">
      <alignment horizontal="left" vertical="center" wrapText="1" indent="4"/>
    </xf>
    <xf numFmtId="164" fontId="56" fillId="2" borderId="0" xfId="1" applyNumberFormat="1" applyFont="1" applyFill="1" applyBorder="1" applyAlignment="1" applyProtection="1">
      <alignment horizontal="left" vertical="center" wrapText="1" indent="2"/>
    </xf>
    <xf numFmtId="167" fontId="56" fillId="5" borderId="0" xfId="4" quotePrefix="1" applyNumberFormat="1" applyFont="1" applyFill="1" applyBorder="1" applyAlignment="1" applyProtection="1">
      <alignment horizontal="left" vertical="center"/>
    </xf>
    <xf numFmtId="166" fontId="56" fillId="5" borderId="2" xfId="0" applyNumberFormat="1" applyFont="1" applyFill="1" applyBorder="1" applyAlignment="1" applyProtection="1">
      <alignment horizontal="center" vertical="center"/>
      <protection locked="0"/>
    </xf>
    <xf numFmtId="166" fontId="56" fillId="2" borderId="2" xfId="0" applyNumberFormat="1" applyFont="1" applyFill="1" applyBorder="1" applyAlignment="1" applyProtection="1">
      <alignment horizontal="right" vertical="center"/>
      <protection locked="0"/>
    </xf>
    <xf numFmtId="164" fontId="63" fillId="0" borderId="0" xfId="0" applyFont="1" applyBorder="1" applyAlignment="1">
      <alignment horizontal="right" vertical="center"/>
    </xf>
    <xf numFmtId="166" fontId="60" fillId="6" borderId="2" xfId="0" applyNumberFormat="1" applyFont="1" applyFill="1" applyBorder="1" applyAlignment="1" applyProtection="1">
      <alignment horizontal="right" vertical="center"/>
    </xf>
    <xf numFmtId="164" fontId="56" fillId="2" borderId="0" xfId="0" applyNumberFormat="1" applyFont="1" applyFill="1" applyBorder="1" applyAlignment="1" applyProtection="1">
      <alignment horizontal="left" vertical="center" wrapText="1" indent="7"/>
    </xf>
    <xf numFmtId="164" fontId="56" fillId="0" borderId="0" xfId="1" applyNumberFormat="1" applyFont="1" applyFill="1" applyBorder="1" applyAlignment="1" applyProtection="1">
      <alignment horizontal="left" vertical="center" wrapText="1" indent="2"/>
    </xf>
    <xf numFmtId="0" fontId="56" fillId="22" borderId="0" xfId="1" applyNumberFormat="1" applyFont="1" applyFill="1" applyBorder="1" applyAlignment="1" applyProtection="1">
      <alignment horizontal="left" vertical="center" wrapText="1" indent="3"/>
    </xf>
    <xf numFmtId="0" fontId="56" fillId="23" borderId="0" xfId="1" applyNumberFormat="1" applyFont="1" applyFill="1" applyBorder="1" applyAlignment="1" applyProtection="1">
      <alignment horizontal="left" vertical="center" wrapText="1" indent="4"/>
      <protection locked="0"/>
    </xf>
    <xf numFmtId="164" fontId="56" fillId="23" borderId="0" xfId="1" applyNumberFormat="1" applyFont="1" applyFill="1" applyBorder="1" applyAlignment="1" applyProtection="1">
      <alignment horizontal="left" vertical="center" wrapText="1" indent="5"/>
    </xf>
    <xf numFmtId="0" fontId="56" fillId="23" borderId="0" xfId="1" applyNumberFormat="1" applyFont="1" applyFill="1" applyBorder="1" applyAlignment="1" applyProtection="1">
      <alignment horizontal="left" vertical="center" wrapText="1" indent="5"/>
    </xf>
    <xf numFmtId="0" fontId="56" fillId="23" borderId="0" xfId="1" applyNumberFormat="1" applyFont="1" applyFill="1" applyBorder="1" applyAlignment="1" applyProtection="1">
      <alignment horizontal="left" vertical="center" wrapText="1" indent="4"/>
    </xf>
    <xf numFmtId="164" fontId="56" fillId="23" borderId="0" xfId="1" applyNumberFormat="1" applyFont="1" applyFill="1" applyBorder="1" applyAlignment="1" applyProtection="1">
      <alignment horizontal="left" vertical="center" wrapText="1" indent="4"/>
    </xf>
    <xf numFmtId="164" fontId="20" fillId="2" borderId="0" xfId="0" applyFont="1" applyFill="1"/>
    <xf numFmtId="167" fontId="20" fillId="2" borderId="0" xfId="0" applyNumberFormat="1" applyFont="1" applyFill="1"/>
    <xf numFmtId="164" fontId="79" fillId="2" borderId="21" xfId="0" applyFont="1" applyFill="1" applyBorder="1" applyAlignment="1">
      <alignment horizontal="center"/>
    </xf>
    <xf numFmtId="164" fontId="20" fillId="2" borderId="0" xfId="0" applyFont="1" applyFill="1" applyAlignment="1">
      <alignment horizontal="left" vertical="center" wrapText="1"/>
    </xf>
    <xf numFmtId="0" fontId="77" fillId="16" borderId="0" xfId="0" applyNumberFormat="1" applyFont="1" applyFill="1" applyBorder="1" applyAlignment="1" applyProtection="1">
      <alignment horizontal="left" vertical="top"/>
    </xf>
    <xf numFmtId="0" fontId="56"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5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4" fontId="0" fillId="12" borderId="0" xfId="0" applyFill="1" applyBorder="1" applyAlignment="1">
      <alignment horizontal="left" vertical="center" indent="1"/>
    </xf>
    <xf numFmtId="164" fontId="0" fillId="0" borderId="10" xfId="0" applyBorder="1"/>
    <xf numFmtId="0" fontId="56" fillId="2" borderId="0" xfId="0" applyNumberFormat="1" applyFont="1" applyFill="1" applyBorder="1" applyAlignment="1" applyProtection="1">
      <alignment horizontal="left" vertical="center" wrapText="1"/>
      <protection locked="0"/>
    </xf>
    <xf numFmtId="164" fontId="56" fillId="0" borderId="0" xfId="0" applyFont="1" applyAlignment="1" applyProtection="1">
      <alignment horizontal="left" vertical="center" indent="1"/>
      <protection locked="0"/>
    </xf>
    <xf numFmtId="0" fontId="56" fillId="2" borderId="0" xfId="0" applyNumberFormat="1" applyFont="1" applyFill="1" applyBorder="1" applyAlignment="1" applyProtection="1">
      <alignment horizontal="left" vertical="center" wrapText="1" indent="3"/>
      <protection locked="0"/>
    </xf>
    <xf numFmtId="164" fontId="56" fillId="0" borderId="0" xfId="0" applyFont="1" applyAlignment="1" applyProtection="1">
      <alignment horizontal="left" vertical="center" indent="4"/>
      <protection locked="0"/>
    </xf>
    <xf numFmtId="0" fontId="56" fillId="2" borderId="0" xfId="0" applyNumberFormat="1" applyFont="1" applyFill="1" applyBorder="1" applyAlignment="1" applyProtection="1">
      <alignment horizontal="left" vertical="center" wrapText="1" indent="6"/>
      <protection locked="0"/>
    </xf>
    <xf numFmtId="164" fontId="56" fillId="0" borderId="0" xfId="0" applyFont="1" applyAlignment="1" applyProtection="1">
      <alignment horizontal="left" vertical="center" indent="7"/>
      <protection locked="0"/>
    </xf>
    <xf numFmtId="0" fontId="56" fillId="2" borderId="0" xfId="0" quotePrefix="1" applyNumberFormat="1" applyFont="1" applyFill="1" applyBorder="1" applyAlignment="1" applyProtection="1">
      <alignment horizontal="left" wrapText="1" indent="3"/>
    </xf>
    <xf numFmtId="164" fontId="62" fillId="0" borderId="20" xfId="0" applyFont="1" applyFill="1" applyBorder="1" applyAlignment="1" applyProtection="1"/>
    <xf numFmtId="164" fontId="56" fillId="2" borderId="0" xfId="0" quotePrefix="1" applyNumberFormat="1" applyFont="1" applyFill="1" applyBorder="1" applyAlignment="1" applyProtection="1">
      <alignment horizontal="left" vertical="center" wrapText="1" indent="4"/>
    </xf>
    <xf numFmtId="167" fontId="78" fillId="0" borderId="0" xfId="0" applyNumberFormat="1" applyFont="1" applyBorder="1" applyAlignment="1" applyProtection="1">
      <alignment vertical="center" wrapText="1"/>
    </xf>
    <xf numFmtId="1" fontId="0" fillId="12" borderId="0" xfId="0" applyNumberFormat="1" applyFill="1" applyBorder="1"/>
    <xf numFmtId="1" fontId="60" fillId="2" borderId="11" xfId="0" applyNumberFormat="1" applyFont="1" applyFill="1" applyBorder="1" applyAlignment="1" applyProtection="1">
      <alignment horizontal="center" vertical="center" wrapText="1"/>
      <protection locked="0"/>
    </xf>
    <xf numFmtId="164" fontId="60" fillId="2" borderId="11" xfId="0" applyNumberFormat="1" applyFont="1" applyFill="1" applyBorder="1" applyAlignment="1" applyProtection="1">
      <alignment horizontal="center" vertical="center" wrapText="1"/>
      <protection locked="0"/>
    </xf>
    <xf numFmtId="164" fontId="60" fillId="2" borderId="18" xfId="0" applyNumberFormat="1" applyFont="1" applyFill="1" applyBorder="1" applyAlignment="1" applyProtection="1">
      <alignment horizontal="center" vertical="center" wrapText="1"/>
      <protection locked="0"/>
    </xf>
    <xf numFmtId="164" fontId="60" fillId="2" borderId="19" xfId="0" applyNumberFormat="1" applyFont="1" applyFill="1" applyBorder="1" applyAlignment="1" applyProtection="1">
      <alignment horizontal="center" vertical="center" wrapText="1"/>
      <protection locked="0"/>
    </xf>
    <xf numFmtId="164" fontId="56" fillId="0" borderId="0" xfId="1" applyNumberFormat="1" applyFont="1" applyFill="1" applyBorder="1" applyAlignment="1" applyProtection="1">
      <alignment horizontal="left" vertical="center" wrapText="1" indent="5"/>
    </xf>
    <xf numFmtId="164" fontId="56" fillId="2" borderId="0" xfId="1" applyNumberFormat="1" applyFont="1" applyFill="1" applyBorder="1" applyAlignment="1" applyProtection="1">
      <alignment horizontal="left" vertical="center" wrapText="1" indent="5"/>
    </xf>
    <xf numFmtId="164" fontId="56" fillId="2" borderId="0" xfId="1" applyNumberFormat="1" applyFont="1" applyFill="1" applyBorder="1" applyAlignment="1" applyProtection="1">
      <alignment horizontal="left" vertical="center" wrapText="1" indent="6"/>
    </xf>
    <xf numFmtId="164" fontId="56" fillId="2" borderId="0" xfId="1" applyNumberFormat="1" applyFont="1" applyFill="1" applyBorder="1" applyAlignment="1" applyProtection="1">
      <alignment horizontal="left" vertical="center" wrapText="1" indent="7"/>
    </xf>
    <xf numFmtId="164" fontId="56" fillId="2" borderId="0" xfId="1" applyNumberFormat="1" applyFont="1" applyFill="1" applyBorder="1" applyAlignment="1" applyProtection="1">
      <alignment horizontal="left" vertical="center" wrapText="1" indent="4"/>
    </xf>
    <xf numFmtId="166" fontId="56" fillId="0" borderId="2" xfId="0" applyNumberFormat="1" applyFont="1" applyBorder="1" applyAlignment="1" applyProtection="1">
      <alignment vertical="center"/>
      <protection locked="0"/>
    </xf>
    <xf numFmtId="0" fontId="60" fillId="2" borderId="0" xfId="0" applyNumberFormat="1" applyFont="1" applyFill="1" applyBorder="1" applyAlignment="1" applyProtection="1">
      <alignment horizontal="center" wrapText="1"/>
    </xf>
    <xf numFmtId="164" fontId="56" fillId="2" borderId="0" xfId="0" applyFont="1" applyFill="1" applyBorder="1" applyAlignment="1" applyProtection="1">
      <alignment horizontal="right"/>
    </xf>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64" fontId="37" fillId="2" borderId="0" xfId="0" applyFont="1" applyFill="1" applyAlignment="1">
      <alignment horizontal="left" vertical="center"/>
    </xf>
    <xf numFmtId="164" fontId="20" fillId="2" borderId="0" xfId="0" applyFont="1" applyFill="1" applyAlignment="1" applyProtection="1">
      <alignment horizontal="left" vertical="center" wrapText="1"/>
      <protection locked="0"/>
    </xf>
    <xf numFmtId="0" fontId="83" fillId="19" borderId="16" xfId="1" applyFill="1" applyBorder="1" applyAlignment="1" applyProtection="1">
      <alignment horizontal="center" vertical="center"/>
    </xf>
    <xf numFmtId="164" fontId="0" fillId="0" borderId="0" xfId="0" applyAlignment="1">
      <alignment horizontal="right" vertical="center"/>
    </xf>
    <xf numFmtId="164" fontId="56" fillId="0" borderId="0" xfId="0" applyNumberFormat="1" applyFont="1" applyFill="1" applyBorder="1" applyAlignment="1" applyProtection="1">
      <alignment horizontal="left" vertical="center" wrapText="1" indent="3"/>
    </xf>
    <xf numFmtId="0" fontId="84" fillId="24" borderId="24" xfId="1" applyFont="1" applyAlignment="1" applyProtection="1">
      <alignment horizontal="center"/>
    </xf>
    <xf numFmtId="164" fontId="84" fillId="25" borderId="24" xfId="1" applyNumberFormat="1" applyFont="1" applyFill="1" applyAlignment="1" applyProtection="1">
      <alignment horizontal="center" vertical="center"/>
    </xf>
    <xf numFmtId="0" fontId="84" fillId="25" borderId="24" xfId="1" applyFont="1" applyFill="1" applyAlignment="1" applyProtection="1">
      <alignment horizontal="center" vertical="center"/>
    </xf>
    <xf numFmtId="164" fontId="84" fillId="25" borderId="24" xfId="1" applyNumberFormat="1" applyFont="1" applyFill="1" applyAlignment="1" applyProtection="1">
      <alignment horizontal="center"/>
    </xf>
    <xf numFmtId="0" fontId="84" fillId="25" borderId="24" xfId="1" applyNumberFormat="1" applyFont="1" applyFill="1" applyAlignment="1" applyProtection="1">
      <alignment horizontal="center" vertical="center" wrapText="1"/>
    </xf>
    <xf numFmtId="0" fontId="80" fillId="19" borderId="14" xfId="1" applyFont="1" applyFill="1" applyBorder="1" applyAlignment="1" applyProtection="1">
      <alignment horizontal="center" vertical="center"/>
    </xf>
    <xf numFmtId="0" fontId="27" fillId="7" borderId="0" xfId="0" applyNumberFormat="1" applyFont="1" applyFill="1" applyBorder="1" applyAlignment="1" applyProtection="1">
      <alignment horizontal="left"/>
    </xf>
    <xf numFmtId="0" fontId="60" fillId="22" borderId="0" xfId="1" applyNumberFormat="1" applyFont="1" applyFill="1" applyBorder="1" applyAlignment="1" applyProtection="1">
      <alignment horizontal="left" vertical="center" wrapText="1" indent="3"/>
    </xf>
    <xf numFmtId="164" fontId="60" fillId="2" borderId="0" xfId="0" applyNumberFormat="1" applyFont="1" applyFill="1" applyBorder="1" applyAlignment="1" applyProtection="1">
      <alignment horizontal="center" wrapText="1"/>
    </xf>
    <xf numFmtId="164" fontId="84" fillId="26" borderId="24" xfId="1" applyNumberFormat="1" applyFont="1" applyFill="1" applyAlignment="1" applyProtection="1">
      <alignment horizontal="center" vertical="center"/>
    </xf>
    <xf numFmtId="0" fontId="24" fillId="0" borderId="0" xfId="0" applyNumberFormat="1" applyFont="1" applyBorder="1" applyAlignment="1" applyProtection="1">
      <alignment horizontal="right" vertical="center" wrapText="1" indent="3"/>
    </xf>
    <xf numFmtId="166" fontId="56" fillId="5" borderId="2" xfId="0" applyNumberFormat="1" applyFont="1" applyFill="1" applyBorder="1" applyAlignment="1" applyProtection="1">
      <alignment horizontal="right" vertical="center"/>
      <protection locked="0"/>
    </xf>
    <xf numFmtId="164" fontId="20" fillId="2" borderId="0" xfId="0" applyFont="1" applyFill="1" applyAlignment="1">
      <alignment horizontal="left" vertical="top"/>
    </xf>
    <xf numFmtId="0" fontId="89" fillId="2" borderId="0" xfId="0" applyNumberFormat="1" applyFont="1" applyFill="1" applyBorder="1" applyAlignment="1" applyProtection="1">
      <alignment horizontal="left" wrapText="1"/>
    </xf>
    <xf numFmtId="0" fontId="88" fillId="2" borderId="3" xfId="0" applyNumberFormat="1" applyFont="1" applyFill="1" applyBorder="1" applyAlignment="1" applyProtection="1">
      <alignment horizontal="center" vertical="center" wrapText="1"/>
      <protection locked="0"/>
    </xf>
    <xf numFmtId="167" fontId="56" fillId="2" borderId="0" xfId="0" applyNumberFormat="1" applyFont="1" applyFill="1" applyBorder="1" applyAlignment="1" applyProtection="1">
      <alignment horizontal="left" vertical="center" wrapText="1"/>
    </xf>
    <xf numFmtId="167" fontId="56" fillId="2" borderId="0" xfId="0" applyNumberFormat="1" applyFont="1" applyFill="1" applyBorder="1" applyAlignment="1" applyProtection="1">
      <alignment horizontal="left" vertical="center" wrapText="1" indent="3"/>
    </xf>
    <xf numFmtId="167" fontId="56" fillId="2" borderId="0" xfId="0" quotePrefix="1" applyNumberFormat="1" applyFont="1" applyFill="1" applyBorder="1" applyAlignment="1" applyProtection="1">
      <alignment horizontal="left" vertical="center" wrapText="1" indent="1"/>
    </xf>
    <xf numFmtId="0" fontId="27" fillId="7" borderId="0" xfId="0" applyNumberFormat="1" applyFont="1" applyFill="1" applyBorder="1" applyAlignment="1" applyProtection="1">
      <alignment horizontal="left"/>
    </xf>
    <xf numFmtId="167" fontId="56" fillId="2" borderId="0" xfId="0" applyNumberFormat="1" applyFont="1" applyFill="1" applyBorder="1" applyAlignment="1" applyProtection="1">
      <alignment horizontal="left" vertical="center" wrapText="1" indent="2"/>
    </xf>
    <xf numFmtId="164" fontId="20" fillId="0" borderId="0" xfId="0" applyFont="1" applyFill="1"/>
    <xf numFmtId="166" fontId="50" fillId="0" borderId="2" xfId="0" applyNumberFormat="1" applyFont="1" applyFill="1" applyBorder="1" applyAlignment="1" applyProtection="1">
      <alignment horizontal="right"/>
      <protection locked="0"/>
    </xf>
    <xf numFmtId="0" fontId="90" fillId="0" borderId="0" xfId="0" applyNumberFormat="1" applyFont="1" applyFill="1" applyBorder="1" applyAlignment="1" applyProtection="1">
      <alignment horizontal="left" wrapText="1"/>
    </xf>
    <xf numFmtId="0" fontId="81" fillId="0" borderId="0" xfId="0" applyNumberFormat="1" applyFont="1" applyBorder="1" applyAlignment="1" applyProtection="1">
      <alignment vertical="center" wrapText="1"/>
    </xf>
    <xf numFmtId="0" fontId="60" fillId="0" borderId="11"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protection locked="0"/>
    </xf>
    <xf numFmtId="164" fontId="56" fillId="2" borderId="0" xfId="0" applyFont="1" applyFill="1" applyBorder="1" applyAlignment="1" applyProtection="1">
      <alignment wrapText="1"/>
    </xf>
    <xf numFmtId="164" fontId="0" fillId="0" borderId="0" xfId="0" applyProtection="1"/>
    <xf numFmtId="0" fontId="87" fillId="2" borderId="0" xfId="0" quotePrefix="1" applyNumberFormat="1" applyFont="1" applyFill="1" applyBorder="1" applyAlignment="1" applyProtection="1">
      <alignment horizontal="left" wrapText="1"/>
    </xf>
    <xf numFmtId="0" fontId="56" fillId="0" borderId="0" xfId="0" quotePrefix="1" applyNumberFormat="1" applyFont="1" applyFill="1" applyBorder="1" applyAlignment="1" applyProtection="1">
      <alignment horizontal="left" wrapText="1"/>
    </xf>
    <xf numFmtId="0" fontId="56" fillId="0" borderId="0" xfId="0" applyNumberFormat="1" applyFont="1" applyBorder="1" applyAlignment="1" applyProtection="1">
      <alignment horizontal="left" wrapText="1"/>
    </xf>
    <xf numFmtId="0" fontId="56" fillId="2" borderId="0" xfId="0" applyNumberFormat="1" applyFont="1" applyFill="1" applyBorder="1" applyAlignment="1" applyProtection="1">
      <alignment wrapText="1"/>
    </xf>
    <xf numFmtId="164" fontId="56" fillId="2" borderId="0" xfId="0" applyFont="1" applyFill="1" applyBorder="1" applyAlignment="1" applyProtection="1">
      <alignment horizontal="left" wrapText="1"/>
    </xf>
    <xf numFmtId="164" fontId="0" fillId="0" borderId="0" xfId="0" applyAlignment="1" applyProtection="1"/>
    <xf numFmtId="164" fontId="65" fillId="0" borderId="0" xfId="0" applyFont="1" applyBorder="1" applyAlignment="1" applyProtection="1">
      <alignment vertical="center"/>
    </xf>
    <xf numFmtId="0" fontId="56" fillId="0" borderId="10" xfId="0" applyNumberFormat="1" applyFont="1" applyBorder="1" applyAlignment="1" applyProtection="1">
      <alignment horizontal="left" wrapText="1"/>
    </xf>
    <xf numFmtId="0" fontId="70" fillId="2" borderId="2" xfId="1" applyNumberFormat="1" applyFont="1" applyFill="1" applyBorder="1" applyAlignment="1" applyProtection="1">
      <alignment horizontal="center" vertical="center" wrapText="1"/>
      <protection locked="0"/>
    </xf>
    <xf numFmtId="0" fontId="56" fillId="0" borderId="2" xfId="0" applyNumberFormat="1" applyFont="1" applyBorder="1" applyAlignment="1" applyProtection="1">
      <alignment horizontal="left" vertical="center" wrapText="1"/>
      <protection locked="0"/>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63" fillId="5" borderId="25" xfId="0" applyNumberFormat="1" applyFont="1" applyFill="1" applyBorder="1" applyAlignment="1" applyProtection="1">
      <alignment horizontal="right"/>
    </xf>
    <xf numFmtId="0" fontId="56" fillId="23" borderId="0" xfId="1" applyNumberFormat="1" applyFont="1" applyFill="1" applyBorder="1" applyAlignment="1" applyProtection="1">
      <alignment horizontal="left" vertical="center" wrapText="1" indent="6"/>
    </xf>
    <xf numFmtId="0" fontId="56" fillId="23" borderId="0" xfId="1" applyNumberFormat="1" applyFont="1" applyFill="1" applyBorder="1" applyAlignment="1" applyProtection="1">
      <alignment horizontal="left" vertical="center" wrapText="1" indent="7"/>
    </xf>
    <xf numFmtId="0" fontId="56" fillId="23" borderId="0" xfId="1" applyNumberFormat="1" applyFont="1" applyFill="1" applyBorder="1" applyAlignment="1" applyProtection="1">
      <alignment horizontal="left" vertical="center" wrapText="1" indent="8"/>
    </xf>
    <xf numFmtId="0" fontId="56" fillId="23" borderId="0" xfId="1" applyNumberFormat="1" applyFont="1" applyFill="1" applyBorder="1" applyAlignment="1" applyProtection="1">
      <alignment horizontal="left" vertical="center" wrapText="1" indent="9"/>
    </xf>
    <xf numFmtId="0" fontId="51" fillId="2" borderId="0" xfId="0" applyNumberFormat="1" applyFont="1" applyFill="1" applyBorder="1" applyAlignment="1" applyProtection="1">
      <alignment horizontal="left" wrapText="1"/>
    </xf>
    <xf numFmtId="166" fontId="6" fillId="11" borderId="0" xfId="4" applyNumberFormat="1" applyFont="1" applyFill="1" applyBorder="1" applyAlignment="1" applyProtection="1">
      <alignment vertical="center"/>
    </xf>
    <xf numFmtId="164" fontId="58" fillId="10" borderId="14" xfId="0" applyFont="1" applyFill="1" applyBorder="1" applyProtection="1">
      <protection locked="0"/>
    </xf>
    <xf numFmtId="0" fontId="54" fillId="0" borderId="3" xfId="0" applyNumberFormat="1" applyFont="1" applyFill="1" applyBorder="1" applyAlignment="1" applyProtection="1">
      <alignment horizontal="center" vertical="center" wrapText="1"/>
      <protection locked="0"/>
    </xf>
    <xf numFmtId="166" fontId="56" fillId="5" borderId="2" xfId="0" applyNumberFormat="1" applyFont="1" applyFill="1" applyBorder="1" applyAlignment="1" applyProtection="1">
      <alignment vertical="center"/>
      <protection locked="0"/>
    </xf>
    <xf numFmtId="167" fontId="56" fillId="0" borderId="0" xfId="0" applyNumberFormat="1" applyFont="1" applyFill="1" applyBorder="1" applyAlignment="1" applyProtection="1">
      <alignment horizontal="left" vertical="center" wrapText="1" indent="3"/>
    </xf>
    <xf numFmtId="164" fontId="0" fillId="0" borderId="0" xfId="0" applyBorder="1" applyAlignment="1">
      <alignment horizontal="right" vertical="center"/>
    </xf>
    <xf numFmtId="164" fontId="0" fillId="0" borderId="4" xfId="0" applyBorder="1" applyAlignment="1">
      <alignment horizontal="right" vertical="center"/>
    </xf>
    <xf numFmtId="167" fontId="92" fillId="0" borderId="0" xfId="0" applyNumberFormat="1" applyFont="1" applyAlignment="1">
      <alignment horizontal="center" vertical="center"/>
    </xf>
    <xf numFmtId="164" fontId="0" fillId="10" borderId="0" xfId="0" applyFill="1"/>
    <xf numFmtId="167" fontId="94" fillId="10" borderId="0" xfId="0" applyNumberFormat="1" applyFont="1" applyFill="1" applyAlignment="1">
      <alignment horizontal="center" vertical="center"/>
    </xf>
    <xf numFmtId="164" fontId="1" fillId="10" borderId="0" xfId="0" applyFont="1" applyFill="1"/>
    <xf numFmtId="167" fontId="93"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0" fontId="96" fillId="0" borderId="29" xfId="0" applyNumberFormat="1" applyFont="1" applyBorder="1" applyAlignment="1">
      <alignment horizontal="center" vertical="center"/>
    </xf>
    <xf numFmtId="170" fontId="96" fillId="10" borderId="29" xfId="0" applyNumberFormat="1" applyFont="1" applyFill="1" applyBorder="1" applyAlignment="1">
      <alignment horizontal="center" vertical="center"/>
    </xf>
    <xf numFmtId="170" fontId="96" fillId="0" borderId="29" xfId="0" applyNumberFormat="1" applyFont="1" applyBorder="1"/>
    <xf numFmtId="170" fontId="96" fillId="10" borderId="29" xfId="0" applyNumberFormat="1" applyFont="1" applyFill="1" applyBorder="1"/>
    <xf numFmtId="164" fontId="98" fillId="0" borderId="0" xfId="0" applyFont="1"/>
    <xf numFmtId="164" fontId="0" fillId="0" borderId="30" xfId="0" applyBorder="1"/>
    <xf numFmtId="164" fontId="1" fillId="2" borderId="0" xfId="0" applyFont="1" applyFill="1"/>
    <xf numFmtId="164" fontId="95" fillId="2" borderId="0" xfId="0" applyFont="1" applyFill="1"/>
    <xf numFmtId="164" fontId="1" fillId="10" borderId="0" xfId="0" applyFont="1" applyFill="1" applyBorder="1"/>
    <xf numFmtId="164" fontId="95" fillId="10" borderId="0" xfId="0" applyFont="1" applyFill="1" applyBorder="1"/>
    <xf numFmtId="164" fontId="0" fillId="0" borderId="0" xfId="0" applyFill="1" applyBorder="1"/>
    <xf numFmtId="1" fontId="19" fillId="2" borderId="0" xfId="0" applyNumberFormat="1" applyFont="1" applyFill="1"/>
    <xf numFmtId="164" fontId="98" fillId="2" borderId="0" xfId="0" applyFont="1" applyFill="1"/>
    <xf numFmtId="164" fontId="100" fillId="0" borderId="0" xfId="0" applyFont="1"/>
    <xf numFmtId="164" fontId="101" fillId="0" borderId="0" xfId="0" applyFont="1" applyFill="1" applyAlignment="1">
      <alignment horizontal="right"/>
    </xf>
    <xf numFmtId="164" fontId="101" fillId="0" borderId="0" xfId="0" applyFont="1" applyAlignment="1">
      <alignment horizontal="left"/>
    </xf>
    <xf numFmtId="166" fontId="100" fillId="0" borderId="0" xfId="0" applyNumberFormat="1" applyFont="1" applyFill="1" applyAlignment="1">
      <alignment horizontal="right"/>
    </xf>
    <xf numFmtId="166" fontId="100" fillId="0" borderId="0" xfId="0" applyNumberFormat="1" applyFont="1" applyFill="1"/>
    <xf numFmtId="1" fontId="101" fillId="0" borderId="0" xfId="0" applyNumberFormat="1" applyFont="1" applyAlignment="1">
      <alignment horizontal="left"/>
    </xf>
    <xf numFmtId="164" fontId="102" fillId="2" borderId="0" xfId="0" applyFont="1" applyFill="1" applyAlignment="1">
      <alignment wrapText="1"/>
    </xf>
    <xf numFmtId="164" fontId="106" fillId="2" borderId="0" xfId="0" applyFont="1" applyFill="1" applyAlignment="1"/>
    <xf numFmtId="164" fontId="103" fillId="2" borderId="0" xfId="0" applyFont="1" applyFill="1" applyAlignment="1"/>
    <xf numFmtId="164" fontId="107"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1" fillId="2" borderId="0" xfId="0" applyFont="1" applyFill="1"/>
    <xf numFmtId="164" fontId="104" fillId="2" borderId="0" xfId="0" applyFont="1" applyFill="1" applyAlignment="1"/>
    <xf numFmtId="164" fontId="0" fillId="2" borderId="0" xfId="0" applyFont="1" applyFill="1" applyAlignment="1">
      <alignment horizontal="left" indent="3"/>
    </xf>
    <xf numFmtId="164" fontId="108" fillId="21" borderId="6" xfId="0" applyFont="1" applyFill="1" applyBorder="1" applyAlignment="1">
      <alignment horizontal="center" vertical="center"/>
    </xf>
    <xf numFmtId="164" fontId="108" fillId="21" borderId="6" xfId="0" applyFont="1" applyFill="1" applyBorder="1" applyAlignment="1">
      <alignment horizontal="center" vertical="center" wrapText="1"/>
    </xf>
    <xf numFmtId="164" fontId="109" fillId="2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04" fillId="0" borderId="0" xfId="0" applyFont="1"/>
    <xf numFmtId="164" fontId="106" fillId="0" borderId="0" xfId="0" applyFont="1"/>
    <xf numFmtId="164" fontId="32" fillId="0" borderId="0" xfId="0" applyFont="1"/>
    <xf numFmtId="164" fontId="0" fillId="0" borderId="0" xfId="0" applyFill="1"/>
    <xf numFmtId="164" fontId="110" fillId="0" borderId="0" xfId="0" applyFont="1" applyFill="1"/>
    <xf numFmtId="164" fontId="31" fillId="0" borderId="0" xfId="0" applyFont="1" applyFill="1"/>
    <xf numFmtId="164" fontId="111" fillId="0" borderId="0" xfId="0" applyFont="1" applyFill="1"/>
    <xf numFmtId="164" fontId="91" fillId="2" borderId="28" xfId="0" applyFont="1" applyFill="1" applyBorder="1" applyAlignment="1">
      <alignment horizontal="right"/>
    </xf>
    <xf numFmtId="164" fontId="79" fillId="2" borderId="0" xfId="0" applyFont="1" applyFill="1" applyBorder="1" applyAlignment="1">
      <alignment horizontal="center"/>
    </xf>
    <xf numFmtId="164" fontId="99" fillId="2" borderId="0" xfId="0" applyFont="1" applyFill="1" applyBorder="1" applyAlignment="1">
      <alignment horizontal="center" vertical="center"/>
    </xf>
    <xf numFmtId="167" fontId="79" fillId="2" borderId="0" xfId="0" applyNumberFormat="1" applyFont="1" applyFill="1" applyBorder="1" applyAlignment="1">
      <alignment horizontal="center" vertical="top"/>
    </xf>
    <xf numFmtId="164" fontId="0" fillId="2" borderId="0" xfId="0" applyFill="1" applyAlignment="1">
      <alignment vertical="top" wrapText="1"/>
    </xf>
    <xf numFmtId="164" fontId="102"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04" fillId="2" borderId="0" xfId="0" applyFont="1" applyFill="1" applyAlignment="1">
      <alignment horizontal="left"/>
    </xf>
    <xf numFmtId="164" fontId="113" fillId="0" borderId="0" xfId="0" applyFont="1"/>
    <xf numFmtId="1" fontId="100" fillId="0" borderId="0" xfId="0" applyNumberFormat="1" applyFont="1" applyAlignment="1">
      <alignment horizontal="left" indent="1"/>
    </xf>
    <xf numFmtId="1" fontId="100" fillId="0" borderId="0" xfId="0" applyNumberFormat="1" applyFont="1" applyAlignment="1">
      <alignment horizontal="left" indent="2"/>
    </xf>
    <xf numFmtId="164" fontId="100" fillId="0" borderId="0" xfId="0" applyFont="1" applyAlignment="1">
      <alignment horizontal="left" indent="1"/>
    </xf>
    <xf numFmtId="1" fontId="100" fillId="0" borderId="0" xfId="0" applyNumberFormat="1" applyFont="1" applyFill="1"/>
    <xf numFmtId="164" fontId="56" fillId="2" borderId="0" xfId="0" quotePrefix="1" applyNumberFormat="1" applyFont="1" applyFill="1" applyBorder="1" applyAlignment="1" applyProtection="1">
      <alignment horizontal="left" vertical="center" wrapText="1" indent="3"/>
    </xf>
    <xf numFmtId="164" fontId="107"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08" fillId="21" borderId="6" xfId="0" applyFont="1" applyFill="1" applyBorder="1" applyAlignment="1">
      <alignment horizontal="center"/>
    </xf>
    <xf numFmtId="164" fontId="108" fillId="21" borderId="6" xfId="0" applyFont="1" applyFill="1" applyBorder="1" applyAlignment="1">
      <alignment horizontal="center" wrapText="1"/>
    </xf>
    <xf numFmtId="164" fontId="0" fillId="2" borderId="0" xfId="0" applyFill="1" applyAlignment="1"/>
    <xf numFmtId="164" fontId="37"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07" fillId="2" borderId="0" xfId="0" applyFont="1" applyFill="1" applyAlignment="1">
      <alignment horizontal="left" vertical="center"/>
    </xf>
    <xf numFmtId="164" fontId="0" fillId="2" borderId="0" xfId="0" applyFill="1" applyAlignment="1">
      <alignment horizontal="left" vertical="center"/>
    </xf>
    <xf numFmtId="164" fontId="104"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112" fillId="0" borderId="0" xfId="0" applyFont="1" applyAlignment="1">
      <alignment vertical="top"/>
    </xf>
    <xf numFmtId="164" fontId="0" fillId="2" borderId="0" xfId="0" applyFill="1" applyAlignment="1">
      <alignment vertical="top"/>
    </xf>
    <xf numFmtId="164" fontId="31"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27" fillId="7" borderId="0" xfId="0" applyNumberFormat="1" applyFont="1" applyFill="1" applyBorder="1" applyAlignment="1" applyProtection="1">
      <alignment horizontal="left"/>
    </xf>
    <xf numFmtId="0" fontId="45" fillId="7" borderId="0" xfId="0" applyNumberFormat="1" applyFont="1" applyFill="1" applyBorder="1" applyAlignment="1" applyProtection="1">
      <alignment horizontal="right" vertical="center" wrapText="1"/>
    </xf>
    <xf numFmtId="0" fontId="31" fillId="9" borderId="0" xfId="0" applyNumberFormat="1" applyFont="1" applyFill="1" applyBorder="1" applyAlignment="1" applyProtection="1">
      <alignment horizontal="center" vertical="center"/>
    </xf>
    <xf numFmtId="0" fontId="31" fillId="2" borderId="0" xfId="0" applyNumberFormat="1" applyFont="1" applyFill="1" applyBorder="1" applyAlignment="1" applyProtection="1">
      <alignment horizontal="center" vertical="center"/>
    </xf>
    <xf numFmtId="0" fontId="85" fillId="0" borderId="0" xfId="0" applyNumberFormat="1" applyFont="1" applyBorder="1" applyAlignment="1" applyProtection="1">
      <alignment horizontal="right" vertical="center" wrapText="1" indent="3"/>
    </xf>
    <xf numFmtId="0" fontId="84" fillId="25" borderId="24" xfId="1" applyNumberFormat="1" applyFont="1" applyFill="1" applyAlignment="1" applyProtection="1">
      <alignment horizontal="center" vertical="center"/>
    </xf>
    <xf numFmtId="0" fontId="24" fillId="2" borderId="0" xfId="0" applyNumberFormat="1" applyFont="1" applyFill="1" applyBorder="1" applyAlignment="1" applyProtection="1">
      <alignment horizontal="right" vertical="center" wrapText="1" indent="5"/>
    </xf>
    <xf numFmtId="0" fontId="24" fillId="2" borderId="0" xfId="0" applyNumberFormat="1" applyFont="1" applyFill="1" applyBorder="1" applyAlignment="1" applyProtection="1">
      <alignment horizontal="right" vertical="center" wrapText="1" indent="7"/>
    </xf>
    <xf numFmtId="0" fontId="18" fillId="0" borderId="0" xfId="0" applyNumberFormat="1" applyFont="1" applyFill="1" applyBorder="1" applyAlignment="1" applyProtection="1">
      <alignment horizontal="left" vertical="center"/>
    </xf>
    <xf numFmtId="0" fontId="62" fillId="0" borderId="0"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wrapText="1" indent="5"/>
    </xf>
    <xf numFmtId="0" fontId="72" fillId="0" borderId="0" xfId="0" applyNumberFormat="1" applyFont="1" applyBorder="1" applyAlignment="1"/>
    <xf numFmtId="0" fontId="0" fillId="0" borderId="0" xfId="0" applyNumberFormat="1" applyBorder="1"/>
    <xf numFmtId="0" fontId="56" fillId="2" borderId="0" xfId="0" applyNumberFormat="1" applyFont="1" applyFill="1" applyBorder="1" applyAlignment="1" applyProtection="1">
      <alignment horizontal="left" vertical="center" wrapText="1" indent="5"/>
    </xf>
    <xf numFmtId="0" fontId="56" fillId="2" borderId="0" xfId="0" applyNumberFormat="1" applyFont="1" applyFill="1" applyBorder="1" applyAlignment="1" applyProtection="1">
      <alignment horizontal="left" vertical="center" wrapText="1"/>
    </xf>
    <xf numFmtId="0" fontId="62" fillId="2" borderId="0" xfId="0" applyNumberFormat="1" applyFont="1" applyFill="1" applyBorder="1" applyAlignment="1" applyProtection="1">
      <alignment horizontal="center" vertical="center"/>
    </xf>
    <xf numFmtId="0" fontId="0" fillId="0" borderId="0" xfId="0" applyNumberFormat="1"/>
    <xf numFmtId="0" fontId="52" fillId="0" borderId="0" xfId="0" applyNumberFormat="1" applyFont="1"/>
    <xf numFmtId="0" fontId="35" fillId="7" borderId="0" xfId="0" applyNumberFormat="1" applyFont="1" applyFill="1" applyBorder="1" applyAlignment="1" applyProtection="1">
      <alignment horizontal="left" vertical="center" wrapText="1"/>
    </xf>
    <xf numFmtId="0" fontId="62" fillId="0" borderId="0" xfId="0" applyNumberFormat="1" applyFont="1"/>
    <xf numFmtId="0" fontId="62" fillId="2" borderId="0" xfId="0" applyNumberFormat="1" applyFont="1" applyFill="1" applyBorder="1" applyAlignment="1" applyProtection="1">
      <alignment vertical="center"/>
    </xf>
    <xf numFmtId="0" fontId="62" fillId="0" borderId="0" xfId="0" applyNumberFormat="1" applyFont="1" applyBorder="1" applyAlignment="1" applyProtection="1"/>
    <xf numFmtId="0" fontId="62" fillId="0" borderId="0" xfId="0" applyNumberFormat="1" applyFont="1" applyProtection="1"/>
    <xf numFmtId="0" fontId="56" fillId="2" borderId="2" xfId="1" applyNumberFormat="1" applyFont="1" applyFill="1" applyBorder="1" applyAlignment="1" applyProtection="1">
      <alignment horizontal="center" vertical="center" wrapText="1"/>
      <protection locked="0"/>
    </xf>
    <xf numFmtId="0" fontId="56" fillId="2" borderId="2" xfId="1" applyNumberFormat="1" applyFont="1" applyFill="1" applyBorder="1" applyAlignment="1" applyProtection="1">
      <alignment vertical="center" wrapText="1"/>
      <protection locked="0"/>
    </xf>
    <xf numFmtId="0" fontId="56" fillId="2" borderId="2" xfId="1" applyNumberFormat="1" applyFont="1" applyFill="1" applyBorder="1" applyAlignment="1" applyProtection="1">
      <alignment horizontal="center" vertical="center"/>
    </xf>
    <xf numFmtId="0" fontId="62" fillId="0" borderId="0" xfId="0" applyNumberFormat="1" applyFont="1" applyAlignment="1">
      <alignment horizontal="center" vertical="center"/>
    </xf>
    <xf numFmtId="0" fontId="0" fillId="0" borderId="0" xfId="0" applyNumberFormat="1" applyProtection="1"/>
    <xf numFmtId="0" fontId="62" fillId="0" borderId="0" xfId="0" applyNumberFormat="1" applyFont="1" applyBorder="1" applyAlignment="1" applyProtection="1">
      <alignment horizontal="center" vertical="center"/>
    </xf>
    <xf numFmtId="0" fontId="0" fillId="0" borderId="4" xfId="0" applyNumberFormat="1" applyBorder="1"/>
    <xf numFmtId="0" fontId="56" fillId="2" borderId="2" xfId="1" applyNumberFormat="1" applyFont="1" applyFill="1" applyBorder="1" applyAlignment="1" applyProtection="1">
      <alignment horizontal="center" vertical="center"/>
      <protection locked="0"/>
    </xf>
    <xf numFmtId="0" fontId="56" fillId="0" borderId="12" xfId="0" applyNumberFormat="1" applyFont="1" applyBorder="1" applyAlignment="1" applyProtection="1">
      <alignment horizontal="center" vertical="center" wrapText="1"/>
      <protection locked="0"/>
    </xf>
    <xf numFmtId="0" fontId="56" fillId="0" borderId="0" xfId="0" applyNumberFormat="1" applyFont="1" applyBorder="1" applyAlignment="1" applyProtection="1">
      <alignment horizontal="center" vertical="center" wrapText="1"/>
    </xf>
    <xf numFmtId="0" fontId="5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75" fillId="0" borderId="0" xfId="0" applyFont="1" applyAlignment="1">
      <alignment horizontal="center" vertical="center"/>
    </xf>
    <xf numFmtId="164" fontId="56" fillId="0" borderId="0" xfId="0" quotePrefix="1" applyNumberFormat="1" applyFont="1" applyFill="1" applyBorder="1" applyAlignment="1" applyProtection="1">
      <alignment horizontal="left" vertical="center" wrapText="1" indent="5"/>
    </xf>
    <xf numFmtId="164" fontId="0" fillId="0" borderId="4" xfId="0" applyBorder="1"/>
    <xf numFmtId="0" fontId="56" fillId="2" borderId="33" xfId="0" applyNumberFormat="1" applyFont="1" applyFill="1" applyBorder="1" applyAlignment="1" applyProtection="1">
      <alignment horizontal="left" wrapText="1"/>
    </xf>
    <xf numFmtId="164" fontId="76" fillId="0" borderId="0" xfId="0" applyFont="1" applyAlignment="1">
      <alignment horizontal="right"/>
    </xf>
    <xf numFmtId="0" fontId="56" fillId="0" borderId="0" xfId="0" quotePrefix="1" applyNumberFormat="1" applyFont="1" applyFill="1" applyBorder="1" applyAlignment="1" applyProtection="1">
      <alignment horizontal="left" vertical="center" wrapText="1" indent="5"/>
    </xf>
    <xf numFmtId="164" fontId="56" fillId="2" borderId="0" xfId="0" applyNumberFormat="1" applyFont="1" applyFill="1" applyBorder="1" applyAlignment="1" applyProtection="1">
      <alignment horizontal="right" vertical="center" wrapText="1" indent="1"/>
    </xf>
    <xf numFmtId="164" fontId="62" fillId="0" borderId="4" xfId="0" applyFont="1" applyFill="1" applyBorder="1" applyAlignment="1" applyProtection="1"/>
    <xf numFmtId="0" fontId="50" fillId="2" borderId="0" xfId="1" applyNumberFormat="1" applyFont="1" applyFill="1" applyBorder="1" applyAlignment="1" applyProtection="1">
      <alignment horizontal="left" vertical="center" wrapText="1" indent="6"/>
    </xf>
    <xf numFmtId="0" fontId="50" fillId="2" borderId="0" xfId="1" applyNumberFormat="1" applyFont="1" applyFill="1" applyBorder="1" applyAlignment="1" applyProtection="1">
      <alignment horizontal="left" wrapText="1" indent="6"/>
    </xf>
    <xf numFmtId="167" fontId="56" fillId="2" borderId="0" xfId="1" quotePrefix="1" applyNumberFormat="1" applyFont="1" applyFill="1" applyBorder="1" applyAlignment="1" applyProtection="1">
      <alignment horizontal="left" vertical="center" wrapText="1" indent="1"/>
    </xf>
    <xf numFmtId="167" fontId="5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6" fontId="56" fillId="2" borderId="4" xfId="0" applyNumberFormat="1" applyFont="1" applyFill="1" applyBorder="1" applyAlignment="1" applyProtection="1">
      <alignment horizontal="right" vertical="center" wrapText="1"/>
    </xf>
    <xf numFmtId="164" fontId="116" fillId="10" borderId="0" xfId="0" applyFont="1" applyFill="1" applyBorder="1" applyAlignment="1">
      <alignment horizontal="center" vertical="center"/>
    </xf>
    <xf numFmtId="0" fontId="56" fillId="2" borderId="0" xfId="0" applyNumberFormat="1" applyFont="1" applyFill="1" applyBorder="1" applyAlignment="1" applyProtection="1">
      <alignment horizontal="center" vertical="center" wrapText="1"/>
      <protection locked="0"/>
    </xf>
    <xf numFmtId="164" fontId="84" fillId="24" borderId="24" xfId="1" applyNumberFormat="1" applyFont="1" applyAlignment="1" applyProtection="1">
      <alignment horizontal="center" vertical="center"/>
    </xf>
    <xf numFmtId="164" fontId="56" fillId="0" borderId="0" xfId="0" quotePrefix="1" applyNumberFormat="1" applyFont="1" applyBorder="1" applyAlignment="1" applyProtection="1">
      <alignment horizontal="left" vertical="center" wrapText="1"/>
    </xf>
    <xf numFmtId="164" fontId="56" fillId="0" borderId="0" xfId="0" applyNumberFormat="1" applyFont="1" applyBorder="1" applyAlignment="1" applyProtection="1">
      <alignment horizontal="left" vertical="center" wrapText="1" indent="4"/>
      <protection locked="0"/>
    </xf>
    <xf numFmtId="164" fontId="0" fillId="0" borderId="0" xfId="0" applyBorder="1" applyProtection="1"/>
    <xf numFmtId="0" fontId="56" fillId="0" borderId="37" xfId="0" applyNumberFormat="1" applyFont="1" applyFill="1" applyBorder="1" applyAlignment="1" applyProtection="1">
      <alignment horizontal="left" wrapText="1"/>
    </xf>
    <xf numFmtId="166" fontId="56" fillId="2" borderId="38" xfId="0" applyNumberFormat="1" applyFont="1" applyFill="1" applyBorder="1" applyAlignment="1" applyProtection="1">
      <alignment horizontal="right" vertical="center" wrapText="1"/>
      <protection locked="0"/>
    </xf>
    <xf numFmtId="164" fontId="62" fillId="0" borderId="39" xfId="0" applyFont="1" applyFill="1" applyBorder="1" applyAlignment="1" applyProtection="1"/>
    <xf numFmtId="164" fontId="65" fillId="0" borderId="40" xfId="0" applyFont="1" applyBorder="1" applyAlignment="1" applyProtection="1">
      <alignment vertical="center"/>
    </xf>
    <xf numFmtId="164" fontId="116" fillId="10" borderId="41" xfId="0" applyFont="1" applyFill="1" applyBorder="1" applyAlignment="1">
      <alignment horizontal="center"/>
    </xf>
    <xf numFmtId="166" fontId="56" fillId="2" borderId="43" xfId="0" applyNumberFormat="1" applyFont="1" applyFill="1" applyBorder="1" applyAlignment="1" applyProtection="1">
      <alignment horizontal="right" vertical="center" wrapText="1"/>
    </xf>
    <xf numFmtId="0" fontId="56" fillId="0" borderId="44" xfId="0" applyNumberFormat="1" applyFont="1" applyFill="1" applyBorder="1" applyAlignment="1" applyProtection="1">
      <alignment horizontal="left" wrapText="1"/>
    </xf>
    <xf numFmtId="166" fontId="56" fillId="5" borderId="38" xfId="0" applyNumberFormat="1" applyFont="1" applyFill="1" applyBorder="1" applyAlignment="1" applyProtection="1">
      <alignment horizontal="right"/>
      <protection locked="0"/>
    </xf>
    <xf numFmtId="166" fontId="56" fillId="5" borderId="50" xfId="0" applyNumberFormat="1" applyFont="1" applyFill="1" applyBorder="1" applyAlignment="1" applyProtection="1">
      <alignment horizontal="right"/>
      <protection locked="0"/>
    </xf>
    <xf numFmtId="164" fontId="116" fillId="10" borderId="45" xfId="0" applyFont="1" applyFill="1" applyBorder="1" applyAlignment="1">
      <alignment horizontal="center" vertical="center"/>
    </xf>
    <xf numFmtId="164" fontId="116" fillId="10" borderId="46" xfId="0" applyFont="1" applyFill="1" applyBorder="1" applyAlignment="1">
      <alignment horizontal="left" vertical="center" indent="1"/>
    </xf>
    <xf numFmtId="164" fontId="116" fillId="10" borderId="47" xfId="0" applyFont="1" applyFill="1" applyBorder="1" applyAlignment="1">
      <alignment horizontal="center"/>
    </xf>
    <xf numFmtId="164" fontId="56" fillId="0" borderId="0" xfId="0" quotePrefix="1" applyNumberFormat="1" applyFont="1" applyBorder="1" applyAlignment="1" applyProtection="1">
      <alignment horizontal="left" vertical="center" wrapText="1" indent="3"/>
    </xf>
    <xf numFmtId="164" fontId="56" fillId="0" borderId="0" xfId="0" quotePrefix="1" applyNumberFormat="1" applyFont="1" applyFill="1" applyBorder="1" applyAlignment="1" applyProtection="1">
      <alignment horizontal="left" vertical="center" wrapText="1" indent="3"/>
    </xf>
    <xf numFmtId="0" fontId="5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97" fillId="2" borderId="0" xfId="0" applyFont="1" applyFill="1" applyBorder="1" applyAlignment="1">
      <alignment horizontal="left"/>
    </xf>
    <xf numFmtId="164" fontId="79" fillId="2" borderId="0" xfId="0" applyFont="1" applyFill="1" applyBorder="1" applyAlignment="1">
      <alignment horizontal="center"/>
    </xf>
    <xf numFmtId="164" fontId="56" fillId="2" borderId="0" xfId="0" applyNumberFormat="1" applyFont="1" applyFill="1" applyBorder="1" applyAlignment="1" applyProtection="1">
      <alignment wrapText="1"/>
    </xf>
    <xf numFmtId="164" fontId="119" fillId="2" borderId="0" xfId="0" applyFont="1" applyFill="1" applyAlignment="1">
      <alignment horizontal="left" vertical="top"/>
    </xf>
    <xf numFmtId="172" fontId="20" fillId="2" borderId="0" xfId="0" applyNumberFormat="1" applyFont="1" applyFill="1"/>
    <xf numFmtId="172" fontId="20" fillId="2" borderId="0" xfId="0" applyNumberFormat="1" applyFont="1" applyFill="1" applyAlignment="1">
      <alignment horizontal="right"/>
    </xf>
    <xf numFmtId="172" fontId="20" fillId="2" borderId="0" xfId="0" applyNumberFormat="1" applyFont="1" applyFill="1" applyAlignment="1">
      <alignment horizontal="center"/>
    </xf>
    <xf numFmtId="164" fontId="79" fillId="2" borderId="0" xfId="0" applyFont="1" applyFill="1" applyBorder="1" applyAlignment="1"/>
    <xf numFmtId="164" fontId="97" fillId="2" borderId="53" xfId="0" applyFont="1" applyFill="1" applyBorder="1" applyAlignment="1">
      <alignment horizontal="left"/>
    </xf>
    <xf numFmtId="0" fontId="60" fillId="0" borderId="0" xfId="0" applyNumberFormat="1" applyFont="1" applyFill="1" applyBorder="1" applyAlignment="1" applyProtection="1">
      <alignment horizontal="center" wrapText="1"/>
    </xf>
    <xf numFmtId="164" fontId="121" fillId="0" borderId="0" xfId="0" applyFont="1"/>
    <xf numFmtId="0" fontId="26" fillId="16" borderId="0" xfId="0" applyNumberFormat="1" applyFont="1" applyFill="1" applyBorder="1" applyAlignment="1" applyProtection="1">
      <alignment horizontal="left" indent="1"/>
    </xf>
    <xf numFmtId="166" fontId="124" fillId="7" borderId="0" xfId="0" applyNumberFormat="1" applyFont="1" applyFill="1" applyBorder="1" applyAlignment="1" applyProtection="1">
      <alignment horizontal="center" vertical="center"/>
      <protection locked="0"/>
    </xf>
    <xf numFmtId="166" fontId="123" fillId="7" borderId="0" xfId="0" applyNumberFormat="1" applyFont="1" applyFill="1" applyBorder="1" applyAlignment="1" applyProtection="1">
      <alignment horizontal="center" vertical="center"/>
    </xf>
    <xf numFmtId="1" fontId="60" fillId="2" borderId="11" xfId="0" applyNumberFormat="1" applyFont="1" applyFill="1" applyBorder="1" applyAlignment="1" applyProtection="1">
      <alignment horizontal="center" wrapText="1"/>
      <protection locked="0"/>
    </xf>
    <xf numFmtId="164" fontId="6" fillId="13" borderId="0" xfId="4" applyFont="1" applyFill="1" applyBorder="1" applyAlignment="1" applyProtection="1">
      <alignment horizontal="center"/>
    </xf>
    <xf numFmtId="1" fontId="25" fillId="13" borderId="0" xfId="4" applyNumberFormat="1" applyFont="1" applyFill="1" applyBorder="1" applyAlignment="1" applyProtection="1">
      <alignment horizontal="center" wrapText="1"/>
    </xf>
    <xf numFmtId="164" fontId="62" fillId="0" borderId="4" xfId="0" applyFont="1" applyBorder="1"/>
    <xf numFmtId="166" fontId="56" fillId="2" borderId="2" xfId="0" applyNumberFormat="1" applyFont="1" applyFill="1" applyBorder="1" applyAlignment="1" applyProtection="1">
      <alignment horizontal="right"/>
      <protection locked="0"/>
    </xf>
    <xf numFmtId="164" fontId="0" fillId="0" borderId="22" xfId="0" applyBorder="1"/>
    <xf numFmtId="0" fontId="27" fillId="7" borderId="0" xfId="0" applyNumberFormat="1" applyFont="1" applyFill="1" applyBorder="1" applyAlignment="1" applyProtection="1">
      <alignment horizontal="left"/>
    </xf>
    <xf numFmtId="164" fontId="25"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47" fillId="7" borderId="0" xfId="0" applyNumberFormat="1" applyFont="1" applyFill="1" applyBorder="1" applyAlignment="1" applyProtection="1">
      <alignment horizontal="center" wrapText="1"/>
    </xf>
    <xf numFmtId="0" fontId="34" fillId="16" borderId="0" xfId="0" applyNumberFormat="1" applyFont="1" applyFill="1" applyBorder="1" applyAlignment="1" applyProtection="1">
      <alignment horizontal="left" vertical="center" wrapText="1" indent="3"/>
    </xf>
    <xf numFmtId="0" fontId="60" fillId="2" borderId="42" xfId="1" applyNumberFormat="1" applyFont="1" applyFill="1" applyBorder="1" applyAlignment="1" applyProtection="1">
      <alignment horizontal="right" vertical="center" wrapText="1"/>
    </xf>
    <xf numFmtId="164" fontId="58" fillId="2" borderId="0" xfId="0" applyFont="1" applyFill="1"/>
    <xf numFmtId="164" fontId="58" fillId="9" borderId="54" xfId="0" applyFont="1" applyFill="1" applyBorder="1"/>
    <xf numFmtId="164" fontId="58" fillId="9" borderId="55" xfId="0" applyFont="1" applyFill="1" applyBorder="1" applyAlignment="1">
      <alignment horizontal="left" indent="1"/>
    </xf>
    <xf numFmtId="164" fontId="58" fillId="9" borderId="55" xfId="0" applyFont="1" applyFill="1" applyBorder="1"/>
    <xf numFmtId="164" fontId="58" fillId="9" borderId="55" xfId="0" applyFont="1" applyFill="1" applyBorder="1" applyAlignment="1">
      <alignment horizontal="left" vertical="top" wrapText="1" indent="1"/>
    </xf>
    <xf numFmtId="164" fontId="129" fillId="9" borderId="55" xfId="0" applyFont="1" applyFill="1" applyBorder="1" applyAlignment="1">
      <alignment horizontal="left" indent="1"/>
    </xf>
    <xf numFmtId="164" fontId="58" fillId="9" borderId="55" xfId="0" applyFont="1" applyFill="1" applyBorder="1" applyAlignment="1">
      <alignment horizontal="left" vertical="top" wrapText="1" indent="3"/>
    </xf>
    <xf numFmtId="164" fontId="58" fillId="9" borderId="55" xfId="0" applyFont="1" applyFill="1" applyBorder="1" applyAlignment="1">
      <alignment horizontal="left" indent="3"/>
    </xf>
    <xf numFmtId="164" fontId="58" fillId="9" borderId="56" xfId="0" applyFont="1" applyFill="1" applyBorder="1"/>
    <xf numFmtId="164" fontId="91" fillId="10" borderId="59" xfId="0" applyFont="1" applyFill="1" applyBorder="1" applyAlignment="1">
      <alignment horizontal="left" indent="1"/>
    </xf>
    <xf numFmtId="164" fontId="48" fillId="27" borderId="28" xfId="0" applyFont="1" applyFill="1" applyBorder="1" applyAlignment="1">
      <alignment horizontal="center"/>
    </xf>
    <xf numFmtId="164" fontId="91" fillId="10" borderId="60" xfId="0" applyFont="1" applyFill="1" applyBorder="1" applyAlignment="1">
      <alignment horizontal="left" indent="1"/>
    </xf>
    <xf numFmtId="164" fontId="48" fillId="27" borderId="61" xfId="0" applyFont="1" applyFill="1" applyBorder="1" applyAlignment="1">
      <alignment horizontal="center"/>
    </xf>
    <xf numFmtId="164" fontId="48" fillId="27" borderId="57" xfId="0" applyFont="1" applyFill="1" applyBorder="1" applyAlignment="1">
      <alignment horizontal="center" vertical="center"/>
    </xf>
    <xf numFmtId="164" fontId="0" fillId="27" borderId="58" xfId="0" applyFill="1" applyBorder="1"/>
    <xf numFmtId="166" fontId="61" fillId="2" borderId="8" xfId="0" applyNumberFormat="1" applyFont="1" applyFill="1" applyBorder="1" applyAlignment="1" applyProtection="1">
      <protection locked="0"/>
    </xf>
    <xf numFmtId="164" fontId="125" fillId="0" borderId="0" xfId="0" applyFont="1" applyAlignment="1">
      <alignment vertical="top" wrapText="1"/>
    </xf>
    <xf numFmtId="166" fontId="56" fillId="2" borderId="8" xfId="0" applyNumberFormat="1" applyFont="1" applyFill="1" applyBorder="1" applyAlignment="1" applyProtection="1"/>
    <xf numFmtId="1" fontId="120" fillId="2" borderId="0" xfId="0" applyNumberFormat="1" applyFont="1" applyFill="1" applyBorder="1" applyAlignment="1" applyProtection="1">
      <alignment horizontal="center" vertical="center" wrapText="1"/>
    </xf>
    <xf numFmtId="1" fontId="122" fillId="0" borderId="10" xfId="0" applyNumberFormat="1" applyFont="1" applyBorder="1" applyAlignment="1">
      <alignment horizontal="right" vertical="center"/>
    </xf>
    <xf numFmtId="1" fontId="120" fillId="2" borderId="64" xfId="0" applyNumberFormat="1" applyFont="1" applyFill="1" applyBorder="1" applyAlignment="1" applyProtection="1">
      <alignment horizontal="right" vertical="center" wrapText="1"/>
    </xf>
    <xf numFmtId="0" fontId="62" fillId="2" borderId="0" xfId="0" applyNumberFormat="1" applyFont="1" applyFill="1" applyBorder="1" applyAlignment="1" applyProtection="1">
      <alignment horizontal="left" vertical="center"/>
    </xf>
    <xf numFmtId="1" fontId="60" fillId="2" borderId="0" xfId="0" applyNumberFormat="1" applyFont="1" applyFill="1" applyBorder="1" applyAlignment="1" applyProtection="1">
      <alignment horizontal="left" vertical="center" wrapText="1"/>
    </xf>
    <xf numFmtId="1" fontId="60" fillId="2" borderId="0" xfId="0" applyNumberFormat="1" applyFont="1" applyFill="1" applyBorder="1" applyAlignment="1" applyProtection="1">
      <alignment horizontal="left" vertical="center" wrapText="1" indent="3"/>
    </xf>
    <xf numFmtId="0" fontId="56" fillId="2" borderId="0" xfId="0" applyNumberFormat="1" applyFont="1" applyFill="1" applyBorder="1" applyAlignment="1" applyProtection="1">
      <alignment horizontal="left" vertical="center" wrapText="1" indent="2"/>
    </xf>
    <xf numFmtId="1" fontId="56" fillId="2" borderId="0" xfId="0" applyNumberFormat="1" applyFont="1" applyFill="1" applyBorder="1" applyAlignment="1" applyProtection="1">
      <alignment horizontal="left" vertical="center" wrapText="1" indent="3"/>
    </xf>
    <xf numFmtId="0" fontId="85"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18" fillId="2" borderId="0" xfId="0" applyNumberFormat="1" applyFont="1" applyFill="1" applyBorder="1"/>
    <xf numFmtId="0" fontId="85" fillId="2" borderId="0" xfId="0" applyNumberFormat="1" applyFont="1" applyFill="1" applyBorder="1" applyAlignment="1" applyProtection="1">
      <alignment horizontal="left" vertical="center" wrapText="1" indent="1"/>
    </xf>
    <xf numFmtId="164" fontId="122" fillId="2" borderId="0" xfId="0" applyFont="1" applyFill="1" applyAlignment="1">
      <alignment horizontal="center"/>
    </xf>
    <xf numFmtId="164" fontId="62" fillId="2" borderId="0" xfId="0" applyFont="1" applyFill="1" applyAlignment="1"/>
    <xf numFmtId="0" fontId="86" fillId="2" borderId="0" xfId="0" applyNumberFormat="1" applyFont="1" applyFill="1" applyBorder="1" applyAlignment="1">
      <alignment horizontal="right" vertical="top" indent="3"/>
    </xf>
    <xf numFmtId="0" fontId="18" fillId="2" borderId="0" xfId="0" applyNumberFormat="1" applyFont="1" applyFill="1" applyBorder="1" applyAlignment="1" applyProtection="1">
      <alignment horizontal="right" vertical="center" indent="3"/>
    </xf>
    <xf numFmtId="0" fontId="18" fillId="2" borderId="0" xfId="0" applyNumberFormat="1" applyFont="1" applyFill="1" applyBorder="1" applyAlignment="1" applyProtection="1">
      <alignment horizontal="left" vertical="center"/>
    </xf>
    <xf numFmtId="0" fontId="117" fillId="6" borderId="71" xfId="0" applyNumberFormat="1" applyFont="1" applyFill="1" applyBorder="1" applyAlignment="1" applyProtection="1">
      <alignment horizontal="center" wrapText="1"/>
    </xf>
    <xf numFmtId="0" fontId="117" fillId="6" borderId="72" xfId="0" applyNumberFormat="1" applyFont="1" applyFill="1" applyBorder="1" applyAlignment="1" applyProtection="1">
      <alignment horizontal="center" wrapText="1"/>
    </xf>
    <xf numFmtId="166" fontId="56" fillId="20" borderId="69" xfId="0" applyNumberFormat="1" applyFont="1" applyFill="1" applyBorder="1" applyAlignment="1" applyProtection="1">
      <alignment horizontal="right"/>
      <protection locked="0"/>
    </xf>
    <xf numFmtId="166" fontId="56" fillId="20" borderId="70" xfId="0" applyNumberFormat="1" applyFont="1" applyFill="1" applyBorder="1" applyAlignment="1" applyProtection="1">
      <alignment horizontal="right"/>
      <protection locked="0"/>
    </xf>
    <xf numFmtId="166" fontId="56" fillId="20" borderId="65" xfId="0" applyNumberFormat="1" applyFont="1" applyFill="1" applyBorder="1" applyAlignment="1" applyProtection="1">
      <alignment horizontal="right"/>
      <protection locked="0"/>
    </xf>
    <xf numFmtId="166" fontId="56" fillId="20" borderId="66" xfId="0" applyNumberFormat="1" applyFont="1" applyFill="1" applyBorder="1" applyAlignment="1" applyProtection="1">
      <alignment horizontal="right"/>
      <protection locked="0"/>
    </xf>
    <xf numFmtId="166" fontId="56" fillId="20" borderId="67" xfId="0" applyNumberFormat="1" applyFont="1" applyFill="1" applyBorder="1" applyAlignment="1" applyProtection="1">
      <alignment horizontal="right"/>
      <protection locked="0"/>
    </xf>
    <xf numFmtId="166" fontId="56" fillId="20" borderId="68" xfId="0" applyNumberFormat="1" applyFont="1" applyFill="1" applyBorder="1" applyAlignment="1" applyProtection="1">
      <alignment horizontal="right"/>
      <protection locked="0"/>
    </xf>
    <xf numFmtId="0" fontId="27" fillId="7" borderId="0" xfId="0" applyNumberFormat="1" applyFont="1" applyFill="1" applyBorder="1" applyAlignment="1" applyProtection="1">
      <alignment horizontal="left"/>
    </xf>
    <xf numFmtId="1" fontId="0" fillId="12" borderId="0" xfId="0" applyNumberFormat="1" applyFill="1"/>
    <xf numFmtId="0" fontId="60" fillId="0" borderId="0" xfId="0" applyNumberFormat="1" applyFont="1" applyFill="1" applyBorder="1" applyAlignment="1" applyProtection="1">
      <alignment vertical="center" wrapText="1"/>
    </xf>
    <xf numFmtId="167" fontId="72" fillId="2" borderId="0" xfId="1" applyNumberFormat="1" applyFont="1" applyFill="1" applyBorder="1" applyAlignment="1" applyProtection="1">
      <alignment vertical="center" wrapText="1"/>
    </xf>
    <xf numFmtId="164" fontId="78" fillId="0" borderId="22" xfId="0" applyFont="1" applyBorder="1" applyAlignment="1"/>
    <xf numFmtId="164" fontId="78" fillId="0" borderId="10" xfId="0" applyFont="1" applyBorder="1" applyAlignment="1"/>
    <xf numFmtId="0" fontId="54" fillId="2" borderId="0" xfId="0" applyNumberFormat="1" applyFont="1" applyFill="1" applyBorder="1" applyAlignment="1" applyProtection="1">
      <alignment horizontal="center" vertical="center" wrapText="1"/>
      <protection locked="0"/>
    </xf>
    <xf numFmtId="0" fontId="54" fillId="0" borderId="0"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xf>
    <xf numFmtId="0" fontId="50" fillId="2" borderId="0" xfId="0" applyNumberFormat="1" applyFont="1" applyFill="1" applyBorder="1" applyAlignment="1" applyProtection="1">
      <alignment horizontal="center" vertical="center" wrapText="1"/>
      <protection locked="0"/>
    </xf>
    <xf numFmtId="0" fontId="88" fillId="2" borderId="0"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56" fillId="0" borderId="42" xfId="0" applyNumberFormat="1" applyFont="1" applyFill="1" applyBorder="1" applyAlignment="1" applyProtection="1">
      <alignment horizontal="left" wrapText="1"/>
    </xf>
    <xf numFmtId="1" fontId="56" fillId="2" borderId="0" xfId="0" applyNumberFormat="1" applyFont="1" applyFill="1" applyBorder="1" applyAlignment="1" applyProtection="1">
      <alignment horizontal="center" vertical="center" wrapText="1"/>
      <protection locked="0"/>
    </xf>
    <xf numFmtId="0" fontId="28" fillId="2" borderId="0" xfId="0" applyNumberFormat="1" applyFont="1" applyFill="1" applyBorder="1" applyAlignment="1" applyProtection="1">
      <alignment horizontal="center" vertical="center" wrapText="1"/>
      <protection locked="0"/>
    </xf>
    <xf numFmtId="0" fontId="56" fillId="2" borderId="0" xfId="1" applyNumberFormat="1" applyFont="1" applyFill="1" applyBorder="1" applyAlignment="1" applyProtection="1">
      <alignment vertical="center" wrapText="1"/>
      <protection locked="0"/>
    </xf>
    <xf numFmtId="0" fontId="56" fillId="2" borderId="0" xfId="1" applyNumberFormat="1" applyFont="1" applyFill="1" applyBorder="1" applyAlignment="1" applyProtection="1">
      <alignment horizontal="center" vertical="center" wrapText="1"/>
      <protection locked="0"/>
    </xf>
    <xf numFmtId="0" fontId="56" fillId="2" borderId="0" xfId="1" applyNumberFormat="1" applyFont="1" applyFill="1" applyBorder="1" applyAlignment="1" applyProtection="1">
      <alignment horizontal="center" vertical="center"/>
    </xf>
    <xf numFmtId="0" fontId="56" fillId="0" borderId="0" xfId="0" applyNumberFormat="1" applyFont="1" applyFill="1" applyBorder="1" applyAlignment="1" applyProtection="1">
      <alignment horizontal="center" vertical="center" wrapText="1"/>
      <protection locked="0"/>
    </xf>
    <xf numFmtId="166" fontId="56" fillId="0" borderId="0" xfId="0" applyNumberFormat="1" applyFont="1" applyFill="1" applyBorder="1" applyAlignment="1" applyProtection="1">
      <alignment horizontal="right"/>
      <protection locked="0"/>
    </xf>
    <xf numFmtId="0" fontId="56" fillId="2" borderId="22" xfId="0" applyNumberFormat="1"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left" vertical="center" wrapText="1" indent="1"/>
      <protection locked="0"/>
    </xf>
    <xf numFmtId="0" fontId="56" fillId="0" borderId="0" xfId="0" applyNumberFormat="1" applyFont="1" applyBorder="1" applyAlignment="1" applyProtection="1">
      <alignment horizontal="left" vertical="center" wrapText="1"/>
      <protection locked="0"/>
    </xf>
    <xf numFmtId="0" fontId="56" fillId="0" borderId="0" xfId="0" applyNumberFormat="1" applyFont="1" applyBorder="1" applyAlignment="1" applyProtection="1">
      <alignment horizontal="center" vertical="center" wrapText="1"/>
      <protection locked="0"/>
    </xf>
    <xf numFmtId="164" fontId="133" fillId="0" borderId="0" xfId="0" applyFont="1"/>
    <xf numFmtId="164" fontId="135" fillId="0" borderId="0" xfId="0" applyFont="1"/>
    <xf numFmtId="164" fontId="136" fillId="0" borderId="0" xfId="0" applyFont="1"/>
    <xf numFmtId="1" fontId="136" fillId="2" borderId="0" xfId="0" applyNumberFormat="1" applyFont="1" applyFill="1" applyBorder="1" applyAlignment="1" applyProtection="1">
      <alignment horizontal="center" wrapText="1"/>
    </xf>
    <xf numFmtId="1" fontId="136" fillId="2" borderId="0" xfId="0" applyNumberFormat="1" applyFont="1" applyFill="1" applyBorder="1" applyAlignment="1" applyProtection="1">
      <alignment horizontal="center" vertical="center" wrapText="1"/>
    </xf>
    <xf numFmtId="164" fontId="138" fillId="2" borderId="0" xfId="0" applyFont="1" applyFill="1"/>
    <xf numFmtId="164" fontId="138" fillId="2" borderId="0" xfId="0" applyFont="1" applyFill="1" applyAlignment="1">
      <alignment horizontal="right"/>
    </xf>
    <xf numFmtId="164" fontId="139" fillId="2" borderId="0" xfId="0" applyNumberFormat="1" applyFont="1" applyFill="1" applyBorder="1" applyAlignment="1" applyProtection="1">
      <alignment horizontal="left" vertical="center" wrapText="1" indent="3"/>
    </xf>
    <xf numFmtId="164" fontId="138" fillId="0" borderId="0" xfId="0" applyFont="1"/>
    <xf numFmtId="0" fontId="0" fillId="9" borderId="0" xfId="0" applyNumberFormat="1" applyFill="1" applyBorder="1" applyAlignment="1">
      <alignment horizontal="center"/>
    </xf>
    <xf numFmtId="164" fontId="56" fillId="2" borderId="0" xfId="0" applyNumberFormat="1" applyFont="1" applyFill="1" applyBorder="1" applyAlignment="1" applyProtection="1">
      <alignment horizontal="left" vertical="top" wrapText="1" indent="2"/>
    </xf>
    <xf numFmtId="166" fontId="56" fillId="2" borderId="9" xfId="0" applyNumberFormat="1" applyFont="1" applyFill="1" applyBorder="1" applyAlignment="1" applyProtection="1"/>
    <xf numFmtId="166" fontId="56" fillId="8" borderId="74" xfId="0" applyNumberFormat="1" applyFont="1" applyFill="1" applyBorder="1" applyAlignment="1" applyProtection="1">
      <protection locked="0"/>
    </xf>
    <xf numFmtId="166" fontId="56" fillId="8" borderId="75" xfId="0" applyNumberFormat="1" applyFont="1" applyFill="1" applyBorder="1" applyAlignment="1" applyProtection="1">
      <protection locked="0"/>
    </xf>
    <xf numFmtId="166" fontId="6" fillId="28" borderId="0" xfId="4" applyNumberFormat="1" applyFont="1" applyFill="1" applyBorder="1" applyAlignment="1" applyProtection="1">
      <alignment horizontal="center" vertical="center"/>
    </xf>
    <xf numFmtId="167" fontId="78"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35" fillId="0" borderId="0" xfId="0" applyFont="1" applyAlignment="1"/>
    <xf numFmtId="164" fontId="136" fillId="0" borderId="0" xfId="0" applyFont="1" applyAlignment="1"/>
    <xf numFmtId="1" fontId="136" fillId="2" borderId="0" xfId="0" applyNumberFormat="1" applyFont="1" applyFill="1" applyBorder="1" applyAlignment="1" applyProtection="1">
      <alignment wrapText="1"/>
    </xf>
    <xf numFmtId="1" fontId="136" fillId="2" borderId="0" xfId="0" applyNumberFormat="1" applyFont="1" applyFill="1" applyBorder="1" applyAlignment="1" applyProtection="1">
      <alignment vertical="center" wrapText="1"/>
    </xf>
    <xf numFmtId="164" fontId="136" fillId="2" borderId="0" xfId="0" applyFont="1" applyFill="1" applyAlignment="1"/>
    <xf numFmtId="1" fontId="137" fillId="2" borderId="0" xfId="0" applyNumberFormat="1" applyFont="1" applyFill="1" applyBorder="1" applyAlignment="1" applyProtection="1">
      <alignment vertical="center" wrapText="1"/>
    </xf>
    <xf numFmtId="164" fontId="138" fillId="2" borderId="0" xfId="0" applyFont="1" applyFill="1" applyAlignment="1"/>
    <xf numFmtId="164" fontId="139" fillId="2" borderId="0" xfId="0" applyNumberFormat="1" applyFont="1" applyFill="1" applyBorder="1" applyAlignment="1" applyProtection="1">
      <alignment vertical="center" wrapText="1"/>
    </xf>
    <xf numFmtId="164" fontId="138" fillId="0" borderId="0" xfId="0" applyFont="1" applyAlignment="1"/>
    <xf numFmtId="1" fontId="137" fillId="2" borderId="64"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33" fillId="0" borderId="0" xfId="0" applyFont="1" applyBorder="1" applyAlignment="1"/>
    <xf numFmtId="166" fontId="56" fillId="5" borderId="76" xfId="0" applyNumberFormat="1" applyFont="1" applyFill="1" applyBorder="1" applyAlignment="1" applyProtection="1">
      <protection locked="0"/>
    </xf>
    <xf numFmtId="166" fontId="56" fillId="5" borderId="77" xfId="0" applyNumberFormat="1" applyFont="1" applyFill="1" applyBorder="1" applyAlignment="1" applyProtection="1">
      <protection locked="0"/>
    </xf>
    <xf numFmtId="166" fontId="56" fillId="29" borderId="78" xfId="0" applyNumberFormat="1" applyFont="1" applyFill="1" applyBorder="1" applyAlignment="1" applyProtection="1">
      <protection locked="0"/>
    </xf>
    <xf numFmtId="166" fontId="56" fillId="29" borderId="79" xfId="0" applyNumberFormat="1" applyFont="1" applyFill="1" applyBorder="1" applyAlignment="1" applyProtection="1">
      <protection locked="0"/>
    </xf>
    <xf numFmtId="166" fontId="56" fillId="11" borderId="80" xfId="0" applyNumberFormat="1" applyFont="1" applyFill="1" applyBorder="1" applyAlignment="1" applyProtection="1">
      <protection locked="0"/>
    </xf>
    <xf numFmtId="166" fontId="56" fillId="11" borderId="81" xfId="0" applyNumberFormat="1" applyFont="1" applyFill="1" applyBorder="1" applyAlignment="1" applyProtection="1">
      <protection locked="0"/>
    </xf>
    <xf numFmtId="1" fontId="18" fillId="12" borderId="0" xfId="0" applyNumberFormat="1" applyFont="1" applyFill="1" applyBorder="1"/>
    <xf numFmtId="164" fontId="127" fillId="9" borderId="0" xfId="0" applyFont="1" applyFill="1" applyBorder="1" applyAlignment="1">
      <alignment horizontal="center" wrapText="1"/>
    </xf>
    <xf numFmtId="166" fontId="56" fillId="2" borderId="10" xfId="0" applyNumberFormat="1" applyFont="1" applyFill="1" applyBorder="1" applyAlignment="1" applyProtection="1"/>
    <xf numFmtId="0" fontId="115" fillId="0" borderId="36" xfId="0" applyNumberFormat="1" applyFont="1" applyBorder="1" applyAlignment="1" applyProtection="1">
      <alignment horizontal="center"/>
      <protection locked="0"/>
    </xf>
    <xf numFmtId="0" fontId="115" fillId="0" borderId="12" xfId="0" applyNumberFormat="1" applyFont="1" applyBorder="1" applyAlignment="1" applyProtection="1">
      <alignment horizontal="center"/>
      <protection locked="0"/>
    </xf>
    <xf numFmtId="0" fontId="115" fillId="0" borderId="12" xfId="0" applyNumberFormat="1" applyFont="1" applyFill="1" applyBorder="1" applyAlignment="1" applyProtection="1">
      <alignment horizontal="center"/>
      <protection locked="0"/>
    </xf>
    <xf numFmtId="0" fontId="115" fillId="0" borderId="25" xfId="0" applyNumberFormat="1" applyFont="1" applyFill="1" applyBorder="1" applyAlignment="1" applyProtection="1">
      <alignment horizontal="center"/>
      <protection locked="0"/>
    </xf>
    <xf numFmtId="166" fontId="56" fillId="5" borderId="0" xfId="0" applyNumberFormat="1" applyFont="1" applyFill="1" applyBorder="1" applyAlignment="1" applyProtection="1">
      <alignment horizontal="right"/>
    </xf>
    <xf numFmtId="0" fontId="115" fillId="0" borderId="48" xfId="0" applyNumberFormat="1" applyFont="1" applyBorder="1" applyAlignment="1" applyProtection="1">
      <alignment horizontal="center"/>
    </xf>
    <xf numFmtId="0" fontId="115" fillId="0" borderId="51" xfId="0" applyNumberFormat="1" applyFont="1" applyBorder="1" applyAlignment="1" applyProtection="1">
      <alignment horizontal="center"/>
    </xf>
    <xf numFmtId="164" fontId="51" fillId="0" borderId="0" xfId="0" applyFont="1" applyBorder="1" applyAlignment="1" applyProtection="1">
      <alignment horizontal="right" vertical="center"/>
    </xf>
    <xf numFmtId="0" fontId="84" fillId="25" borderId="24" xfId="1" applyFont="1" applyFill="1" applyAlignment="1" applyProtection="1">
      <alignment horizontal="center" vertical="center"/>
      <protection locked="0"/>
    </xf>
    <xf numFmtId="0" fontId="84" fillId="25" borderId="24" xfId="1" applyNumberFormat="1" applyFont="1" applyFill="1" applyAlignment="1" applyProtection="1">
      <alignment horizontal="center" vertical="center" wrapText="1"/>
      <protection locked="0"/>
    </xf>
    <xf numFmtId="166" fontId="56" fillId="12" borderId="2" xfId="0" applyNumberFormat="1" applyFont="1" applyFill="1" applyBorder="1" applyAlignment="1" applyProtection="1">
      <alignment horizontal="right"/>
    </xf>
    <xf numFmtId="0" fontId="26" fillId="16" borderId="0" xfId="0" applyNumberFormat="1" applyFont="1" applyFill="1" applyBorder="1" applyAlignment="1" applyProtection="1">
      <alignment horizontal="left"/>
    </xf>
    <xf numFmtId="0" fontId="83" fillId="24" borderId="24" xfId="1" applyAlignment="1" applyProtection="1">
      <alignment horizontal="center" vertical="center"/>
    </xf>
    <xf numFmtId="164" fontId="0" fillId="0" borderId="0" xfId="0"/>
    <xf numFmtId="164" fontId="0" fillId="0" borderId="0" xfId="0"/>
    <xf numFmtId="164" fontId="0" fillId="0" borderId="0" xfId="0" applyFont="1"/>
    <xf numFmtId="164" fontId="0" fillId="0" borderId="0" xfId="0" applyFont="1" applyBorder="1"/>
    <xf numFmtId="164" fontId="56" fillId="2" borderId="0" xfId="0" applyFont="1" applyFill="1" applyBorder="1" applyAlignment="1" applyProtection="1">
      <alignment wrapText="1"/>
    </xf>
    <xf numFmtId="164" fontId="0" fillId="0" borderId="0" xfId="0"/>
    <xf numFmtId="164" fontId="56" fillId="2" borderId="0" xfId="0" applyNumberFormat="1" applyFont="1" applyFill="1" applyBorder="1" applyAlignment="1" applyProtection="1">
      <alignment horizontal="left" vertical="center" wrapText="1" indent="4"/>
    </xf>
    <xf numFmtId="164" fontId="0" fillId="0" borderId="0" xfId="0"/>
    <xf numFmtId="164" fontId="56" fillId="2" borderId="0" xfId="0" applyNumberFormat="1" applyFont="1" applyFill="1" applyBorder="1" applyAlignment="1" applyProtection="1">
      <alignment horizontal="left" wrapText="1" indent="2"/>
    </xf>
    <xf numFmtId="164" fontId="56" fillId="2" borderId="0" xfId="0" applyNumberFormat="1" applyFont="1" applyFill="1" applyBorder="1" applyAlignment="1" applyProtection="1">
      <alignment horizontal="left" wrapText="1" indent="4"/>
    </xf>
    <xf numFmtId="164" fontId="0" fillId="0" borderId="0" xfId="0" applyFont="1" applyAlignment="1">
      <alignment horizontal="left"/>
    </xf>
    <xf numFmtId="164" fontId="0" fillId="0" borderId="0" xfId="0" applyBorder="1" applyAlignment="1">
      <alignment horizontal="left"/>
    </xf>
    <xf numFmtId="164" fontId="60" fillId="2" borderId="0" xfId="0" applyNumberFormat="1" applyFont="1" applyFill="1" applyBorder="1" applyAlignment="1" applyProtection="1">
      <alignment wrapText="1"/>
    </xf>
    <xf numFmtId="167" fontId="56" fillId="0" borderId="0" xfId="1" applyNumberFormat="1" applyFont="1" applyFill="1" applyBorder="1" applyAlignment="1" applyProtection="1">
      <alignment horizontal="left" vertical="center" wrapText="1"/>
    </xf>
    <xf numFmtId="164" fontId="0" fillId="0" borderId="82" xfId="0" applyBorder="1"/>
    <xf numFmtId="164" fontId="0" fillId="0" borderId="83" xfId="0" applyBorder="1"/>
    <xf numFmtId="164" fontId="127" fillId="9" borderId="82" xfId="0" applyFont="1" applyFill="1" applyBorder="1" applyAlignment="1">
      <alignment horizontal="center" wrapText="1"/>
    </xf>
    <xf numFmtId="166" fontId="56" fillId="9" borderId="84" xfId="0" applyNumberFormat="1" applyFont="1" applyFill="1" applyBorder="1" applyAlignment="1" applyProtection="1">
      <alignment horizontal="right"/>
    </xf>
    <xf numFmtId="166" fontId="56" fillId="5" borderId="85" xfId="0" applyNumberFormat="1" applyFont="1" applyFill="1" applyBorder="1" applyAlignment="1" applyProtection="1">
      <alignment horizontal="right"/>
      <protection locked="0"/>
    </xf>
    <xf numFmtId="166" fontId="56" fillId="11" borderId="12" xfId="0" applyNumberFormat="1" applyFont="1" applyFill="1" applyBorder="1" applyAlignment="1" applyProtection="1">
      <alignment horizontal="right"/>
    </xf>
    <xf numFmtId="167" fontId="56" fillId="0" borderId="0" xfId="0" applyNumberFormat="1" applyFont="1" applyFill="1" applyBorder="1" applyAlignment="1" applyProtection="1">
      <alignment horizontal="left" vertical="center" wrapText="1" indent="1"/>
    </xf>
    <xf numFmtId="164" fontId="0" fillId="0" borderId="0" xfId="0"/>
    <xf numFmtId="164" fontId="117" fillId="0" borderId="0" xfId="0" applyFont="1"/>
    <xf numFmtId="164" fontId="117" fillId="0" borderId="10" xfId="0" applyFont="1" applyBorder="1"/>
    <xf numFmtId="164" fontId="56" fillId="2" borderId="0" xfId="0" applyFont="1" applyFill="1" applyBorder="1" applyAlignment="1" applyProtection="1">
      <alignment wrapText="1"/>
    </xf>
    <xf numFmtId="0" fontId="56" fillId="2" borderId="2" xfId="1" applyNumberFormat="1" applyFont="1" applyFill="1" applyBorder="1" applyAlignment="1" applyProtection="1">
      <alignment horizontal="left" vertical="center" wrapText="1"/>
      <protection locked="0"/>
    </xf>
    <xf numFmtId="0" fontId="62" fillId="0" borderId="0" xfId="0" applyNumberFormat="1" applyFont="1" applyBorder="1" applyAlignment="1">
      <alignment vertical="center"/>
    </xf>
    <xf numFmtId="164" fontId="0" fillId="0" borderId="0" xfId="0"/>
    <xf numFmtId="164" fontId="0" fillId="0" borderId="0" xfId="0"/>
    <xf numFmtId="166" fontId="6" fillId="30" borderId="0" xfId="4" applyNumberFormat="1" applyFont="1" applyFill="1" applyBorder="1" applyAlignment="1" applyProtection="1">
      <alignment horizontal="center" vertical="center"/>
    </xf>
    <xf numFmtId="164" fontId="0" fillId="2" borderId="0" xfId="0" applyFill="1" applyAlignment="1">
      <alignment horizontal="left" indent="4"/>
    </xf>
    <xf numFmtId="0" fontId="142" fillId="25" borderId="24" xfId="1" applyFont="1" applyFill="1" applyAlignment="1" applyProtection="1">
      <alignment horizontal="center" vertical="center"/>
    </xf>
    <xf numFmtId="164" fontId="141" fillId="25" borderId="24" xfId="1" applyNumberFormat="1" applyFont="1" applyFill="1" applyAlignment="1" applyProtection="1">
      <alignment horizontal="center" vertical="center"/>
    </xf>
    <xf numFmtId="164" fontId="141" fillId="25" borderId="24" xfId="1" applyNumberFormat="1" applyFont="1" applyFill="1" applyAlignment="1" applyProtection="1">
      <alignment horizontal="center"/>
    </xf>
    <xf numFmtId="166" fontId="56" fillId="11" borderId="88" xfId="0" applyNumberFormat="1" applyFont="1" applyFill="1" applyBorder="1" applyAlignment="1" applyProtection="1">
      <alignment horizontal="right"/>
    </xf>
    <xf numFmtId="166" fontId="56" fillId="11" borderId="89" xfId="0" applyNumberFormat="1" applyFont="1" applyFill="1" applyBorder="1" applyAlignment="1" applyProtection="1">
      <alignment horizontal="right"/>
    </xf>
    <xf numFmtId="164" fontId="131" fillId="9" borderId="90" xfId="0" applyFont="1" applyFill="1" applyBorder="1" applyAlignment="1">
      <alignment horizontal="center" vertical="center"/>
    </xf>
    <xf numFmtId="164" fontId="131" fillId="9" borderId="91" xfId="0" applyFont="1" applyFill="1" applyBorder="1" applyAlignment="1">
      <alignment horizontal="center" vertical="center"/>
    </xf>
    <xf numFmtId="164" fontId="0" fillId="0" borderId="0" xfId="0"/>
    <xf numFmtId="164" fontId="0" fillId="0" borderId="0" xfId="0"/>
    <xf numFmtId="166" fontId="60" fillId="9" borderId="62" xfId="0" applyNumberFormat="1" applyFont="1" applyFill="1" applyBorder="1" applyAlignment="1" applyProtection="1">
      <alignment horizontal="right"/>
      <protection locked="0"/>
    </xf>
    <xf numFmtId="166" fontId="60" fillId="9" borderId="62" xfId="0" applyNumberFormat="1" applyFont="1" applyFill="1" applyBorder="1" applyAlignment="1" applyProtection="1">
      <alignment horizontal="right" vertical="center"/>
      <protection locked="0"/>
    </xf>
    <xf numFmtId="166" fontId="56" fillId="8" borderId="3" xfId="0" applyNumberFormat="1" applyFont="1" applyFill="1" applyBorder="1" applyAlignment="1" applyProtection="1">
      <protection locked="0"/>
    </xf>
    <xf numFmtId="166" fontId="56" fillId="8" borderId="3" xfId="0" applyNumberFormat="1" applyFont="1" applyFill="1" applyBorder="1" applyAlignment="1" applyProtection="1"/>
    <xf numFmtId="164" fontId="126" fillId="12" borderId="0" xfId="0" applyFont="1" applyFill="1" applyBorder="1" applyAlignment="1" applyProtection="1">
      <alignment horizontal="center" vertical="center" wrapText="1"/>
    </xf>
    <xf numFmtId="164" fontId="0" fillId="0" borderId="0" xfId="0"/>
    <xf numFmtId="164" fontId="0" fillId="0" borderId="0" xfId="0"/>
    <xf numFmtId="164" fontId="62" fillId="12" borderId="0" xfId="0" applyFont="1" applyFill="1" applyProtection="1"/>
    <xf numFmtId="164" fontId="62" fillId="12" borderId="0" xfId="0" applyFont="1" applyFill="1" applyBorder="1" applyAlignment="1" applyProtection="1">
      <alignment horizontal="left"/>
    </xf>
    <xf numFmtId="164" fontId="56" fillId="0" borderId="0" xfId="1" quotePrefix="1" applyNumberFormat="1" applyFont="1" applyFill="1" applyBorder="1" applyAlignment="1" applyProtection="1">
      <alignment horizontal="left" vertical="center" wrapText="1" indent="2"/>
    </xf>
    <xf numFmtId="167" fontId="143" fillId="13" borderId="0" xfId="4" applyNumberFormat="1" applyFont="1" applyFill="1" applyBorder="1" applyAlignment="1" applyProtection="1">
      <alignment horizontal="left" vertical="center"/>
    </xf>
    <xf numFmtId="164" fontId="56" fillId="2" borderId="0" xfId="1" applyNumberFormat="1" applyFont="1" applyFill="1" applyBorder="1" applyAlignment="1" applyProtection="1">
      <alignment horizontal="left" vertical="center" wrapText="1"/>
    </xf>
    <xf numFmtId="0" fontId="56" fillId="0" borderId="0" xfId="1" quotePrefix="1" applyNumberFormat="1" applyFont="1" applyFill="1" applyBorder="1" applyAlignment="1" applyProtection="1">
      <alignment horizontal="left" vertical="center" wrapText="1" indent="2"/>
    </xf>
    <xf numFmtId="0" fontId="56" fillId="2" borderId="0" xfId="1" quotePrefix="1" applyNumberFormat="1" applyFont="1" applyFill="1" applyBorder="1" applyAlignment="1" applyProtection="1">
      <alignment horizontal="left" vertical="center" wrapText="1" indent="2"/>
    </xf>
    <xf numFmtId="164" fontId="56" fillId="2" borderId="0" xfId="1" quotePrefix="1" applyNumberFormat="1" applyFont="1" applyFill="1" applyBorder="1" applyAlignment="1" applyProtection="1">
      <alignment horizontal="left" vertical="center" wrapText="1" indent="2"/>
    </xf>
    <xf numFmtId="167" fontId="118" fillId="0" borderId="0" xfId="0" applyNumberFormat="1" applyFont="1" applyBorder="1" applyAlignment="1" applyProtection="1">
      <alignment horizontal="left" vertical="center" wrapText="1" indent="3"/>
    </xf>
    <xf numFmtId="164" fontId="56" fillId="2" borderId="0" xfId="0" applyFont="1" applyFill="1" applyBorder="1" applyAlignment="1" applyProtection="1">
      <alignment horizontal="left" wrapText="1" indent="1"/>
    </xf>
    <xf numFmtId="0" fontId="56" fillId="2" borderId="0" xfId="1" applyNumberFormat="1" applyFont="1" applyFill="1" applyBorder="1" applyAlignment="1" applyProtection="1">
      <alignment horizontal="left" wrapText="1" indent="3"/>
    </xf>
    <xf numFmtId="164" fontId="56" fillId="0" borderId="0" xfId="0" quotePrefix="1" applyFont="1" applyBorder="1" applyAlignment="1" applyProtection="1">
      <alignment horizontal="left" wrapText="1" indent="2"/>
    </xf>
    <xf numFmtId="164" fontId="56" fillId="2" borderId="0" xfId="1" applyNumberFormat="1" applyFont="1" applyFill="1" applyBorder="1" applyAlignment="1" applyProtection="1">
      <alignment horizontal="left" vertical="center" wrapText="1" indent="3"/>
    </xf>
    <xf numFmtId="164" fontId="0" fillId="0" borderId="0" xfId="0"/>
    <xf numFmtId="164" fontId="0" fillId="0" borderId="0" xfId="0"/>
    <xf numFmtId="164" fontId="60" fillId="2" borderId="0" xfId="0" applyNumberFormat="1" applyFont="1" applyFill="1" applyBorder="1" applyAlignment="1" applyProtection="1">
      <alignment horizontal="center" vertical="center" wrapText="1"/>
    </xf>
    <xf numFmtId="164" fontId="0" fillId="0" borderId="0" xfId="0"/>
    <xf numFmtId="164" fontId="56" fillId="0" borderId="0" xfId="0" applyNumberFormat="1" applyFont="1" applyBorder="1" applyAlignment="1" applyProtection="1">
      <alignment horizontal="left" vertical="top" wrapText="1" indent="3"/>
    </xf>
    <xf numFmtId="164" fontId="56" fillId="0" borderId="0" xfId="1" applyNumberFormat="1" applyFont="1" applyFill="1" applyBorder="1" applyAlignment="1" applyProtection="1">
      <alignment vertical="center" wrapText="1"/>
    </xf>
    <xf numFmtId="0" fontId="52" fillId="0" borderId="0" xfId="0" applyNumberFormat="1" applyFont="1" applyAlignment="1"/>
    <xf numFmtId="164" fontId="52" fillId="0" borderId="0" xfId="0" applyFont="1" applyBorder="1" applyAlignment="1"/>
    <xf numFmtId="164" fontId="20" fillId="12" borderId="0" xfId="0" applyFont="1" applyFill="1" applyBorder="1" applyAlignment="1" applyProtection="1">
      <alignment vertical="center"/>
    </xf>
    <xf numFmtId="164" fontId="6" fillId="13" borderId="0" xfId="4" applyFont="1" applyFill="1" applyBorder="1" applyAlignment="1" applyProtection="1">
      <alignment vertical="center"/>
    </xf>
    <xf numFmtId="164" fontId="62" fillId="12" borderId="0" xfId="0" applyFont="1" applyFill="1" applyAlignment="1" applyProtection="1"/>
    <xf numFmtId="164" fontId="0" fillId="0" borderId="0" xfId="0"/>
    <xf numFmtId="164" fontId="56" fillId="2" borderId="0" xfId="0" quotePrefix="1" applyNumberFormat="1" applyFont="1" applyFill="1" applyBorder="1" applyAlignment="1" applyProtection="1">
      <alignment horizontal="left" vertical="center" wrapText="1" indent="5"/>
    </xf>
    <xf numFmtId="164" fontId="56" fillId="2" borderId="0" xfId="0" quotePrefix="1" applyNumberFormat="1" applyFont="1" applyFill="1" applyBorder="1" applyAlignment="1" applyProtection="1">
      <alignment horizontal="left" wrapText="1" indent="3"/>
    </xf>
    <xf numFmtId="164" fontId="56" fillId="2" borderId="0" xfId="0" applyNumberFormat="1" applyFont="1" applyFill="1" applyBorder="1" applyAlignment="1" applyProtection="1">
      <alignment horizontal="left" wrapText="1" indent="5"/>
    </xf>
    <xf numFmtId="164" fontId="56" fillId="2" borderId="0" xfId="0" applyNumberFormat="1" applyFont="1" applyFill="1" applyBorder="1" applyAlignment="1" applyProtection="1">
      <alignment horizontal="left" vertical="top" wrapText="1" indent="5"/>
    </xf>
    <xf numFmtId="164" fontId="56" fillId="2" borderId="0" xfId="0" applyNumberFormat="1" applyFont="1" applyFill="1" applyBorder="1" applyAlignment="1" applyProtection="1">
      <alignment horizontal="left" vertical="center" wrapText="1" indent="6"/>
    </xf>
    <xf numFmtId="164" fontId="56" fillId="2" borderId="0" xfId="0" applyNumberFormat="1" applyFont="1" applyFill="1" applyBorder="1" applyAlignment="1" applyProtection="1">
      <alignment horizontal="left" vertical="center" wrapText="1" indent="8"/>
    </xf>
    <xf numFmtId="164" fontId="56" fillId="2" borderId="0" xfId="0" applyNumberFormat="1" applyFont="1" applyFill="1" applyBorder="1" applyAlignment="1" applyProtection="1">
      <alignment horizontal="left" wrapText="1"/>
    </xf>
    <xf numFmtId="164" fontId="56" fillId="0" borderId="0" xfId="0" applyNumberFormat="1" applyFont="1" applyFill="1" applyBorder="1" applyAlignment="1" applyProtection="1">
      <alignment horizontal="left" wrapText="1"/>
    </xf>
    <xf numFmtId="164" fontId="60" fillId="2" borderId="0" xfId="0" applyNumberFormat="1" applyFont="1" applyFill="1" applyBorder="1" applyAlignment="1" applyProtection="1">
      <alignment horizontal="left" vertical="center" wrapText="1" indent="12"/>
    </xf>
    <xf numFmtId="164" fontId="56" fillId="0" borderId="0" xfId="0" quotePrefix="1" applyNumberFormat="1" applyFont="1" applyBorder="1" applyAlignment="1" applyProtection="1">
      <alignment horizontal="left" vertical="center" wrapText="1" indent="4"/>
    </xf>
    <xf numFmtId="164" fontId="56" fillId="0" borderId="0" xfId="0" applyNumberFormat="1" applyFont="1" applyBorder="1" applyAlignment="1" applyProtection="1">
      <alignment horizontal="left" vertical="center" wrapText="1" indent="6"/>
    </xf>
    <xf numFmtId="164" fontId="56" fillId="0" borderId="0" xfId="0" applyNumberFormat="1" applyFont="1" applyBorder="1" applyAlignment="1" applyProtection="1">
      <alignment horizontal="left" vertical="top" wrapText="1" indent="2"/>
    </xf>
    <xf numFmtId="164" fontId="56" fillId="0" borderId="0" xfId="0" applyNumberFormat="1" applyFont="1" applyBorder="1" applyAlignment="1" applyProtection="1">
      <alignment vertical="top" wrapText="1"/>
    </xf>
    <xf numFmtId="164" fontId="56" fillId="0" borderId="0" xfId="0" applyNumberFormat="1" applyFont="1" applyBorder="1" applyAlignment="1" applyProtection="1">
      <alignment horizontal="left" wrapText="1" indent="2"/>
    </xf>
    <xf numFmtId="164" fontId="0" fillId="0" borderId="0" xfId="0"/>
    <xf numFmtId="164" fontId="0" fillId="0" borderId="0" xfId="0"/>
    <xf numFmtId="164" fontId="0" fillId="0" borderId="0" xfId="0"/>
    <xf numFmtId="1" fontId="146" fillId="9" borderId="0" xfId="0" applyNumberFormat="1" applyFont="1" applyFill="1" applyBorder="1" applyAlignment="1" applyProtection="1">
      <alignment horizontal="center"/>
    </xf>
    <xf numFmtId="167" fontId="56" fillId="0" borderId="0" xfId="0" quotePrefix="1" applyNumberFormat="1" applyFont="1" applyBorder="1" applyAlignment="1" applyProtection="1">
      <alignment horizontal="left" vertical="center" wrapText="1" indent="3"/>
    </xf>
    <xf numFmtId="167" fontId="56" fillId="0" borderId="0" xfId="0" applyNumberFormat="1" applyFont="1" applyBorder="1" applyAlignment="1" applyProtection="1">
      <alignment horizontal="left" vertical="center" wrapText="1" indent="5"/>
    </xf>
    <xf numFmtId="167" fontId="56" fillId="2" borderId="0" xfId="0" applyNumberFormat="1" applyFont="1" applyFill="1" applyBorder="1" applyAlignment="1" applyProtection="1">
      <alignment horizontal="left" vertical="center" wrapText="1" indent="4"/>
    </xf>
    <xf numFmtId="164" fontId="0" fillId="0" borderId="0" xfId="0"/>
    <xf numFmtId="164" fontId="0" fillId="0" borderId="0" xfId="0"/>
    <xf numFmtId="164" fontId="49" fillId="2" borderId="0" xfId="0" applyFont="1" applyFill="1"/>
    <xf numFmtId="164" fontId="21" fillId="2" borderId="5" xfId="0" applyFont="1" applyFill="1" applyBorder="1"/>
    <xf numFmtId="164" fontId="21" fillId="2" borderId="0" xfId="0" applyFont="1" applyFill="1" applyAlignment="1"/>
    <xf numFmtId="164" fontId="7" fillId="2" borderId="0" xfId="0" applyFont="1" applyFill="1" applyBorder="1"/>
    <xf numFmtId="164" fontId="7" fillId="2" borderId="0" xfId="0" applyFont="1" applyFill="1"/>
    <xf numFmtId="164" fontId="7" fillId="2" borderId="0" xfId="0" applyFont="1" applyFill="1" applyAlignment="1">
      <alignment horizontal="left" indent="3"/>
    </xf>
    <xf numFmtId="164" fontId="149" fillId="2" borderId="0" xfId="0" applyFont="1" applyFill="1" applyAlignment="1">
      <alignment vertical="top" wrapText="1"/>
    </xf>
    <xf numFmtId="0" fontId="15" fillId="2" borderId="0" xfId="0" applyNumberFormat="1" applyFont="1" applyFill="1" applyBorder="1" applyProtection="1">
      <protection locked="0"/>
    </xf>
    <xf numFmtId="164" fontId="0" fillId="2" borderId="94" xfId="0" applyFill="1" applyBorder="1"/>
    <xf numFmtId="164" fontId="0" fillId="2" borderId="95" xfId="0" applyFill="1" applyBorder="1"/>
    <xf numFmtId="164" fontId="0" fillId="2" borderId="96" xfId="0" applyFill="1" applyBorder="1"/>
    <xf numFmtId="164" fontId="7" fillId="2" borderId="96" xfId="0" applyFont="1" applyFill="1" applyBorder="1"/>
    <xf numFmtId="164" fontId="7" fillId="2" borderId="97" xfId="0" applyFont="1" applyFill="1" applyBorder="1"/>
    <xf numFmtId="166" fontId="15" fillId="5" borderId="0" xfId="4" applyNumberFormat="1" applyFont="1" applyFill="1" applyBorder="1" applyAlignment="1">
      <alignment horizontal="left"/>
    </xf>
    <xf numFmtId="164" fontId="148" fillId="2" borderId="0" xfId="0" applyFont="1" applyFill="1" applyBorder="1" applyAlignment="1">
      <alignment horizontal="center" vertical="center" wrapText="1"/>
    </xf>
    <xf numFmtId="167" fontId="10" fillId="5" borderId="0" xfId="4" applyNumberFormat="1" applyFont="1" applyFill="1" applyBorder="1" applyAlignment="1">
      <alignment vertical="center"/>
    </xf>
    <xf numFmtId="167" fontId="15" fillId="5" borderId="0" xfId="4" applyNumberFormat="1" applyFont="1" applyFill="1" applyBorder="1" applyAlignment="1">
      <alignment horizontal="left" vertical="top"/>
    </xf>
    <xf numFmtId="167" fontId="15" fillId="2" borderId="0" xfId="0" applyNumberFormat="1" applyFont="1" applyFill="1" applyBorder="1" applyProtection="1">
      <protection locked="0"/>
    </xf>
    <xf numFmtId="164" fontId="149" fillId="2" borderId="0" xfId="0" applyFont="1" applyFill="1" applyAlignment="1">
      <alignment horizontal="center" vertical="top" wrapText="1"/>
    </xf>
    <xf numFmtId="1" fontId="7" fillId="8" borderId="102" xfId="0" applyNumberFormat="1" applyFont="1" applyFill="1" applyBorder="1" applyAlignment="1">
      <alignment horizontal="center"/>
    </xf>
    <xf numFmtId="164" fontId="10" fillId="7" borderId="103" xfId="0" applyFont="1" applyFill="1" applyBorder="1" applyAlignment="1"/>
    <xf numFmtId="164" fontId="7" fillId="2" borderId="0" xfId="0" applyFont="1" applyFill="1" applyAlignment="1">
      <alignment horizontal="center" vertical="center"/>
    </xf>
    <xf numFmtId="164" fontId="7" fillId="0" borderId="0" xfId="0" applyFont="1" applyAlignment="1">
      <alignment horizontal="center" vertical="center"/>
    </xf>
    <xf numFmtId="167" fontId="10" fillId="14" borderId="0" xfId="4" applyNumberFormat="1" applyFont="1" applyFill="1" applyBorder="1" applyAlignment="1">
      <alignment vertical="center" wrapText="1"/>
    </xf>
    <xf numFmtId="0" fontId="7" fillId="2" borderId="0" xfId="0" applyNumberFormat="1" applyFont="1" applyFill="1" applyAlignment="1">
      <alignment horizontal="left" vertical="top" wrapText="1"/>
    </xf>
    <xf numFmtId="164" fontId="7" fillId="2" borderId="105" xfId="0" applyFont="1" applyFill="1" applyBorder="1" applyAlignment="1">
      <alignment horizontal="left" indent="3"/>
    </xf>
    <xf numFmtId="164" fontId="7" fillId="2" borderId="105" xfId="0" applyFont="1" applyFill="1" applyBorder="1"/>
    <xf numFmtId="164" fontId="7" fillId="2" borderId="108" xfId="0" applyFont="1" applyFill="1" applyBorder="1"/>
    <xf numFmtId="0" fontId="15" fillId="2" borderId="108" xfId="0" applyNumberFormat="1" applyFont="1" applyFill="1" applyBorder="1" applyProtection="1">
      <protection locked="0"/>
    </xf>
    <xf numFmtId="167" fontId="15" fillId="2" borderId="108" xfId="0" applyNumberFormat="1" applyFont="1" applyFill="1" applyBorder="1" applyProtection="1">
      <protection locked="0"/>
    </xf>
    <xf numFmtId="0" fontId="7" fillId="2" borderId="0" xfId="0" applyNumberFormat="1" applyFont="1" applyFill="1" applyBorder="1" applyAlignment="1">
      <alignment horizontal="left" vertical="top" wrapText="1"/>
    </xf>
    <xf numFmtId="164" fontId="0" fillId="2" borderId="109" xfId="0" applyFill="1" applyBorder="1"/>
    <xf numFmtId="164" fontId="7" fillId="2" borderId="0" xfId="0" applyFont="1" applyFill="1" applyBorder="1" applyAlignment="1">
      <alignment horizontal="left" indent="3"/>
    </xf>
    <xf numFmtId="0" fontId="15" fillId="9" borderId="111" xfId="0" applyNumberFormat="1" applyFont="1" applyFill="1" applyBorder="1" applyAlignment="1" applyProtection="1">
      <alignment horizontal="left" indent="1"/>
      <protection locked="0"/>
    </xf>
    <xf numFmtId="0" fontId="147" fillId="9" borderId="110" xfId="1" applyFont="1" applyFill="1" applyBorder="1" applyAlignment="1" applyProtection="1">
      <alignment horizontal="left" indent="1"/>
    </xf>
    <xf numFmtId="164" fontId="0" fillId="9" borderId="106" xfId="0" applyFont="1" applyFill="1" applyBorder="1" applyAlignment="1">
      <alignment horizontal="left" indent="1"/>
    </xf>
    <xf numFmtId="164" fontId="14" fillId="5" borderId="0" xfId="4" applyFont="1" applyFill="1" applyBorder="1" applyAlignment="1">
      <alignment horizontal="left"/>
    </xf>
    <xf numFmtId="167" fontId="7" fillId="2" borderId="0" xfId="0" applyNumberFormat="1" applyFont="1" applyFill="1"/>
    <xf numFmtId="1" fontId="7" fillId="2" borderId="0" xfId="0" applyNumberFormat="1" applyFont="1" applyFill="1"/>
    <xf numFmtId="167" fontId="15" fillId="5" borderId="0" xfId="4" applyNumberFormat="1" applyFont="1" applyFill="1" applyBorder="1" applyAlignment="1">
      <alignment horizontal="right"/>
    </xf>
    <xf numFmtId="164" fontId="14" fillId="5" borderId="0" xfId="4" applyFont="1" applyFill="1" applyBorder="1" applyAlignment="1">
      <alignment horizontal="right"/>
    </xf>
    <xf numFmtId="164" fontId="16" fillId="5" borderId="0" xfId="4" applyFont="1" applyFill="1" applyBorder="1"/>
    <xf numFmtId="164" fontId="14" fillId="5" borderId="0" xfId="4" applyFont="1" applyFill="1" applyBorder="1"/>
    <xf numFmtId="167" fontId="8" fillId="5" borderId="0" xfId="4" applyNumberFormat="1" applyFont="1" applyFill="1" applyBorder="1"/>
    <xf numFmtId="167" fontId="14" fillId="5" borderId="0" xfId="4" applyNumberFormat="1" applyFont="1" applyFill="1" applyBorder="1" applyAlignment="1">
      <alignment horizontal="right"/>
    </xf>
    <xf numFmtId="167" fontId="10" fillId="5" borderId="0" xfId="3" applyNumberFormat="1" applyFont="1" applyFill="1" applyBorder="1" applyAlignment="1" applyProtection="1">
      <alignment vertical="top"/>
    </xf>
    <xf numFmtId="167" fontId="13" fillId="5" borderId="0" xfId="4" applyNumberFormat="1" applyFont="1" applyFill="1" applyBorder="1" applyAlignment="1">
      <alignment horizontal="right"/>
    </xf>
    <xf numFmtId="167" fontId="13" fillId="5" borderId="0" xfId="4" applyNumberFormat="1" applyFont="1" applyFill="1" applyBorder="1"/>
    <xf numFmtId="166" fontId="15" fillId="17" borderId="102" xfId="4" applyNumberFormat="1" applyFont="1" applyFill="1" applyBorder="1" applyAlignment="1">
      <alignment horizontal="left"/>
    </xf>
    <xf numFmtId="166" fontId="15" fillId="17" borderId="103" xfId="4" applyNumberFormat="1" applyFont="1" applyFill="1" applyBorder="1" applyAlignment="1">
      <alignment horizontal="left"/>
    </xf>
    <xf numFmtId="166" fontId="15" fillId="17" borderId="104" xfId="4" applyNumberFormat="1" applyFont="1" applyFill="1" applyBorder="1" applyAlignment="1">
      <alignment horizontal="left"/>
    </xf>
    <xf numFmtId="164" fontId="151" fillId="10" borderId="18" xfId="0" applyFont="1" applyFill="1" applyBorder="1" applyAlignment="1">
      <alignment horizontal="justify"/>
    </xf>
    <xf numFmtId="164" fontId="151" fillId="10" borderId="113" xfId="0" applyFont="1" applyFill="1" applyBorder="1" applyAlignment="1">
      <alignment horizontal="justify"/>
    </xf>
    <xf numFmtId="164" fontId="151" fillId="10" borderId="113" xfId="0" applyFont="1" applyFill="1" applyBorder="1"/>
    <xf numFmtId="164" fontId="151" fillId="10" borderId="19" xfId="0" applyFont="1" applyFill="1" applyBorder="1"/>
    <xf numFmtId="166" fontId="15" fillId="15" borderId="18" xfId="4" applyNumberFormat="1" applyFont="1" applyFill="1" applyBorder="1" applyAlignment="1">
      <alignment horizontal="left"/>
    </xf>
    <xf numFmtId="166" fontId="15" fillId="15" borderId="113" xfId="4" applyNumberFormat="1" applyFont="1" applyFill="1" applyBorder="1" applyAlignment="1">
      <alignment horizontal="left"/>
    </xf>
    <xf numFmtId="164" fontId="150" fillId="8" borderId="0" xfId="0" applyFont="1" applyFill="1" applyBorder="1" applyAlignment="1">
      <alignment vertical="center" wrapText="1"/>
    </xf>
    <xf numFmtId="166" fontId="15" fillId="15" borderId="19" xfId="4" applyNumberFormat="1" applyFont="1" applyFill="1" applyBorder="1" applyAlignment="1">
      <alignment horizontal="left"/>
    </xf>
    <xf numFmtId="164" fontId="0" fillId="0" borderId="0" xfId="0"/>
    <xf numFmtId="164" fontId="0" fillId="2" borderId="0" xfId="0" applyFill="1" applyAlignment="1">
      <alignment horizontal="center"/>
    </xf>
    <xf numFmtId="164" fontId="21" fillId="2" borderId="0" xfId="0" applyFont="1" applyFill="1"/>
    <xf numFmtId="164" fontId="150" fillId="2" borderId="0" xfId="0" applyFont="1" applyFill="1" applyAlignment="1">
      <alignment vertical="center"/>
    </xf>
    <xf numFmtId="166" fontId="15" fillId="17" borderId="18" xfId="4" applyNumberFormat="1" applyFont="1" applyFill="1" applyBorder="1" applyAlignment="1">
      <alignment horizontal="left"/>
    </xf>
    <xf numFmtId="166" fontId="15" fillId="17" borderId="113" xfId="4" applyNumberFormat="1" applyFont="1" applyFill="1" applyBorder="1" applyAlignment="1">
      <alignment horizontal="left"/>
    </xf>
    <xf numFmtId="166" fontId="15" fillId="17" borderId="19" xfId="4" applyNumberFormat="1" applyFont="1" applyFill="1" applyBorder="1" applyAlignment="1">
      <alignment horizontal="left"/>
    </xf>
    <xf numFmtId="167" fontId="152" fillId="29" borderId="0" xfId="3" applyNumberFormat="1" applyFont="1" applyFill="1" applyBorder="1" applyAlignment="1" applyProtection="1">
      <alignment vertical="top" wrapText="1"/>
    </xf>
    <xf numFmtId="167" fontId="10" fillId="14" borderId="0" xfId="3" applyNumberFormat="1" applyFont="1" applyFill="1" applyBorder="1" applyAlignment="1" applyProtection="1">
      <alignment horizontal="center" vertical="top" wrapText="1"/>
    </xf>
    <xf numFmtId="164" fontId="21" fillId="2" borderId="0" xfId="0" applyFont="1" applyFill="1" applyAlignment="1">
      <alignment horizontal="center"/>
    </xf>
    <xf numFmtId="164" fontId="21" fillId="2" borderId="0" xfId="0" applyFont="1" applyFill="1" applyBorder="1"/>
    <xf numFmtId="166" fontId="15" fillId="10" borderId="102" xfId="0" applyNumberFormat="1" applyFont="1" applyFill="1" applyBorder="1" applyAlignment="1" applyProtection="1">
      <alignment horizontal="left"/>
      <protection locked="0"/>
    </xf>
    <xf numFmtId="1" fontId="150" fillId="8" borderId="18" xfId="0" applyNumberFormat="1" applyFont="1" applyFill="1" applyBorder="1" applyAlignment="1">
      <alignment horizontal="center" wrapText="1"/>
    </xf>
    <xf numFmtId="166" fontId="15" fillId="31" borderId="113" xfId="4" applyNumberFormat="1" applyFont="1" applyFill="1" applyBorder="1" applyAlignment="1">
      <alignment horizontal="left"/>
    </xf>
    <xf numFmtId="166" fontId="15" fillId="31" borderId="19" xfId="4" applyNumberFormat="1" applyFont="1" applyFill="1" applyBorder="1" applyAlignment="1">
      <alignment horizontal="left"/>
    </xf>
    <xf numFmtId="167" fontId="8" fillId="5" borderId="0" xfId="4" applyNumberFormat="1" applyFont="1" applyFill="1" applyBorder="1" applyAlignment="1">
      <alignment vertical="center"/>
    </xf>
    <xf numFmtId="164" fontId="11" fillId="2" borderId="0" xfId="0" applyFont="1" applyFill="1" applyBorder="1" applyAlignment="1"/>
    <xf numFmtId="164" fontId="150" fillId="8" borderId="0" xfId="0" applyFont="1" applyFill="1" applyAlignment="1">
      <alignment horizontal="center" vertical="center"/>
    </xf>
    <xf numFmtId="164" fontId="13" fillId="2" borderId="0" xfId="0" applyFont="1" applyFill="1"/>
    <xf numFmtId="167" fontId="152" fillId="29" borderId="114" xfId="3" applyNumberFormat="1" applyFont="1" applyFill="1" applyBorder="1" applyAlignment="1" applyProtection="1">
      <alignment vertical="top" wrapText="1"/>
    </xf>
    <xf numFmtId="167" fontId="152" fillId="29" borderId="102" xfId="3" applyNumberFormat="1" applyFont="1" applyFill="1" applyBorder="1" applyAlignment="1" applyProtection="1">
      <alignment vertical="top" wrapText="1"/>
    </xf>
    <xf numFmtId="164" fontId="0" fillId="2" borderId="0" xfId="0" applyFill="1" applyBorder="1" applyAlignment="1">
      <alignment horizontal="left" vertical="top" indent="4"/>
    </xf>
    <xf numFmtId="164" fontId="21" fillId="2" borderId="0" xfId="0" applyFont="1" applyFill="1" applyBorder="1" applyAlignment="1">
      <alignment horizontal="left"/>
    </xf>
    <xf numFmtId="164" fontId="0" fillId="2" borderId="0" xfId="0" applyFill="1" applyAlignment="1">
      <alignment horizontal="left" indent="2"/>
    </xf>
    <xf numFmtId="0" fontId="27" fillId="7" borderId="0" xfId="0" applyNumberFormat="1" applyFont="1" applyFill="1" applyBorder="1" applyAlignment="1" applyProtection="1">
      <alignment horizontal="left"/>
    </xf>
    <xf numFmtId="164" fontId="0" fillId="0" borderId="0" xfId="0"/>
    <xf numFmtId="164" fontId="0" fillId="2" borderId="0" xfId="0" applyFill="1" applyAlignment="1">
      <alignment horizontal="left" indent="1"/>
    </xf>
    <xf numFmtId="164" fontId="0" fillId="2" borderId="0" xfId="0" applyFill="1" applyBorder="1" applyAlignment="1">
      <alignment horizontal="left" vertical="top" indent="1"/>
    </xf>
    <xf numFmtId="164" fontId="0" fillId="2" borderId="0" xfId="0" applyFill="1" applyAlignment="1">
      <alignment horizontal="right" vertical="top"/>
    </xf>
    <xf numFmtId="164" fontId="0" fillId="0" borderId="0" xfId="0" quotePrefix="1" applyAlignment="1">
      <alignment vertical="top"/>
    </xf>
    <xf numFmtId="164" fontId="154" fillId="2" borderId="7" xfId="0" applyFont="1" applyFill="1" applyBorder="1" applyAlignment="1">
      <alignment horizontal="center" vertical="center"/>
    </xf>
    <xf numFmtId="164" fontId="24" fillId="2" borderId="7" xfId="0" applyFont="1" applyFill="1" applyBorder="1" applyAlignment="1">
      <alignment horizontal="center" vertical="center"/>
    </xf>
    <xf numFmtId="164" fontId="0" fillId="2" borderId="0" xfId="0" quotePrefix="1" applyFill="1" applyAlignment="1">
      <alignment vertical="top"/>
    </xf>
    <xf numFmtId="164" fontId="0" fillId="2" borderId="4" xfId="0" applyFill="1" applyBorder="1"/>
    <xf numFmtId="164" fontId="114" fillId="2" borderId="0" xfId="0" applyFont="1" applyFill="1" applyBorder="1" applyAlignment="1">
      <alignment horizontal="left" vertical="top" wrapText="1"/>
    </xf>
    <xf numFmtId="164" fontId="143" fillId="2" borderId="2" xfId="0" applyFont="1" applyFill="1" applyBorder="1" applyAlignment="1">
      <alignment horizontal="center" vertical="center"/>
    </xf>
    <xf numFmtId="164" fontId="21" fillId="2" borderId="10" xfId="0" applyFont="1" applyFill="1" applyBorder="1" applyAlignment="1"/>
    <xf numFmtId="164" fontId="0" fillId="2" borderId="0" xfId="0" quotePrefix="1" applyFill="1" applyAlignment="1">
      <alignment horizontal="left" indent="2"/>
    </xf>
    <xf numFmtId="164" fontId="155" fillId="32" borderId="115" xfId="0" applyFont="1" applyFill="1" applyBorder="1" applyAlignment="1">
      <alignment horizontal="center" vertical="center"/>
    </xf>
    <xf numFmtId="164" fontId="155" fillId="32" borderId="7" xfId="0" applyFont="1" applyFill="1" applyBorder="1" applyAlignment="1">
      <alignment horizontal="center" vertical="center"/>
    </xf>
    <xf numFmtId="164" fontId="21" fillId="2" borderId="0" xfId="0" applyFont="1" applyFill="1" applyBorder="1" applyAlignment="1">
      <alignment horizontal="center"/>
    </xf>
    <xf numFmtId="1" fontId="0" fillId="2" borderId="0" xfId="0" applyNumberFormat="1" applyFill="1" applyAlignment="1">
      <alignment horizontal="left" indent="4"/>
    </xf>
    <xf numFmtId="164" fontId="20" fillId="2" borderId="0" xfId="0" applyFont="1" applyFill="1" applyAlignment="1">
      <alignment horizontal="left"/>
    </xf>
    <xf numFmtId="164" fontId="56" fillId="0" borderId="0" xfId="1" applyNumberFormat="1" applyFont="1" applyFill="1" applyBorder="1" applyAlignment="1" applyProtection="1">
      <alignment horizontal="left" vertical="center" wrapText="1" indent="3"/>
    </xf>
    <xf numFmtId="164" fontId="56" fillId="0" borderId="0" xfId="0" quotePrefix="1" applyNumberFormat="1" applyFont="1" applyFill="1" applyBorder="1" applyAlignment="1" applyProtection="1">
      <alignment horizontal="left" vertical="center" wrapText="1" indent="1"/>
    </xf>
    <xf numFmtId="164" fontId="156" fillId="2" borderId="0" xfId="0" applyFont="1" applyFill="1" applyBorder="1" applyProtection="1"/>
    <xf numFmtId="164" fontId="56" fillId="2" borderId="0" xfId="0" quotePrefix="1" applyNumberFormat="1" applyFont="1" applyFill="1" applyBorder="1" applyAlignment="1" applyProtection="1">
      <alignment horizontal="left" wrapText="1" indent="4"/>
    </xf>
    <xf numFmtId="0" fontId="56" fillId="0" borderId="0" xfId="0" applyNumberFormat="1" applyFont="1" applyFill="1" applyBorder="1" applyAlignment="1" applyProtection="1">
      <alignment wrapText="1"/>
    </xf>
    <xf numFmtId="0" fontId="56" fillId="2" borderId="2" xfId="0" applyNumberFormat="1" applyFont="1" applyFill="1" applyBorder="1" applyAlignment="1" applyProtection="1">
      <alignment vertical="center" wrapText="1"/>
      <protection locked="0"/>
    </xf>
    <xf numFmtId="164" fontId="0" fillId="0" borderId="0" xfId="0" applyFont="1" applyBorder="1" applyAlignment="1"/>
    <xf numFmtId="164" fontId="0" fillId="0" borderId="0" xfId="0" applyFont="1" applyAlignment="1"/>
    <xf numFmtId="1" fontId="6" fillId="9" borderId="0" xfId="0" applyNumberFormat="1" applyFont="1" applyFill="1" applyBorder="1" applyAlignment="1" applyProtection="1"/>
    <xf numFmtId="164" fontId="5" fillId="13" borderId="0" xfId="4" applyFont="1" applyFill="1" applyBorder="1" applyAlignment="1" applyProtection="1">
      <alignment vertical="center"/>
    </xf>
    <xf numFmtId="164" fontId="56" fillId="2" borderId="0" xfId="0" applyNumberFormat="1" applyFont="1" applyFill="1" applyBorder="1" applyAlignment="1" applyProtection="1">
      <alignment horizontal="left" vertical="top" wrapText="1" indent="4"/>
    </xf>
    <xf numFmtId="164" fontId="56" fillId="2" borderId="0" xfId="0" quotePrefix="1" applyNumberFormat="1" applyFont="1" applyFill="1" applyBorder="1" applyAlignment="1" applyProtection="1">
      <alignment horizontal="left" vertical="top" wrapText="1" indent="4"/>
    </xf>
    <xf numFmtId="164" fontId="56" fillId="0" borderId="0" xfId="0" applyNumberFormat="1" applyFont="1" applyBorder="1" applyAlignment="1" applyProtection="1">
      <alignment horizontal="left" vertical="center" wrapText="1" indent="3"/>
    </xf>
    <xf numFmtId="164" fontId="56" fillId="0" borderId="0" xfId="0" applyNumberFormat="1" applyFont="1" applyBorder="1" applyAlignment="1" applyProtection="1">
      <alignment horizontal="left" vertical="center" wrapText="1" indent="5"/>
    </xf>
    <xf numFmtId="164" fontId="157" fillId="0" borderId="0" xfId="0" applyNumberFormat="1" applyFont="1" applyBorder="1" applyAlignment="1" applyProtection="1">
      <alignment horizontal="left" wrapText="1" indent="5"/>
    </xf>
    <xf numFmtId="0" fontId="74" fillId="2" borderId="0" xfId="1" applyNumberFormat="1" applyFont="1" applyFill="1" applyBorder="1" applyAlignment="1" applyProtection="1">
      <alignment wrapText="1"/>
    </xf>
    <xf numFmtId="164" fontId="0" fillId="0" borderId="0" xfId="0"/>
    <xf numFmtId="164" fontId="158" fillId="2" borderId="0" xfId="0" applyFont="1" applyFill="1"/>
    <xf numFmtId="164" fontId="56" fillId="2" borderId="0" xfId="0" quotePrefix="1" applyFont="1" applyFill="1" applyAlignment="1">
      <alignment horizontal="left" vertical="center" indent="2"/>
    </xf>
    <xf numFmtId="167" fontId="56" fillId="2" borderId="0" xfId="1" applyNumberFormat="1" applyFont="1" applyFill="1" applyBorder="1" applyAlignment="1" applyProtection="1">
      <alignment horizontal="left" vertical="center" wrapText="1" indent="3"/>
    </xf>
    <xf numFmtId="164" fontId="56" fillId="2" borderId="0" xfId="0" applyFont="1" applyFill="1" applyAlignment="1" applyProtection="1">
      <alignment horizontal="left" vertical="center" indent="2"/>
    </xf>
    <xf numFmtId="164" fontId="56" fillId="2" borderId="0" xfId="0" quotePrefix="1" applyFont="1" applyFill="1" applyAlignment="1" applyProtection="1">
      <alignment horizontal="left" vertical="center" indent="2"/>
      <protection locked="0"/>
    </xf>
    <xf numFmtId="164" fontId="56" fillId="2" borderId="0" xfId="0" applyFont="1" applyFill="1" applyAlignment="1" applyProtection="1">
      <alignment horizontal="left" vertical="center" indent="1"/>
    </xf>
    <xf numFmtId="0" fontId="74" fillId="2" borderId="0" xfId="1" applyNumberFormat="1" applyFont="1" applyFill="1" applyBorder="1" applyAlignment="1" applyProtection="1">
      <alignment horizontal="left" wrapText="1" indent="4"/>
    </xf>
    <xf numFmtId="164" fontId="56" fillId="0" borderId="0" xfId="0" applyNumberFormat="1" applyFont="1" applyBorder="1" applyAlignment="1" applyProtection="1">
      <alignment horizontal="left" vertical="top" wrapText="1" indent="1"/>
    </xf>
    <xf numFmtId="164" fontId="62" fillId="12" borderId="0" xfId="0" applyFont="1" applyFill="1" applyBorder="1" applyAlignment="1" applyProtection="1">
      <alignment horizontal="center" vertical="center"/>
    </xf>
    <xf numFmtId="1" fontId="62" fillId="9" borderId="0" xfId="0" applyNumberFormat="1" applyFont="1" applyFill="1" applyAlignment="1" applyProtection="1">
      <alignment horizontal="left"/>
    </xf>
    <xf numFmtId="1" fontId="62" fillId="12" borderId="0" xfId="0" applyNumberFormat="1" applyFont="1" applyFill="1" applyBorder="1" applyAlignment="1" applyProtection="1">
      <alignment horizontal="center" vertical="center"/>
    </xf>
    <xf numFmtId="164" fontId="62" fillId="13" borderId="0" xfId="4" applyFont="1" applyFill="1" applyBorder="1" applyAlignment="1" applyProtection="1">
      <alignment horizontal="center" vertical="center"/>
    </xf>
    <xf numFmtId="1" fontId="62" fillId="11" borderId="0" xfId="4" applyNumberFormat="1" applyFont="1" applyFill="1" applyBorder="1" applyAlignment="1" applyProtection="1">
      <alignment horizontal="left" wrapText="1"/>
    </xf>
    <xf numFmtId="1" fontId="62" fillId="11" borderId="0" xfId="4" applyNumberFormat="1" applyFont="1" applyFill="1" applyBorder="1" applyAlignment="1" applyProtection="1">
      <alignment horizontal="left" vertical="center" wrapText="1"/>
    </xf>
    <xf numFmtId="164" fontId="62" fillId="11" borderId="0" xfId="4" applyFont="1" applyFill="1" applyBorder="1" applyAlignment="1" applyProtection="1">
      <alignment horizontal="left" vertical="center" wrapText="1"/>
    </xf>
    <xf numFmtId="164" fontId="62" fillId="13" borderId="0" xfId="4" applyFont="1" applyFill="1" applyBorder="1" applyAlignment="1" applyProtection="1">
      <alignment horizontal="left" vertical="center" wrapText="1"/>
    </xf>
    <xf numFmtId="164" fontId="62" fillId="11" borderId="0" xfId="4" applyFont="1" applyFill="1" applyBorder="1" applyAlignment="1" applyProtection="1">
      <alignment horizontal="left" vertical="center"/>
    </xf>
    <xf numFmtId="164" fontId="62" fillId="13" borderId="0" xfId="4" applyFont="1" applyFill="1" applyBorder="1" applyAlignment="1" applyProtection="1">
      <alignment horizontal="center" vertical="center" wrapText="1"/>
    </xf>
    <xf numFmtId="167" fontId="62" fillId="11" borderId="0" xfId="4" applyNumberFormat="1" applyFont="1" applyFill="1" applyBorder="1" applyAlignment="1" applyProtection="1">
      <alignment horizontal="left" vertical="center"/>
    </xf>
    <xf numFmtId="0" fontId="62" fillId="13" borderId="0" xfId="4" applyNumberFormat="1" applyFont="1" applyFill="1" applyBorder="1" applyAlignment="1" applyProtection="1">
      <alignment horizontal="center" vertical="center" wrapText="1"/>
    </xf>
    <xf numFmtId="1" fontId="62" fillId="13" borderId="0" xfId="4" applyNumberFormat="1" applyFont="1" applyFill="1" applyBorder="1" applyAlignment="1" applyProtection="1">
      <alignment horizontal="center" vertical="center" wrapText="1"/>
    </xf>
    <xf numFmtId="164" fontId="62" fillId="12" borderId="0" xfId="0" applyFont="1" applyFill="1" applyBorder="1" applyAlignment="1" applyProtection="1">
      <alignment horizontal="center" vertical="top"/>
    </xf>
    <xf numFmtId="1" fontId="62" fillId="13" borderId="0" xfId="4" applyNumberFormat="1" applyFont="1" applyFill="1" applyBorder="1" applyAlignment="1" applyProtection="1">
      <alignment horizontal="left" vertical="center"/>
    </xf>
    <xf numFmtId="167" fontId="62" fillId="13" borderId="0" xfId="4" applyNumberFormat="1" applyFont="1" applyFill="1" applyBorder="1" applyAlignment="1" applyProtection="1">
      <alignment horizontal="center" vertical="center"/>
    </xf>
    <xf numFmtId="164" fontId="62" fillId="11" borderId="0" xfId="4" applyFont="1" applyFill="1" applyBorder="1" applyAlignment="1" applyProtection="1">
      <alignment horizontal="left" vertical="center" wrapText="1" indent="2"/>
    </xf>
    <xf numFmtId="164" fontId="62" fillId="11" borderId="0" xfId="4" applyFont="1" applyFill="1" applyBorder="1" applyAlignment="1" applyProtection="1">
      <alignment horizontal="left" vertical="center" indent="1"/>
    </xf>
    <xf numFmtId="164" fontId="62" fillId="13" borderId="0" xfId="4" applyFont="1" applyFill="1" applyBorder="1" applyAlignment="1" applyProtection="1">
      <alignment horizontal="left" vertical="center"/>
    </xf>
    <xf numFmtId="165" fontId="62" fillId="13" borderId="0" xfId="4" applyNumberFormat="1" applyFont="1" applyFill="1" applyBorder="1" applyAlignment="1" applyProtection="1">
      <alignment horizontal="left" vertical="center"/>
    </xf>
    <xf numFmtId="164" fontId="62" fillId="11" borderId="0" xfId="4" applyFont="1" applyFill="1" applyBorder="1" applyAlignment="1" applyProtection="1">
      <alignment vertical="center" wrapText="1"/>
    </xf>
    <xf numFmtId="164" fontId="62" fillId="12" borderId="0" xfId="0" applyFont="1" applyFill="1" applyBorder="1" applyAlignment="1" applyProtection="1">
      <alignment horizontal="left" vertical="center"/>
    </xf>
    <xf numFmtId="166" fontId="159" fillId="13" borderId="0" xfId="4" applyNumberFormat="1" applyFont="1" applyFill="1" applyBorder="1" applyAlignment="1" applyProtection="1">
      <alignment horizontal="center" vertical="center"/>
    </xf>
    <xf numFmtId="164" fontId="62" fillId="9" borderId="0" xfId="0" applyNumberFormat="1" applyFont="1" applyFill="1" applyBorder="1" applyAlignment="1" applyProtection="1">
      <alignment horizontal="left" vertical="center" wrapText="1" indent="1"/>
    </xf>
    <xf numFmtId="164" fontId="62" fillId="9" borderId="0" xfId="0" applyFont="1" applyFill="1" applyProtection="1"/>
    <xf numFmtId="0" fontId="62" fillId="19" borderId="0" xfId="1" applyNumberFormat="1" applyFont="1" applyFill="1" applyBorder="1" applyAlignment="1" applyProtection="1">
      <alignment horizontal="left" vertical="center" wrapText="1" indent="2"/>
    </xf>
    <xf numFmtId="167" fontId="62" fillId="11" borderId="0" xfId="4" applyNumberFormat="1" applyFont="1" applyFill="1" applyBorder="1" applyAlignment="1" applyProtection="1">
      <alignment horizontal="left" vertical="center" wrapText="1"/>
    </xf>
    <xf numFmtId="164" fontId="62" fillId="13" borderId="0" xfId="4" applyFont="1" applyFill="1" applyBorder="1" applyAlignment="1" applyProtection="1">
      <alignment vertical="center"/>
    </xf>
    <xf numFmtId="164" fontId="62" fillId="11" borderId="0" xfId="4" applyFont="1" applyFill="1" applyBorder="1" applyAlignment="1" applyProtection="1">
      <alignment horizontal="left"/>
    </xf>
    <xf numFmtId="167" fontId="62" fillId="13" borderId="0" xfId="4" applyNumberFormat="1" applyFont="1" applyFill="1" applyBorder="1" applyAlignment="1" applyProtection="1">
      <alignment horizontal="left" vertical="center"/>
    </xf>
    <xf numFmtId="164" fontId="62" fillId="9" borderId="0" xfId="4" applyFont="1" applyFill="1" applyBorder="1" applyAlignment="1" applyProtection="1">
      <alignment horizontal="left" vertical="center"/>
    </xf>
    <xf numFmtId="0" fontId="62" fillId="12" borderId="0" xfId="0" applyNumberFormat="1" applyFont="1" applyFill="1" applyBorder="1" applyAlignment="1" applyProtection="1">
      <alignment horizontal="left" vertical="center"/>
    </xf>
    <xf numFmtId="166" fontId="62" fillId="5" borderId="0" xfId="4" applyNumberFormat="1" applyFont="1" applyFill="1" applyBorder="1" applyAlignment="1" applyProtection="1">
      <alignment horizontal="center" vertical="center"/>
    </xf>
    <xf numFmtId="1" fontId="56" fillId="2" borderId="0" xfId="0" applyNumberFormat="1" applyFont="1" applyFill="1" applyBorder="1" applyAlignment="1" applyProtection="1">
      <alignment horizontal="center" vertical="center"/>
    </xf>
    <xf numFmtId="164" fontId="0" fillId="0" borderId="0" xfId="0"/>
    <xf numFmtId="0" fontId="27" fillId="7" borderId="0" xfId="0" applyNumberFormat="1" applyFont="1" applyFill="1" applyBorder="1" applyAlignment="1" applyProtection="1">
      <alignment horizontal="left"/>
    </xf>
    <xf numFmtId="164" fontId="0" fillId="0" borderId="0" xfId="0" applyAlignment="1">
      <alignment horizontal="center"/>
    </xf>
    <xf numFmtId="164" fontId="134" fillId="12" borderId="0" xfId="0" applyFont="1" applyFill="1" applyAlignment="1">
      <alignment horizontal="center" wrapText="1"/>
    </xf>
    <xf numFmtId="164" fontId="118" fillId="9" borderId="0" xfId="0" applyNumberFormat="1" applyFont="1" applyFill="1" applyBorder="1" applyAlignment="1" applyProtection="1">
      <alignment vertical="center" wrapText="1"/>
    </xf>
    <xf numFmtId="164" fontId="0" fillId="2" borderId="0" xfId="0" applyFill="1" applyAlignment="1">
      <alignment horizontal="left" vertical="top" wrapText="1"/>
    </xf>
    <xf numFmtId="0" fontId="0" fillId="2" borderId="0" xfId="0" applyNumberFormat="1" applyFill="1" applyAlignment="1">
      <alignment horizontal="left" vertical="top" wrapText="1"/>
    </xf>
    <xf numFmtId="164" fontId="97" fillId="2" borderId="0" xfId="0" applyFont="1" applyFill="1" applyBorder="1" applyAlignment="1">
      <alignment horizontal="left"/>
    </xf>
    <xf numFmtId="164" fontId="0" fillId="2" borderId="0" xfId="0" applyFill="1" applyAlignment="1">
      <alignment horizontal="center"/>
    </xf>
    <xf numFmtId="166" fontId="72" fillId="2" borderId="2" xfId="0" applyNumberFormat="1" applyFont="1" applyFill="1" applyBorder="1" applyAlignment="1" applyProtection="1">
      <alignment horizontal="center" vertical="center"/>
    </xf>
    <xf numFmtId="164" fontId="160" fillId="2" borderId="0" xfId="0" applyFont="1" applyFill="1" applyBorder="1" applyAlignment="1">
      <alignment horizontal="left"/>
    </xf>
    <xf numFmtId="164" fontId="154" fillId="2" borderId="0" xfId="0" applyFont="1" applyFill="1" applyBorder="1" applyAlignment="1">
      <alignment horizontal="center" vertical="center"/>
    </xf>
    <xf numFmtId="0" fontId="134" fillId="2" borderId="0" xfId="0" applyNumberFormat="1" applyFont="1" applyFill="1" applyAlignment="1">
      <alignment horizontal="left" wrapText="1"/>
    </xf>
    <xf numFmtId="164" fontId="97" fillId="2" borderId="11" xfId="0" applyNumberFormat="1" applyFont="1" applyFill="1" applyBorder="1" applyAlignment="1" applyProtection="1">
      <alignment horizontal="center" vertical="center" wrapText="1"/>
      <protection locked="0"/>
    </xf>
    <xf numFmtId="0" fontId="20" fillId="33" borderId="0" xfId="0" applyNumberFormat="1" applyFont="1" applyFill="1" applyAlignment="1">
      <alignment horizontal="center" vertical="top" wrapText="1"/>
    </xf>
    <xf numFmtId="164" fontId="0" fillId="2" borderId="0" xfId="0" applyFill="1" applyAlignment="1">
      <alignment horizontal="left"/>
    </xf>
    <xf numFmtId="164" fontId="0" fillId="2" borderId="0" xfId="0" applyFill="1" applyAlignment="1">
      <alignment horizontal="left" wrapText="1"/>
    </xf>
    <xf numFmtId="164" fontId="0" fillId="12" borderId="0" xfId="0" applyFill="1" applyAlignment="1"/>
    <xf numFmtId="164" fontId="0" fillId="12" borderId="0" xfId="0" applyFill="1" applyAlignment="1">
      <alignment vertical="center"/>
    </xf>
    <xf numFmtId="164" fontId="0" fillId="12" borderId="0" xfId="0" applyFill="1" applyAlignment="1">
      <alignment vertical="top"/>
    </xf>
    <xf numFmtId="164" fontId="0" fillId="12" borderId="0" xfId="0" applyFill="1" applyAlignment="1">
      <alignment horizontal="center" vertical="center"/>
    </xf>
    <xf numFmtId="164" fontId="0" fillId="12" borderId="52" xfId="0" applyFill="1" applyBorder="1"/>
    <xf numFmtId="164" fontId="0" fillId="12" borderId="0" xfId="0" applyFill="1" applyAlignment="1">
      <alignment horizontal="left" vertical="center" indent="1"/>
    </xf>
    <xf numFmtId="166" fontId="6" fillId="5" borderId="0" xfId="4" applyNumberFormat="1" applyFont="1" applyFill="1" applyBorder="1" applyAlignment="1" applyProtection="1">
      <alignment horizontal="center"/>
    </xf>
    <xf numFmtId="167" fontId="18" fillId="2" borderId="0" xfId="0" applyNumberFormat="1" applyFont="1" applyFill="1"/>
    <xf numFmtId="166" fontId="6" fillId="5" borderId="0" xfId="4" applyNumberFormat="1" applyFont="1" applyFill="1" applyBorder="1" applyAlignment="1" applyProtection="1">
      <alignment horizontal="center" vertical="top"/>
    </xf>
    <xf numFmtId="164" fontId="0" fillId="2" borderId="0" xfId="0" applyFill="1" applyAlignment="1">
      <alignment horizontal="center" vertical="center"/>
    </xf>
    <xf numFmtId="166" fontId="6" fillId="5" borderId="0" xfId="4" applyNumberFormat="1" applyFont="1" applyFill="1" applyBorder="1" applyAlignment="1" applyProtection="1">
      <alignment vertical="center"/>
    </xf>
    <xf numFmtId="0" fontId="67" fillId="2" borderId="16" xfId="1" applyFont="1" applyFill="1" applyBorder="1" applyAlignment="1" applyProtection="1">
      <alignment horizontal="center" vertical="center"/>
    </xf>
    <xf numFmtId="166" fontId="6" fillId="5" borderId="0" xfId="4" applyNumberFormat="1" applyFont="1" applyFill="1" applyBorder="1" applyAlignment="1" applyProtection="1">
      <alignment horizontal="left" vertical="center"/>
    </xf>
    <xf numFmtId="164" fontId="0" fillId="2" borderId="0" xfId="0" applyFill="1" applyAlignment="1">
      <alignment horizontal="left" vertical="center" indent="1"/>
    </xf>
    <xf numFmtId="166" fontId="6" fillId="5" borderId="0" xfId="4" applyNumberFormat="1" applyFont="1" applyFill="1" applyBorder="1" applyAlignment="1" applyProtection="1">
      <alignment horizontal="left" vertical="center" indent="1"/>
    </xf>
    <xf numFmtId="1" fontId="56" fillId="12" borderId="0" xfId="0" applyNumberFormat="1" applyFont="1" applyFill="1" applyBorder="1" applyAlignment="1" applyProtection="1">
      <alignment vertical="center"/>
    </xf>
    <xf numFmtId="1" fontId="161" fillId="12" borderId="0" xfId="0" applyNumberFormat="1" applyFont="1" applyFill="1" applyBorder="1" applyAlignment="1" applyProtection="1">
      <alignment horizontal="center"/>
    </xf>
    <xf numFmtId="164" fontId="0" fillId="2" borderId="0" xfId="0" applyFill="1" applyBorder="1" applyAlignment="1">
      <alignment horizontal="left" wrapText="1"/>
    </xf>
    <xf numFmtId="164" fontId="0" fillId="2" borderId="0" xfId="0" applyFill="1" applyBorder="1" applyAlignment="1">
      <alignment horizontal="center"/>
    </xf>
    <xf numFmtId="164" fontId="0" fillId="2" borderId="0" xfId="0" applyFill="1" applyBorder="1" applyAlignment="1">
      <alignment horizontal="left" vertical="top" wrapText="1"/>
    </xf>
    <xf numFmtId="164" fontId="0" fillId="2" borderId="0" xfId="0" applyFill="1" applyBorder="1" applyAlignment="1">
      <alignment horizontal="right" vertical="top"/>
    </xf>
    <xf numFmtId="164" fontId="0" fillId="2" borderId="0" xfId="0" quotePrefix="1" applyFill="1" applyBorder="1" applyAlignment="1">
      <alignment vertical="top"/>
    </xf>
    <xf numFmtId="164" fontId="75" fillId="2" borderId="0" xfId="0" quotePrefix="1" applyFont="1" applyFill="1" applyBorder="1" applyAlignment="1">
      <alignment vertical="top"/>
    </xf>
    <xf numFmtId="166" fontId="56" fillId="0" borderId="2" xfId="0" applyNumberFormat="1" applyFont="1" applyFill="1" applyBorder="1" applyAlignment="1" applyProtection="1">
      <protection locked="0"/>
    </xf>
    <xf numFmtId="0" fontId="84" fillId="25" borderId="24" xfId="1" applyNumberFormat="1" applyFont="1" applyFill="1" applyAlignment="1" applyProtection="1">
      <alignment horizontal="center" vertical="center"/>
      <protection locked="0"/>
    </xf>
    <xf numFmtId="1" fontId="165" fillId="2" borderId="0" xfId="0" applyNumberFormat="1" applyFont="1" applyFill="1" applyBorder="1" applyAlignment="1" applyProtection="1">
      <alignment horizontal="center" vertical="center" wrapText="1"/>
    </xf>
    <xf numFmtId="164" fontId="165" fillId="2" borderId="0" xfId="0" applyFont="1" applyFill="1"/>
    <xf numFmtId="1" fontId="166" fillId="2" borderId="0" xfId="0" applyNumberFormat="1" applyFont="1" applyFill="1" applyBorder="1" applyAlignment="1" applyProtection="1">
      <alignment horizontal="center" vertical="center" wrapText="1"/>
    </xf>
    <xf numFmtId="164" fontId="166" fillId="2" borderId="0" xfId="0" applyFont="1" applyFill="1"/>
    <xf numFmtId="1" fontId="165" fillId="2" borderId="0" xfId="0" applyNumberFormat="1" applyFont="1" applyFill="1" applyBorder="1" applyAlignment="1" applyProtection="1">
      <alignment horizontal="center" vertical="center" wrapText="1"/>
      <protection locked="0"/>
    </xf>
    <xf numFmtId="0" fontId="66" fillId="0" borderId="34" xfId="0" applyNumberFormat="1" applyFont="1" applyFill="1" applyBorder="1" applyAlignment="1" applyProtection="1">
      <alignment horizontal="center" vertical="center" wrapText="1"/>
    </xf>
    <xf numFmtId="164" fontId="0" fillId="0" borderId="0" xfId="0" applyBorder="1" applyAlignment="1" applyProtection="1"/>
    <xf numFmtId="164" fontId="56" fillId="0" borderId="35" xfId="0" applyFont="1" applyBorder="1" applyAlignment="1" applyProtection="1">
      <alignment horizontal="left" indent="1"/>
      <protection locked="0"/>
    </xf>
    <xf numFmtId="0" fontId="60" fillId="0" borderId="11" xfId="0" applyNumberFormat="1" applyFont="1" applyFill="1" applyBorder="1" applyAlignment="1" applyProtection="1">
      <alignment horizontal="center" vertical="center" wrapText="1"/>
    </xf>
    <xf numFmtId="0" fontId="56" fillId="2" borderId="0" xfId="1" applyNumberFormat="1" applyFont="1" applyFill="1" applyBorder="1" applyAlignment="1" applyProtection="1">
      <alignment vertical="center" wrapText="1"/>
    </xf>
    <xf numFmtId="0" fontId="0" fillId="2" borderId="0" xfId="0" applyNumberFormat="1" applyFill="1" applyAlignment="1">
      <alignment horizontal="left" wrapText="1"/>
    </xf>
    <xf numFmtId="164" fontId="8" fillId="2" borderId="0" xfId="0" applyFont="1" applyFill="1"/>
    <xf numFmtId="164" fontId="8" fillId="2" borderId="0" xfId="0" applyFont="1" applyFill="1" applyAlignment="1">
      <alignment horizontal="center"/>
    </xf>
    <xf numFmtId="164" fontId="0" fillId="0" borderId="0" xfId="0"/>
    <xf numFmtId="164" fontId="0" fillId="2" borderId="0" xfId="0" applyFill="1" applyBorder="1" applyAlignment="1">
      <alignment vertical="top" wrapText="1"/>
    </xf>
    <xf numFmtId="164" fontId="163" fillId="2" borderId="0" xfId="0" applyFont="1" applyFill="1" applyAlignment="1">
      <alignment vertical="top" wrapText="1"/>
    </xf>
    <xf numFmtId="164" fontId="0" fillId="2" borderId="0" xfId="0" applyFill="1" applyAlignment="1">
      <alignment horizontal="center"/>
    </xf>
    <xf numFmtId="164" fontId="21" fillId="2" borderId="0" xfId="0" applyFont="1" applyFill="1" applyBorder="1" applyAlignment="1"/>
    <xf numFmtId="164" fontId="159" fillId="2" borderId="0" xfId="0" quotePrefix="1" applyFont="1" applyFill="1" applyBorder="1"/>
    <xf numFmtId="164" fontId="97" fillId="2" borderId="0" xfId="0" applyNumberFormat="1" applyFont="1" applyFill="1" applyBorder="1" applyAlignment="1" applyProtection="1">
      <alignment horizontal="center" vertical="center" wrapText="1"/>
      <protection locked="0"/>
    </xf>
    <xf numFmtId="164" fontId="3" fillId="2" borderId="0" xfId="0" applyFont="1" applyFill="1" applyBorder="1" applyAlignment="1">
      <alignment horizontal="center" vertical="top"/>
    </xf>
    <xf numFmtId="164" fontId="167" fillId="2" borderId="0" xfId="0" quotePrefix="1" applyFont="1" applyFill="1" applyBorder="1" applyAlignment="1">
      <alignment horizontal="left" vertical="top"/>
    </xf>
    <xf numFmtId="164" fontId="0" fillId="2" borderId="0" xfId="0" applyFill="1" applyAlignment="1">
      <alignment horizontal="left" vertical="top" indent="13"/>
    </xf>
    <xf numFmtId="164" fontId="114" fillId="2" borderId="0" xfId="0" quotePrefix="1" applyFont="1" applyFill="1" applyBorder="1" applyAlignment="1">
      <alignment horizontal="left" vertical="top" indent="2"/>
    </xf>
    <xf numFmtId="164" fontId="0" fillId="2" borderId="0" xfId="0" applyFill="1" applyBorder="1" applyAlignment="1">
      <alignment horizontal="left" vertical="top" indent="13"/>
    </xf>
    <xf numFmtId="0" fontId="169" fillId="2" borderId="3" xfId="0" applyNumberFormat="1" applyFont="1" applyFill="1" applyBorder="1" applyAlignment="1" applyProtection="1">
      <alignment horizontal="center" vertical="center" wrapText="1"/>
      <protection locked="0"/>
    </xf>
    <xf numFmtId="164" fontId="18" fillId="2" borderId="0" xfId="0" quotePrefix="1" applyFont="1" applyFill="1" applyBorder="1"/>
    <xf numFmtId="164" fontId="171" fillId="2" borderId="0" xfId="0" applyFont="1" applyFill="1" applyAlignment="1">
      <alignment vertical="top" wrapText="1"/>
    </xf>
    <xf numFmtId="164" fontId="171" fillId="2" borderId="0" xfId="0" applyFont="1" applyFill="1" applyAlignment="1"/>
    <xf numFmtId="164" fontId="3" fillId="2" borderId="0" xfId="0" applyFont="1" applyFill="1" applyBorder="1" applyAlignment="1">
      <alignment horizontal="center"/>
    </xf>
    <xf numFmtId="173" fontId="171" fillId="2" borderId="0" xfId="0" applyNumberFormat="1" applyFont="1" applyFill="1" applyAlignment="1"/>
    <xf numFmtId="173" fontId="172" fillId="7" borderId="0" xfId="0" applyNumberFormat="1" applyFont="1" applyFill="1" applyBorder="1" applyAlignment="1" applyProtection="1">
      <alignment horizontal="left" vertical="center" wrapText="1" indent="2"/>
    </xf>
    <xf numFmtId="164" fontId="0" fillId="2" borderId="0" xfId="0" applyFill="1" applyProtection="1">
      <protection locked="0"/>
    </xf>
    <xf numFmtId="0" fontId="115" fillId="0" borderId="1" xfId="0" applyNumberFormat="1" applyFont="1" applyBorder="1" applyAlignment="1">
      <alignment horizontal="center"/>
    </xf>
    <xf numFmtId="0" fontId="115" fillId="0" borderId="20" xfId="0" applyNumberFormat="1" applyFont="1" applyBorder="1" applyAlignment="1">
      <alignment horizontal="center"/>
    </xf>
    <xf numFmtId="164" fontId="27" fillId="7" borderId="0" xfId="0" applyNumberFormat="1" applyFont="1" applyFill="1" applyBorder="1" applyAlignment="1" applyProtection="1">
      <alignment horizontal="left"/>
    </xf>
    <xf numFmtId="164" fontId="140" fillId="0" borderId="0" xfId="0" applyFont="1" applyAlignment="1">
      <alignment horizontal="center" vertical="center" wrapText="1"/>
    </xf>
    <xf numFmtId="164" fontId="140" fillId="0" borderId="10" xfId="0" applyFont="1" applyBorder="1" applyAlignment="1">
      <alignment horizontal="center" vertical="center" wrapText="1"/>
    </xf>
    <xf numFmtId="0" fontId="117" fillId="2" borderId="0" xfId="0" applyNumberFormat="1" applyFont="1" applyFill="1" applyBorder="1" applyAlignment="1" applyProtection="1">
      <alignment horizontal="right" vertical="center" wrapText="1"/>
    </xf>
    <xf numFmtId="0" fontId="11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27" fillId="7" borderId="0" xfId="0" applyNumberFormat="1" applyFont="1" applyFill="1" applyBorder="1" applyAlignment="1" applyProtection="1"/>
    <xf numFmtId="1" fontId="27" fillId="7" borderId="0" xfId="0" applyNumberFormat="1" applyFont="1" applyFill="1" applyBorder="1" applyAlignment="1" applyProtection="1">
      <alignment horizontal="left" wrapText="1"/>
    </xf>
    <xf numFmtId="169" fontId="26" fillId="16" borderId="0" xfId="0" applyNumberFormat="1" applyFont="1" applyFill="1" applyBorder="1" applyAlignment="1" applyProtection="1">
      <alignment horizontal="center" wrapText="1"/>
    </xf>
    <xf numFmtId="0" fontId="65" fillId="0" borderId="23" xfId="0" applyNumberFormat="1" applyFont="1" applyBorder="1" applyAlignment="1">
      <alignment horizontal="center" vertical="center"/>
    </xf>
    <xf numFmtId="164" fontId="51" fillId="0" borderId="1" xfId="0" applyFont="1" applyBorder="1" applyAlignment="1" applyProtection="1">
      <alignment horizontal="right" vertical="center"/>
      <protection locked="0"/>
    </xf>
    <xf numFmtId="164" fontId="51" fillId="0" borderId="20" xfId="0" applyFont="1" applyBorder="1" applyAlignment="1" applyProtection="1">
      <alignment horizontal="right" vertical="center"/>
      <protection locked="0"/>
    </xf>
    <xf numFmtId="164" fontId="51" fillId="0" borderId="12" xfId="0" applyFont="1" applyBorder="1" applyAlignment="1" applyProtection="1">
      <alignment horizontal="right" vertical="center"/>
      <protection locked="0"/>
    </xf>
    <xf numFmtId="0" fontId="65" fillId="0" borderId="0" xfId="0" applyNumberFormat="1" applyFont="1" applyBorder="1" applyAlignment="1">
      <alignment horizontal="center" vertical="center"/>
    </xf>
    <xf numFmtId="164" fontId="117" fillId="0" borderId="0" xfId="0" applyFont="1" applyBorder="1" applyAlignment="1">
      <alignment horizontal="right" vertical="center"/>
    </xf>
    <xf numFmtId="164" fontId="117" fillId="0" borderId="10" xfId="0" applyFont="1" applyBorder="1" applyAlignment="1">
      <alignment horizontal="right" vertical="center"/>
    </xf>
    <xf numFmtId="164" fontId="78" fillId="0" borderId="0" xfId="0" applyFont="1" applyAlignment="1">
      <alignment horizontal="right"/>
    </xf>
    <xf numFmtId="164" fontId="78" fillId="0" borderId="10" xfId="0" applyFont="1" applyBorder="1" applyAlignment="1">
      <alignment horizontal="right"/>
    </xf>
    <xf numFmtId="0" fontId="27" fillId="7" borderId="0" xfId="0" applyNumberFormat="1" applyFont="1" applyFill="1" applyBorder="1" applyAlignment="1" applyProtection="1">
      <alignment horizontal="left"/>
    </xf>
    <xf numFmtId="167" fontId="27" fillId="7" borderId="0" xfId="0" applyNumberFormat="1" applyFont="1" applyFill="1" applyBorder="1" applyAlignment="1" applyProtection="1">
      <alignment horizontal="left"/>
    </xf>
    <xf numFmtId="164" fontId="116" fillId="9" borderId="92" xfId="0" applyFont="1" applyFill="1" applyBorder="1" applyAlignment="1">
      <alignment horizontal="center" wrapText="1"/>
    </xf>
    <xf numFmtId="164" fontId="116" fillId="9" borderId="93" xfId="0" applyFont="1" applyFill="1" applyBorder="1" applyAlignment="1">
      <alignment horizontal="center" wrapText="1"/>
    </xf>
    <xf numFmtId="167" fontId="78" fillId="0" borderId="4" xfId="0" applyNumberFormat="1" applyFont="1" applyBorder="1" applyAlignment="1" applyProtection="1">
      <alignment horizontal="right" vertical="center" wrapText="1"/>
    </xf>
    <xf numFmtId="167" fontId="78" fillId="0" borderId="0" xfId="0" applyNumberFormat="1" applyFont="1" applyBorder="1" applyAlignment="1" applyProtection="1">
      <alignment horizontal="right" vertical="center" wrapText="1"/>
    </xf>
    <xf numFmtId="167" fontId="78" fillId="0" borderId="10" xfId="0" applyNumberFormat="1" applyFont="1" applyBorder="1" applyAlignment="1" applyProtection="1">
      <alignment horizontal="right" vertical="center" wrapText="1"/>
    </xf>
    <xf numFmtId="164" fontId="127" fillId="9" borderId="86" xfId="0" applyFont="1" applyFill="1" applyBorder="1" applyAlignment="1">
      <alignment horizontal="center" vertical="center" wrapText="1"/>
    </xf>
    <xf numFmtId="164" fontId="127" fillId="9" borderId="87" xfId="0" applyFont="1" applyFill="1" applyBorder="1" applyAlignment="1">
      <alignment horizontal="center" vertical="center" wrapText="1"/>
    </xf>
    <xf numFmtId="0" fontId="132" fillId="0" borderId="4" xfId="0" applyNumberFormat="1" applyFont="1" applyFill="1" applyBorder="1" applyAlignment="1" applyProtection="1">
      <alignment horizontal="right" vertical="center" wrapText="1"/>
    </xf>
    <xf numFmtId="0" fontId="132" fillId="0" borderId="73" xfId="0" applyNumberFormat="1" applyFont="1" applyFill="1" applyBorder="1" applyAlignment="1" applyProtection="1">
      <alignment horizontal="right" vertical="center" wrapText="1"/>
    </xf>
    <xf numFmtId="0" fontId="77" fillId="7" borderId="0" xfId="1" applyFont="1" applyFill="1" applyBorder="1" applyAlignment="1" applyProtection="1">
      <alignment horizontal="left" vertical="center" indent="1"/>
    </xf>
    <xf numFmtId="164" fontId="116" fillId="9" borderId="0" xfId="0" applyFont="1" applyFill="1" applyBorder="1" applyAlignment="1">
      <alignment horizontal="center" wrapText="1"/>
    </xf>
    <xf numFmtId="164" fontId="116" fillId="9" borderId="82" xfId="0" applyFont="1" applyFill="1" applyBorder="1" applyAlignment="1">
      <alignment horizontal="center" wrapText="1"/>
    </xf>
    <xf numFmtId="164" fontId="0" fillId="0" borderId="0" xfId="0" applyAlignment="1">
      <alignment horizontal="center"/>
    </xf>
    <xf numFmtId="164" fontId="116" fillId="10" borderId="45" xfId="0" applyFont="1" applyFill="1" applyBorder="1" applyAlignment="1">
      <alignment horizontal="center" vertical="center"/>
    </xf>
    <xf numFmtId="164" fontId="116" fillId="10" borderId="46" xfId="0" applyFont="1" applyFill="1" applyBorder="1" applyAlignment="1">
      <alignment horizontal="center" vertical="center"/>
    </xf>
    <xf numFmtId="164" fontId="125" fillId="0" borderId="0" xfId="0" applyFont="1" applyAlignment="1">
      <alignment horizontal="left" vertical="top" wrapText="1" indent="4"/>
    </xf>
    <xf numFmtId="0" fontId="123" fillId="7" borderId="0" xfId="0" applyNumberFormat="1" applyFont="1" applyFill="1" applyBorder="1" applyAlignment="1" applyProtection="1">
      <alignment horizontal="left" vertical="center" wrapText="1"/>
    </xf>
    <xf numFmtId="166" fontId="117" fillId="2" borderId="0" xfId="0" applyNumberFormat="1" applyFont="1" applyFill="1" applyBorder="1" applyAlignment="1">
      <alignment horizontal="right"/>
    </xf>
    <xf numFmtId="166" fontId="117" fillId="2" borderId="63" xfId="0" applyNumberFormat="1" applyFont="1" applyFill="1" applyBorder="1" applyAlignment="1">
      <alignment horizontal="right"/>
    </xf>
    <xf numFmtId="164" fontId="130" fillId="0" borderId="0" xfId="0" applyFont="1" applyFill="1" applyBorder="1" applyAlignment="1">
      <alignment horizontal="left" wrapText="1" indent="1"/>
    </xf>
    <xf numFmtId="164" fontId="51" fillId="0" borderId="23" xfId="0" applyFont="1" applyBorder="1" applyAlignment="1" applyProtection="1">
      <alignment horizontal="right" vertical="center"/>
      <protection locked="0"/>
    </xf>
    <xf numFmtId="164" fontId="51" fillId="0" borderId="49" xfId="0" applyFont="1" applyBorder="1" applyAlignment="1" applyProtection="1">
      <alignment horizontal="right" vertical="center"/>
      <protection locked="0"/>
    </xf>
    <xf numFmtId="164" fontId="48" fillId="27" borderId="57" xfId="0" applyFont="1" applyFill="1" applyBorder="1" applyAlignment="1">
      <alignment horizontal="center" vertical="center"/>
    </xf>
    <xf numFmtId="164" fontId="48" fillId="27" borderId="58" xfId="0" applyFont="1" applyFill="1" applyBorder="1" applyAlignment="1">
      <alignment horizontal="center" vertical="center"/>
    </xf>
    <xf numFmtId="164" fontId="59" fillId="18" borderId="0" xfId="0" applyFont="1" applyFill="1" applyAlignment="1">
      <alignment horizontal="left" vertical="center" wrapText="1" indent="1"/>
    </xf>
    <xf numFmtId="164" fontId="149" fillId="2" borderId="0" xfId="0" applyFont="1" applyFill="1" applyAlignment="1">
      <alignment horizontal="center" vertical="top" wrapText="1"/>
    </xf>
    <xf numFmtId="164" fontId="150" fillId="8" borderId="99" xfId="0" applyFont="1" applyFill="1" applyBorder="1" applyAlignment="1">
      <alignment horizontal="center" vertical="center"/>
    </xf>
    <xf numFmtId="164" fontId="150" fillId="8" borderId="100" xfId="0" applyFont="1" applyFill="1" applyBorder="1" applyAlignment="1">
      <alignment horizontal="center" vertical="center"/>
    </xf>
    <xf numFmtId="164" fontId="150" fillId="8" borderId="101" xfId="0" applyFont="1" applyFill="1" applyBorder="1" applyAlignment="1">
      <alignment horizontal="center" vertical="center"/>
    </xf>
    <xf numFmtId="0" fontId="7" fillId="9" borderId="109" xfId="0" applyNumberFormat="1" applyFont="1" applyFill="1" applyBorder="1" applyAlignment="1">
      <alignment horizontal="left" vertical="top" wrapText="1"/>
    </xf>
    <xf numFmtId="0" fontId="7" fillId="9" borderId="0" xfId="0" applyNumberFormat="1" applyFont="1" applyFill="1" applyBorder="1" applyAlignment="1">
      <alignment horizontal="left" vertical="top" wrapText="1"/>
    </xf>
    <xf numFmtId="0" fontId="7" fillId="9" borderId="111" xfId="0" applyNumberFormat="1" applyFont="1" applyFill="1" applyBorder="1" applyAlignment="1">
      <alignment horizontal="left" vertical="top" wrapText="1"/>
    </xf>
    <xf numFmtId="0" fontId="7" fillId="9" borderId="106" xfId="0" applyNumberFormat="1" applyFont="1" applyFill="1" applyBorder="1" applyAlignment="1">
      <alignment horizontal="left" vertical="top" wrapText="1"/>
    </xf>
    <xf numFmtId="0" fontId="7" fillId="9" borderId="108" xfId="0" applyNumberFormat="1" applyFont="1" applyFill="1" applyBorder="1" applyAlignment="1">
      <alignment horizontal="left" vertical="top" wrapText="1"/>
    </xf>
    <xf numFmtId="0" fontId="7" fillId="9" borderId="107" xfId="0" applyNumberFormat="1" applyFont="1" applyFill="1" applyBorder="1" applyAlignment="1">
      <alignment horizontal="left" vertical="top" wrapText="1"/>
    </xf>
    <xf numFmtId="0" fontId="7" fillId="9" borderId="105" xfId="0" applyNumberFormat="1" applyFont="1" applyFill="1" applyBorder="1" applyAlignment="1">
      <alignment horizontal="left" vertical="top" wrapText="1"/>
    </xf>
    <xf numFmtId="0" fontId="7" fillId="9" borderId="112" xfId="0" applyNumberFormat="1" applyFont="1" applyFill="1" applyBorder="1" applyAlignment="1">
      <alignment horizontal="left" vertical="top" wrapText="1"/>
    </xf>
    <xf numFmtId="164" fontId="97" fillId="2" borderId="100" xfId="0" applyFont="1" applyFill="1" applyBorder="1" applyAlignment="1">
      <alignment horizontal="center" vertical="top"/>
    </xf>
    <xf numFmtId="164" fontId="97" fillId="2" borderId="100" xfId="0" applyFont="1" applyFill="1" applyBorder="1" applyAlignment="1">
      <alignment horizontal="center" vertical="top" wrapText="1"/>
    </xf>
    <xf numFmtId="164" fontId="97" fillId="2" borderId="0" xfId="0" applyFont="1" applyFill="1" applyAlignment="1">
      <alignment horizontal="center" vertical="top" wrapText="1"/>
    </xf>
    <xf numFmtId="167" fontId="8" fillId="5" borderId="0" xfId="4" applyNumberFormat="1" applyFont="1" applyFill="1" applyBorder="1" applyAlignment="1">
      <alignment horizontal="center" vertical="top" wrapText="1"/>
    </xf>
    <xf numFmtId="167" fontId="152" fillId="29" borderId="99" xfId="3" applyNumberFormat="1" applyFont="1" applyFill="1" applyBorder="1" applyAlignment="1" applyProtection="1">
      <alignment horizontal="center" vertical="center" wrapText="1"/>
    </xf>
    <xf numFmtId="167" fontId="152" fillId="29" borderId="101" xfId="3" applyNumberFormat="1" applyFont="1" applyFill="1" applyBorder="1" applyAlignment="1" applyProtection="1">
      <alignment horizontal="center" vertical="center" wrapText="1"/>
    </xf>
    <xf numFmtId="164" fontId="148" fillId="2" borderId="98" xfId="0" applyFont="1" applyFill="1" applyBorder="1" applyAlignment="1">
      <alignment horizontal="center" vertical="center" wrapText="1"/>
    </xf>
    <xf numFmtId="164" fontId="97" fillId="2" borderId="0" xfId="0" applyFont="1" applyFill="1" applyBorder="1" applyAlignment="1">
      <alignment horizontal="left" wrapText="1"/>
    </xf>
    <xf numFmtId="164" fontId="97" fillId="2" borderId="53" xfId="0" applyFont="1" applyFill="1" applyBorder="1" applyAlignment="1">
      <alignment horizontal="left" wrapText="1"/>
    </xf>
    <xf numFmtId="164" fontId="79" fillId="2" borderId="21" xfId="0" applyFont="1" applyFill="1" applyBorder="1" applyAlignment="1">
      <alignment horizontal="center"/>
    </xf>
    <xf numFmtId="164" fontId="119" fillId="2" borderId="0" xfId="0" applyFont="1" applyFill="1" applyAlignment="1">
      <alignment horizontal="left" vertical="top"/>
    </xf>
    <xf numFmtId="164" fontId="18" fillId="2" borderId="0" xfId="0" quotePrefix="1" applyFont="1" applyFill="1" applyBorder="1"/>
    <xf numFmtId="164" fontId="0" fillId="2" borderId="0" xfId="0" applyFill="1" applyBorder="1" applyAlignment="1">
      <alignment horizontal="left" vertical="top" wrapText="1" indent="1"/>
    </xf>
    <xf numFmtId="164" fontId="0" fillId="2" borderId="0" xfId="0" applyFill="1" applyBorder="1" applyAlignment="1">
      <alignment horizontal="left" vertical="top" wrapText="1" indent="2"/>
    </xf>
    <xf numFmtId="164" fontId="0" fillId="2" borderId="0" xfId="0" applyFill="1" applyBorder="1" applyAlignment="1">
      <alignment vertical="top" wrapText="1"/>
    </xf>
    <xf numFmtId="0" fontId="0" fillId="2" borderId="0" xfId="0" applyNumberFormat="1" applyFill="1" applyAlignment="1">
      <alignment vertical="top" wrapText="1"/>
    </xf>
    <xf numFmtId="164" fontId="0" fillId="2" borderId="0" xfId="0" applyFill="1" applyAlignment="1">
      <alignment horizontal="left" vertical="top" wrapText="1"/>
    </xf>
    <xf numFmtId="164" fontId="0" fillId="2" borderId="0" xfId="0" applyFill="1" applyBorder="1" applyAlignment="1">
      <alignment horizontal="left" vertical="top" wrapText="1"/>
    </xf>
    <xf numFmtId="164" fontId="0" fillId="2" borderId="0" xfId="0" applyFill="1" applyAlignment="1">
      <alignment horizontal="left" vertical="top" wrapText="1" indent="2"/>
    </xf>
    <xf numFmtId="0" fontId="0" fillId="2" borderId="0" xfId="0" applyNumberFormat="1" applyFill="1" applyAlignment="1">
      <alignment horizontal="left" vertical="top" wrapText="1"/>
    </xf>
    <xf numFmtId="164" fontId="21" fillId="2" borderId="0" xfId="0" applyFont="1" applyFill="1" applyAlignment="1">
      <alignment horizontal="left"/>
    </xf>
    <xf numFmtId="171" fontId="96" fillId="0" borderId="0" xfId="0" applyNumberFormat="1" applyFont="1" applyBorder="1" applyAlignment="1">
      <alignment horizontal="left"/>
    </xf>
    <xf numFmtId="164" fontId="97" fillId="2" borderId="0" xfId="0" applyFont="1" applyFill="1" applyBorder="1" applyAlignment="1">
      <alignment horizontal="left"/>
    </xf>
    <xf numFmtId="164" fontId="91" fillId="2" borderId="0" xfId="0" applyFont="1" applyFill="1" applyAlignment="1">
      <alignment horizontal="right"/>
    </xf>
    <xf numFmtId="164" fontId="91" fillId="2" borderId="28" xfId="0" applyFont="1" applyFill="1" applyBorder="1" applyAlignment="1">
      <alignment horizontal="right"/>
    </xf>
    <xf numFmtId="164" fontId="79" fillId="2" borderId="0" xfId="0" applyFont="1" applyFill="1" applyBorder="1" applyAlignment="1">
      <alignment horizontal="center"/>
    </xf>
    <xf numFmtId="164" fontId="99" fillId="2" borderId="0" xfId="0" applyFont="1" applyFill="1" applyBorder="1" applyAlignment="1">
      <alignment horizontal="center" vertical="center"/>
    </xf>
    <xf numFmtId="167" fontId="79" fillId="2" borderId="0" xfId="0" applyNumberFormat="1" applyFont="1" applyFill="1" applyBorder="1" applyAlignment="1">
      <alignment horizontal="center" vertical="top"/>
    </xf>
    <xf numFmtId="164" fontId="0" fillId="2" borderId="0" xfId="0" applyFill="1" applyAlignment="1">
      <alignment horizontal="center"/>
    </xf>
    <xf numFmtId="164" fontId="102" fillId="2" borderId="0" xfId="0" applyFont="1" applyFill="1" applyAlignment="1">
      <alignment horizontal="right" wrapText="1"/>
    </xf>
    <xf numFmtId="164" fontId="114" fillId="0" borderId="0" xfId="0" applyFont="1" applyAlignment="1">
      <alignment horizontal="left" wrapText="1"/>
    </xf>
    <xf numFmtId="164" fontId="114"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05" fillId="2" borderId="31" xfId="0" applyFont="1" applyFill="1" applyBorder="1" applyAlignment="1">
      <alignment horizontal="left" indent="1"/>
    </xf>
    <xf numFmtId="164" fontId="105" fillId="2" borderId="31"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b/>
        <i val="0"/>
        <strike val="0"/>
        <color rgb="FFC00000"/>
      </font>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strike val="0"/>
        <color rgb="FFC00000"/>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color rgb="FFC00000"/>
      </font>
    </dxf>
    <dxf>
      <font>
        <b/>
        <i val="0"/>
        <color rgb="FFC00000"/>
      </font>
    </dxf>
    <dxf>
      <font>
        <b/>
        <i val="0"/>
        <color rgb="FFC00000"/>
      </font>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2"/>
    </tableStyle>
    <tableStyle name="Table Style 2" pivot="0" count="1">
      <tableStyleElement type="wholeTable" dxfId="41"/>
    </tableStyle>
    <tableStyle name="TableStyleMedium9 2" pivot="0" count="7">
      <tableStyleElement type="wholeTable" dxfId="40"/>
      <tableStyleElement type="headerRow" dxfId="39"/>
      <tableStyleElement type="totalRow" dxfId="38"/>
      <tableStyleElement type="firstColumn" dxfId="37"/>
      <tableStyleElement type="lastColumn" dxfId="36"/>
      <tableStyleElement type="firstRowStripe" dxfId="35"/>
      <tableStyleElement type="firstColumnStripe" dxfId="34"/>
    </tableStyle>
    <tableStyle name="TableStyleMedium9 3"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 name="TimeTable" pivot="0" count="1">
      <tableStyleElement type="wholeTable" dxfId="26"/>
    </tableStyle>
  </tableStyles>
  <colors>
    <mruColors>
      <color rgb="FFCC0000"/>
      <color rgb="FF993300"/>
      <color rgb="FF1212D4"/>
      <color rgb="FF008272"/>
      <color rgb="FFFF9900"/>
      <color rgb="FF09FF78"/>
      <color rgb="FF3BABFF"/>
      <color rgb="FFCC6600"/>
      <color rgb="FFFF9933"/>
      <color rgb="FFF3D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twoCellAnchor editAs="oneCell">
    <xdr:from>
      <xdr:col>36</xdr:col>
      <xdr:colOff>44450</xdr:colOff>
      <xdr:row>2</xdr:row>
      <xdr:rowOff>88900</xdr:rowOff>
    </xdr:from>
    <xdr:to>
      <xdr:col>40</xdr:col>
      <xdr:colOff>133350</xdr:colOff>
      <xdr:row>17</xdr:row>
      <xdr:rowOff>88900</xdr:rowOff>
    </xdr:to>
    <xdr:sp macro="" textlink="" fLocksText="0">
      <xdr:nvSpPr>
        <xdr:cNvPr id="5" name="Line Callout 1 4"/>
        <xdr:cNvSpPr/>
      </xdr:nvSpPr>
      <xdr:spPr>
        <a:xfrm>
          <a:off x="6965950" y="520700"/>
          <a:ext cx="3194050" cy="2374900"/>
        </a:xfrm>
        <a:prstGeom prst="borderCallout1">
          <a:avLst>
            <a:gd name="adj1" fmla="val 17212"/>
            <a:gd name="adj2" fmla="val -4153"/>
            <a:gd name="adj3" fmla="val 766"/>
            <a:gd name="adj4" fmla="val -2154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imes New Roman" panose="02020603050405020304" pitchFamily="18" charset="0"/>
              <a:ea typeface="+mn-ea"/>
              <a:cs typeface="Times New Roman" panose="02020603050405020304" pitchFamily="18" charset="0"/>
            </a:rPr>
            <a:t>                                                       </a:t>
          </a:r>
          <a:r>
            <a:rPr lang="en-US" sz="800" b="1" baseline="0">
              <a:solidFill>
                <a:schemeClr val="tx1"/>
              </a:solidFill>
              <a:latin typeface="Times New Roman" panose="02020603050405020304" pitchFamily="18" charset="0"/>
              <a:ea typeface="+mn-ea"/>
              <a:cs typeface="Times New Roman" panose="02020603050405020304" pitchFamily="18" charset="0"/>
            </a:rPr>
            <a:t>11/30/2014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imes New Roman" panose="02020603050405020304" pitchFamily="18" charset="0"/>
              <a:ea typeface="+mn-ea"/>
              <a:cs typeface="Times New Roman" panose="02020603050405020304" pitchFamily="18" charset="0"/>
            </a:rPr>
            <a:t>Goodbye update</a:t>
          </a:r>
          <a:endParaRPr lang="en-US" sz="800" b="1">
            <a:solidFill>
              <a:schemeClr val="tx1"/>
            </a:solidFill>
            <a:latin typeface="Times New Roman" panose="02020603050405020304" pitchFamily="18" charset="0"/>
            <a:cs typeface="Times New Roman" panose="02020603050405020304" pitchFamily="18" charset="0"/>
          </a:endParaRPr>
        </a:p>
        <a:p>
          <a:r>
            <a:rPr lang="en-US" sz="800" b="0" baseline="0">
              <a:solidFill>
                <a:schemeClr val="tx1"/>
              </a:solidFill>
              <a:latin typeface="Times New Roman" panose="02020603050405020304" pitchFamily="18" charset="0"/>
              <a:ea typeface="+mn-ea"/>
              <a:cs typeface="Times New Roman" panose="02020603050405020304" pitchFamily="18" charset="0"/>
            </a:rPr>
            <a:t> Maggie</a:t>
          </a:r>
          <a:endParaRPr lang="en-US" sz="800" b="0">
            <a:solidFill>
              <a:schemeClr val="tx1"/>
            </a:solidFill>
            <a:latin typeface="Times New Roman" panose="02020603050405020304" pitchFamily="18" charset="0"/>
            <a:cs typeface="Times New Roman" panose="02020603050405020304" pitchFamily="18" charset="0"/>
          </a:endParaRPr>
        </a:p>
        <a:p>
          <a:endParaRPr lang="en-US" sz="800" b="0" baseline="0">
            <a:solidFill>
              <a:schemeClr val="tx1"/>
            </a:solidFill>
            <a:latin typeface="Times New Roman" panose="02020603050405020304" pitchFamily="18" charset="0"/>
            <a:ea typeface="+mn-ea"/>
            <a:cs typeface="Times New Roman" panose="02020603050405020304" pitchFamily="18" charset="0"/>
          </a:endParaRPr>
        </a:p>
        <a:p>
          <a:r>
            <a:rPr lang="en-US" sz="800" b="0" baseline="0">
              <a:solidFill>
                <a:schemeClr val="tx1"/>
              </a:solidFill>
              <a:latin typeface="Times New Roman" panose="02020603050405020304" pitchFamily="18" charset="0"/>
              <a:ea typeface="+mn-ea"/>
              <a:cs typeface="Times New Roman" panose="02020603050405020304" pitchFamily="18" charset="0"/>
            </a:rPr>
            <a:t>Changes to this worksheet address your feedback. For those of you new to who haven't used the schedule in a while:</a:t>
          </a:r>
        </a:p>
        <a:p>
          <a:endParaRPr lang="en-US" sz="800" b="0" baseline="0">
            <a:solidFill>
              <a:schemeClr val="tx1"/>
            </a:solidFill>
            <a:latin typeface="Times New Roman" panose="02020603050405020304" pitchFamily="18" charset="0"/>
            <a:ea typeface="+mn-ea"/>
            <a:cs typeface="Times New Roman" panose="02020603050405020304" pitchFamily="18" charset="0"/>
          </a:endParaRPr>
        </a:p>
        <a:p>
          <a:r>
            <a:rPr lang="en-US" sz="800" b="0" baseline="0">
              <a:solidFill>
                <a:schemeClr val="tx1"/>
              </a:solidFill>
              <a:latin typeface="Times New Roman" panose="02020603050405020304" pitchFamily="18" charset="0"/>
              <a:ea typeface="+mn-ea"/>
              <a:cs typeface="Times New Roman" panose="02020603050405020304" pitchFamily="18" charset="0"/>
            </a:rPr>
            <a:t>  o the ListTableLookup tab is the renamed DDL tab that includes drop down lists and table look up values.</a:t>
          </a:r>
        </a:p>
        <a:p>
          <a:r>
            <a:rPr lang="en-US" sz="800" b="0" baseline="0">
              <a:solidFill>
                <a:schemeClr val="tx1"/>
              </a:solidFill>
              <a:latin typeface="Times New Roman" panose="02020603050405020304" pitchFamily="18" charset="0"/>
              <a:ea typeface="+mn-ea"/>
              <a:cs typeface="Times New Roman" panose="02020603050405020304" pitchFamily="18" charset="0"/>
            </a:rPr>
            <a:t> </a:t>
          </a:r>
        </a:p>
        <a:p>
          <a:r>
            <a:rPr lang="en-US" sz="800" b="0" baseline="0">
              <a:solidFill>
                <a:schemeClr val="tx1"/>
              </a:solidFill>
              <a:latin typeface="Times New Roman" panose="02020603050405020304" pitchFamily="18" charset="0"/>
              <a:ea typeface="+mn-ea"/>
              <a:cs typeface="Times New Roman" panose="02020603050405020304" pitchFamily="18" charset="0"/>
            </a:rPr>
            <a:t>  o the Documentation tab provides some behind the scenes information about this workbook.</a:t>
          </a:r>
        </a:p>
        <a:p>
          <a:endParaRPr lang="en-US" sz="800" b="0" baseline="0">
            <a:solidFill>
              <a:schemeClr val="tx1"/>
            </a:solidFill>
            <a:latin typeface="Times New Roman" panose="02020603050405020304" pitchFamily="18" charset="0"/>
            <a:ea typeface="+mn-ea"/>
            <a:cs typeface="Times New Roman" panose="02020603050405020304" pitchFamily="18" charset="0"/>
          </a:endParaRPr>
        </a:p>
        <a:p>
          <a:r>
            <a:rPr lang="en-US" sz="800">
              <a:solidFill>
                <a:schemeClr val="tx1"/>
              </a:solidFill>
              <a:latin typeface="Times New Roman" panose="02020603050405020304" pitchFamily="18" charset="0"/>
              <a:cs typeface="Times New Roman" panose="02020603050405020304" pitchFamily="18" charset="0"/>
            </a:rPr>
            <a:t>  o most information accessed through the information</a:t>
          </a:r>
          <a:r>
            <a:rPr lang="en-US" sz="800" baseline="0">
              <a:solidFill>
                <a:schemeClr val="tx1"/>
              </a:solidFill>
              <a:latin typeface="Times New Roman" panose="02020603050405020304" pitchFamily="18" charset="0"/>
              <a:cs typeface="Times New Roman" panose="02020603050405020304" pitchFamily="18" charset="0"/>
            </a:rPr>
            <a:t> icon in column D is now available in the Rulemaking Manual lon Rule_Resources and linked from front page of the rulemaking SharePoint.  </a:t>
          </a:r>
        </a:p>
        <a:p>
          <a:endParaRPr lang="en-US" sz="800" baseline="0">
            <a:solidFill>
              <a:schemeClr val="tx1"/>
            </a:solidFill>
            <a:latin typeface="Times New Roman" panose="02020603050405020304" pitchFamily="18" charset="0"/>
            <a:cs typeface="Times New Roman" panose="02020603050405020304" pitchFamily="18" charset="0"/>
          </a:endParaRPr>
        </a:p>
        <a:p>
          <a:r>
            <a:rPr lang="en-US" sz="800" baseline="0">
              <a:solidFill>
                <a:schemeClr val="tx1"/>
              </a:solidFill>
              <a:latin typeface="Times New Roman" panose="02020603050405020304" pitchFamily="18" charset="0"/>
              <a:cs typeface="Times New Roman" panose="02020603050405020304" pitchFamily="18" charset="0"/>
            </a:rPr>
            <a:t>  o there is a reduced number of date entry fields.</a:t>
          </a:r>
        </a:p>
        <a:p>
          <a:endParaRPr lang="en-US" sz="800" baseline="0">
            <a:solidFill>
              <a:schemeClr val="tx1"/>
            </a:solidFill>
            <a:latin typeface="Times New Roman" panose="02020603050405020304" pitchFamily="18" charset="0"/>
            <a:cs typeface="Times New Roman" panose="02020603050405020304" pitchFamily="18"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79375</xdr:colOff>
      <xdr:row>60</xdr:row>
      <xdr:rowOff>55562</xdr:rowOff>
    </xdr:from>
    <xdr:to>
      <xdr:col>4</xdr:col>
      <xdr:colOff>2035175</xdr:colOff>
      <xdr:row>64</xdr:row>
      <xdr:rowOff>58737</xdr:rowOff>
    </xdr:to>
    <xdr:pic>
      <xdr:nvPicPr>
        <xdr:cNvPr id="10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3897313" y="17145000"/>
          <a:ext cx="2432050" cy="733425"/>
        </a:xfrm>
        <a:prstGeom prst="rect">
          <a:avLst/>
        </a:prstGeom>
        <a:noFill/>
        <a:ln w="1">
          <a:noFill/>
          <a:miter lim="800000"/>
          <a:headEnd/>
          <a:tailEnd type="none" w="med" len="med"/>
        </a:ln>
        <a:effectLst/>
      </xdr:spPr>
    </xdr:pic>
    <xdr:clientData/>
  </xdr:twoCellAnchor>
  <xdr:twoCellAnchor editAs="oneCell">
    <xdr:from>
      <xdr:col>1</xdr:col>
      <xdr:colOff>111125</xdr:colOff>
      <xdr:row>60</xdr:row>
      <xdr:rowOff>103185</xdr:rowOff>
    </xdr:from>
    <xdr:to>
      <xdr:col>1</xdr:col>
      <xdr:colOff>1759872</xdr:colOff>
      <xdr:row>74</xdr:row>
      <xdr:rowOff>4687</xdr:rowOff>
    </xdr:to>
    <xdr:pic>
      <xdr:nvPicPr>
        <xdr:cNvPr id="15" name="Picture 14"/>
        <xdr:cNvPicPr>
          <a:picLocks noChangeAspect="1"/>
        </xdr:cNvPicPr>
      </xdr:nvPicPr>
      <xdr:blipFill>
        <a:blip xmlns:r="http://schemas.openxmlformats.org/officeDocument/2006/relationships" r:embed="rId2" cstate="print"/>
        <a:stretch>
          <a:fillRect/>
        </a:stretch>
      </xdr:blipFill>
      <xdr:spPr>
        <a:xfrm>
          <a:off x="198438" y="17192623"/>
          <a:ext cx="1648747" cy="2457377"/>
        </a:xfrm>
        <a:prstGeom prst="rect">
          <a:avLst/>
        </a:prstGeom>
      </xdr:spPr>
    </xdr:pic>
    <xdr:clientData/>
  </xdr:twoCellAnchor>
  <xdr:twoCellAnchor editAs="oneCell">
    <xdr:from>
      <xdr:col>1</xdr:col>
      <xdr:colOff>2071686</xdr:colOff>
      <xdr:row>60</xdr:row>
      <xdr:rowOff>111112</xdr:rowOff>
    </xdr:from>
    <xdr:to>
      <xdr:col>1</xdr:col>
      <xdr:colOff>3532187</xdr:colOff>
      <xdr:row>77</xdr:row>
      <xdr:rowOff>155890</xdr:rowOff>
    </xdr:to>
    <xdr:pic>
      <xdr:nvPicPr>
        <xdr:cNvPr id="16" name="Picture 15"/>
        <xdr:cNvPicPr>
          <a:picLocks noChangeAspect="1"/>
        </xdr:cNvPicPr>
      </xdr:nvPicPr>
      <xdr:blipFill>
        <a:blip xmlns:r="http://schemas.openxmlformats.org/officeDocument/2006/relationships" r:embed="rId3" cstate="print"/>
        <a:stretch>
          <a:fillRect/>
        </a:stretch>
      </xdr:blipFill>
      <xdr:spPr>
        <a:xfrm>
          <a:off x="2158999" y="17200550"/>
          <a:ext cx="1460501" cy="3148340"/>
        </a:xfrm>
        <a:prstGeom prst="rect">
          <a:avLst/>
        </a:prstGeom>
      </xdr:spPr>
    </xdr:pic>
    <xdr:clientData/>
  </xdr:twoCellAnchor>
  <xdr:twoCellAnchor editAs="oneCell">
    <xdr:from>
      <xdr:col>7</xdr:col>
      <xdr:colOff>1076337</xdr:colOff>
      <xdr:row>60</xdr:row>
      <xdr:rowOff>55564</xdr:rowOff>
    </xdr:from>
    <xdr:to>
      <xdr:col>8</xdr:col>
      <xdr:colOff>1063639</xdr:colOff>
      <xdr:row>90</xdr:row>
      <xdr:rowOff>136526</xdr:rowOff>
    </xdr:to>
    <xdr:pic>
      <xdr:nvPicPr>
        <xdr:cNvPr id="17"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10093337" y="17145002"/>
          <a:ext cx="1828802" cy="5557837"/>
        </a:xfrm>
        <a:prstGeom prst="rect">
          <a:avLst/>
        </a:prstGeom>
        <a:noFill/>
        <a:ln w="1">
          <a:noFill/>
          <a:miter lim="800000"/>
          <a:headEnd/>
          <a:tailEnd type="none" w="med" len="med"/>
        </a:ln>
        <a:effectLst/>
      </xdr:spPr>
    </xdr:pic>
    <xdr:clientData/>
  </xdr:twoCellAnchor>
  <xdr:twoCellAnchor editAs="oneCell">
    <xdr:from>
      <xdr:col>4</xdr:col>
      <xdr:colOff>1833562</xdr:colOff>
      <xdr:row>60</xdr:row>
      <xdr:rowOff>55561</xdr:rowOff>
    </xdr:from>
    <xdr:to>
      <xdr:col>6</xdr:col>
      <xdr:colOff>1293812</xdr:colOff>
      <xdr:row>74</xdr:row>
      <xdr:rowOff>139700</xdr:rowOff>
    </xdr:to>
    <xdr:pic>
      <xdr:nvPicPr>
        <xdr:cNvPr id="18" name="Picture 3"/>
        <xdr:cNvPicPr>
          <a:picLocks noChangeAspect="1" noChangeArrowheads="1"/>
        </xdr:cNvPicPr>
      </xdr:nvPicPr>
      <xdr:blipFill>
        <a:blip xmlns:r="http://schemas.openxmlformats.org/officeDocument/2006/relationships" r:embed="rId5" cstate="print"/>
        <a:srcRect/>
        <a:stretch>
          <a:fillRect/>
        </a:stretch>
      </xdr:blipFill>
      <xdr:spPr bwMode="auto">
        <a:xfrm>
          <a:off x="6127750" y="17144999"/>
          <a:ext cx="2365375" cy="2640014"/>
        </a:xfrm>
        <a:prstGeom prst="rect">
          <a:avLst/>
        </a:prstGeom>
        <a:noFill/>
        <a:ln w="1">
          <a:noFill/>
          <a:miter lim="800000"/>
          <a:headEnd/>
          <a:tailEnd type="none" w="med" len="med"/>
        </a:ln>
        <a:effectLst/>
      </xdr:spPr>
    </xdr:pic>
    <xdr:clientData/>
  </xdr:twoCellAnchor>
  <xdr:twoCellAnchor editAs="oneCell">
    <xdr:from>
      <xdr:col>4</xdr:col>
      <xdr:colOff>1809748</xdr:colOff>
      <xdr:row>75</xdr:row>
      <xdr:rowOff>23811</xdr:rowOff>
    </xdr:from>
    <xdr:to>
      <xdr:col>6</xdr:col>
      <xdr:colOff>1298573</xdr:colOff>
      <xdr:row>84</xdr:row>
      <xdr:rowOff>79375</xdr:rowOff>
    </xdr:to>
    <xdr:pic>
      <xdr:nvPicPr>
        <xdr:cNvPr id="19" name="Picture 4"/>
        <xdr:cNvPicPr>
          <a:picLocks noChangeAspect="1" noChangeArrowheads="1"/>
        </xdr:cNvPicPr>
      </xdr:nvPicPr>
      <xdr:blipFill>
        <a:blip xmlns:r="http://schemas.openxmlformats.org/officeDocument/2006/relationships" r:embed="rId6" cstate="print"/>
        <a:srcRect/>
        <a:stretch>
          <a:fillRect/>
        </a:stretch>
      </xdr:blipFill>
      <xdr:spPr bwMode="auto">
        <a:xfrm>
          <a:off x="6103936" y="19851686"/>
          <a:ext cx="2393950" cy="1698627"/>
        </a:xfrm>
        <a:prstGeom prst="rect">
          <a:avLst/>
        </a:prstGeom>
        <a:noFill/>
        <a:ln w="1">
          <a:noFill/>
          <a:miter lim="800000"/>
          <a:headEnd/>
          <a:tailEnd type="none" w="med" len="med"/>
        </a:ln>
        <a:effectLst/>
      </xdr:spPr>
    </xdr:pic>
    <xdr:clientData/>
  </xdr:twoCellAnchor>
  <xdr:twoCellAnchor editAs="oneCell">
    <xdr:from>
      <xdr:col>8</xdr:col>
      <xdr:colOff>1119197</xdr:colOff>
      <xdr:row>60</xdr:row>
      <xdr:rowOff>71437</xdr:rowOff>
    </xdr:from>
    <xdr:to>
      <xdr:col>9</xdr:col>
      <xdr:colOff>1281122</xdr:colOff>
      <xdr:row>98</xdr:row>
      <xdr:rowOff>7937</xdr:rowOff>
    </xdr:to>
    <xdr:pic>
      <xdr:nvPicPr>
        <xdr:cNvPr id="20"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11977697" y="17160875"/>
          <a:ext cx="2003425" cy="6873875"/>
        </a:xfrm>
        <a:prstGeom prst="rect">
          <a:avLst/>
        </a:prstGeom>
        <a:noFill/>
        <a:ln w="1">
          <a:noFill/>
          <a:miter lim="800000"/>
          <a:headEnd/>
          <a:tailEnd type="none" w="med" len="med"/>
        </a:ln>
        <a:effectLst/>
      </xdr:spPr>
    </xdr:pic>
    <xdr:clientData/>
  </xdr:twoCellAnchor>
  <xdr:twoCellAnchor editAs="oneCell">
    <xdr:from>
      <xdr:col>6</xdr:col>
      <xdr:colOff>952499</xdr:colOff>
      <xdr:row>60</xdr:row>
      <xdr:rowOff>39685</xdr:rowOff>
    </xdr:from>
    <xdr:to>
      <xdr:col>7</xdr:col>
      <xdr:colOff>1109662</xdr:colOff>
      <xdr:row>67</xdr:row>
      <xdr:rowOff>125413</xdr:rowOff>
    </xdr:to>
    <xdr:pic>
      <xdr:nvPicPr>
        <xdr:cNvPr id="21" name="Picture 7"/>
        <xdr:cNvPicPr>
          <a:picLocks noChangeAspect="1" noChangeArrowheads="1"/>
        </xdr:cNvPicPr>
      </xdr:nvPicPr>
      <xdr:blipFill>
        <a:blip xmlns:r="http://schemas.openxmlformats.org/officeDocument/2006/relationships" r:embed="rId8" cstate="print"/>
        <a:srcRect/>
        <a:stretch>
          <a:fillRect/>
        </a:stretch>
      </xdr:blipFill>
      <xdr:spPr bwMode="auto">
        <a:xfrm>
          <a:off x="8151812" y="17129123"/>
          <a:ext cx="1974850" cy="1363665"/>
        </a:xfrm>
        <a:prstGeom prst="rect">
          <a:avLst/>
        </a:prstGeom>
        <a:noFill/>
        <a:ln w="1">
          <a:noFill/>
          <a:miter lim="800000"/>
          <a:headEnd/>
          <a:tailEnd type="none" w="med" len="med"/>
        </a:ln>
        <a:effectLst/>
      </xdr:spPr>
    </xdr:pic>
    <xdr:clientData/>
  </xdr:twoCellAnchor>
  <xdr:twoCellAnchor editAs="oneCell">
    <xdr:from>
      <xdr:col>9</xdr:col>
      <xdr:colOff>1365250</xdr:colOff>
      <xdr:row>60</xdr:row>
      <xdr:rowOff>55562</xdr:rowOff>
    </xdr:from>
    <xdr:to>
      <xdr:col>10</xdr:col>
      <xdr:colOff>1517650</xdr:colOff>
      <xdr:row>71</xdr:row>
      <xdr:rowOff>50800</xdr:rowOff>
    </xdr:to>
    <xdr:pic>
      <xdr:nvPicPr>
        <xdr:cNvPr id="22" name="Picture 8"/>
        <xdr:cNvPicPr>
          <a:picLocks noChangeAspect="1" noChangeArrowheads="1"/>
        </xdr:cNvPicPr>
      </xdr:nvPicPr>
      <xdr:blipFill>
        <a:blip xmlns:r="http://schemas.openxmlformats.org/officeDocument/2006/relationships" r:embed="rId9" cstate="print"/>
        <a:srcRect/>
        <a:stretch>
          <a:fillRect/>
        </a:stretch>
      </xdr:blipFill>
      <xdr:spPr bwMode="auto">
        <a:xfrm>
          <a:off x="14065250" y="17145000"/>
          <a:ext cx="1993900" cy="2003425"/>
        </a:xfrm>
        <a:prstGeom prst="rect">
          <a:avLst/>
        </a:prstGeom>
        <a:noFill/>
        <a:ln w="1">
          <a:noFill/>
          <a:miter lim="800000"/>
          <a:headEnd/>
          <a:tailEnd type="none" w="med" len="med"/>
        </a:ln>
        <a:effectLst/>
      </xdr:spPr>
    </xdr:pic>
    <xdr:clientData/>
  </xdr:twoCellAnchor>
  <xdr:twoCellAnchor editAs="oneCell">
    <xdr:from>
      <xdr:col>11</xdr:col>
      <xdr:colOff>158750</xdr:colOff>
      <xdr:row>60</xdr:row>
      <xdr:rowOff>95250</xdr:rowOff>
    </xdr:from>
    <xdr:to>
      <xdr:col>12</xdr:col>
      <xdr:colOff>558800</xdr:colOff>
      <xdr:row>67</xdr:row>
      <xdr:rowOff>20638</xdr:rowOff>
    </xdr:to>
    <xdr:pic>
      <xdr:nvPicPr>
        <xdr:cNvPr id="23" name="Picture 9"/>
        <xdr:cNvPicPr>
          <a:picLocks noChangeAspect="1" noChangeArrowheads="1"/>
        </xdr:cNvPicPr>
      </xdr:nvPicPr>
      <xdr:blipFill>
        <a:blip xmlns:r="http://schemas.openxmlformats.org/officeDocument/2006/relationships" r:embed="rId10" cstate="print"/>
        <a:srcRect/>
        <a:stretch>
          <a:fillRect/>
        </a:stretch>
      </xdr:blipFill>
      <xdr:spPr bwMode="auto">
        <a:xfrm>
          <a:off x="16541750" y="17184688"/>
          <a:ext cx="2241550" cy="1203325"/>
        </a:xfrm>
        <a:prstGeom prst="rect">
          <a:avLst/>
        </a:prstGeom>
        <a:noFill/>
        <a:ln w="1">
          <a:noFill/>
          <a:miter lim="800000"/>
          <a:headEnd/>
          <a:tailEnd type="none" w="med" len="med"/>
        </a:ln>
        <a:effectLst/>
      </xdr:spPr>
    </xdr:pic>
    <xdr:clientData/>
  </xdr:twoCellAnchor>
  <xdr:twoCellAnchor editAs="oneCell">
    <xdr:from>
      <xdr:col>12</xdr:col>
      <xdr:colOff>412749</xdr:colOff>
      <xdr:row>60</xdr:row>
      <xdr:rowOff>103188</xdr:rowOff>
    </xdr:from>
    <xdr:to>
      <xdr:col>13</xdr:col>
      <xdr:colOff>1041399</xdr:colOff>
      <xdr:row>91</xdr:row>
      <xdr:rowOff>15876</xdr:rowOff>
    </xdr:to>
    <xdr:pic>
      <xdr:nvPicPr>
        <xdr:cNvPr id="24" name="Picture 10"/>
        <xdr:cNvPicPr>
          <a:picLocks noChangeAspect="1" noChangeArrowheads="1"/>
        </xdr:cNvPicPr>
      </xdr:nvPicPr>
      <xdr:blipFill>
        <a:blip xmlns:r="http://schemas.openxmlformats.org/officeDocument/2006/relationships" r:embed="rId11" cstate="print"/>
        <a:srcRect/>
        <a:stretch>
          <a:fillRect/>
        </a:stretch>
      </xdr:blipFill>
      <xdr:spPr bwMode="auto">
        <a:xfrm>
          <a:off x="18637249" y="17192626"/>
          <a:ext cx="2470150" cy="5572125"/>
        </a:xfrm>
        <a:prstGeom prst="rect">
          <a:avLst/>
        </a:prstGeom>
        <a:noFill/>
        <a:ln w="1">
          <a:noFill/>
          <a:miter lim="800000"/>
          <a:headEnd/>
          <a:tailEnd type="none" w="med" len="med"/>
        </a:ln>
        <a:effectLst/>
      </xdr:spPr>
    </xdr:pic>
    <xdr:clientData/>
  </xdr:twoCellAnchor>
  <xdr:twoCellAnchor editAs="oneCell">
    <xdr:from>
      <xdr:col>6</xdr:col>
      <xdr:colOff>944561</xdr:colOff>
      <xdr:row>67</xdr:row>
      <xdr:rowOff>87312</xdr:rowOff>
    </xdr:from>
    <xdr:to>
      <xdr:col>7</xdr:col>
      <xdr:colOff>574674</xdr:colOff>
      <xdr:row>70</xdr:row>
      <xdr:rowOff>63500</xdr:rowOff>
    </xdr:to>
    <xdr:pic>
      <xdr:nvPicPr>
        <xdr:cNvPr id="25" name="Picture 11"/>
        <xdr:cNvPicPr>
          <a:picLocks noChangeAspect="1" noChangeArrowheads="1"/>
        </xdr:cNvPicPr>
      </xdr:nvPicPr>
      <xdr:blipFill>
        <a:blip xmlns:r="http://schemas.openxmlformats.org/officeDocument/2006/relationships" r:embed="rId12" cstate="print"/>
        <a:srcRect/>
        <a:stretch>
          <a:fillRect/>
        </a:stretch>
      </xdr:blipFill>
      <xdr:spPr bwMode="auto">
        <a:xfrm>
          <a:off x="8143874" y="18454687"/>
          <a:ext cx="1447800" cy="523876"/>
        </a:xfrm>
        <a:prstGeom prst="rect">
          <a:avLst/>
        </a:prstGeom>
        <a:noFill/>
        <a:ln w="1">
          <a:noFill/>
          <a:miter lim="800000"/>
          <a:headEnd/>
          <a:tailEnd type="none" w="med" len="med"/>
        </a:ln>
        <a:effectLst/>
      </xdr:spPr>
    </xdr:pic>
    <xdr:clientData/>
  </xdr:twoCellAnchor>
  <xdr:twoCellAnchor editAs="oneCell">
    <xdr:from>
      <xdr:col>2</xdr:col>
      <xdr:colOff>95251</xdr:colOff>
      <xdr:row>65</xdr:row>
      <xdr:rowOff>15873</xdr:rowOff>
    </xdr:from>
    <xdr:to>
      <xdr:col>4</xdr:col>
      <xdr:colOff>1589088</xdr:colOff>
      <xdr:row>75</xdr:row>
      <xdr:rowOff>171449</xdr:rowOff>
    </xdr:to>
    <xdr:pic>
      <xdr:nvPicPr>
        <xdr:cNvPr id="26"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3913189" y="18018123"/>
          <a:ext cx="1970087" cy="1981201"/>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DEQHQ1\Rule_Resources\0.IndividualRulemaking\1-Planning\Microsoft\Windows\Temporary%20Internet%20Files\AppData\Local\Microsoft\Windows\groups\eqc\docs\EQCDeadlines.docx" TargetMode="External"/><Relationship Id="rId18" Type="http://schemas.openxmlformats.org/officeDocument/2006/relationships/hyperlink" Target="file:///\\deq000\templates\General\Agenda%20Template.dotx" TargetMode="External"/><Relationship Id="rId26" Type="http://schemas.openxmlformats.org/officeDocument/2006/relationships/hyperlink" Target="mailto:cjohnson@eou.edu"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MorganRider@gmail.com" TargetMode="External"/><Relationship Id="rId34" Type="http://schemas.openxmlformats.org/officeDocument/2006/relationships/hyperlink" Target="mailto:MEden@neea.org" TargetMode="External"/><Relationship Id="rId42" Type="http://schemas.openxmlformats.org/officeDocument/2006/relationships/hyperlink" Target="file:///\\deq000\templates\General\Agenda%20Template.dotx" TargetMode="External"/><Relationship Id="rId47" Type="http://schemas.openxmlformats.org/officeDocument/2006/relationships/hyperlink" Target="file:///\\deq000\templates\General\Minutes%20Template.dotx" TargetMode="External"/><Relationship Id="rId50" Type="http://schemas.openxmlformats.org/officeDocument/2006/relationships/hyperlink" Target="file:///\\deq000\templates\General\Agenda%20Template.dotx" TargetMode="External"/><Relationship Id="rId55" Type="http://schemas.openxmlformats.org/officeDocument/2006/relationships/hyperlink" Target="http://www.oregon.gov/deq/RulesandRegulations/Pages/proposedrule.aspx" TargetMode="External"/><Relationship Id="rId7" Type="http://schemas.openxmlformats.org/officeDocument/2006/relationships/hyperlink" Target="http://deq05/intranet/communication/publicinvolvement/signs.htm" TargetMode="External"/><Relationship Id="rId12" Type="http://schemas.openxmlformats.org/officeDocument/2006/relationships/hyperlink" Target="http://cms.oregon.gov/DEQ/EQC/pages/index.aspx" TargetMode="External"/><Relationship Id="rId17" Type="http://schemas.openxmlformats.org/officeDocument/2006/relationships/hyperlink" Target="file:///\\deqhq1\Rule_Development\Currrent%20Plan" TargetMode="External"/><Relationship Id="rId25" Type="http://schemas.openxmlformats.org/officeDocument/2006/relationships/hyperlink" Target="mailto:MorganRider@gmail.com" TargetMode="External"/><Relationship Id="rId33" Type="http://schemas.openxmlformats.org/officeDocument/2006/relationships/hyperlink" Target="mailto:cjohnson@eou.edu" TargetMode="External"/><Relationship Id="rId38" Type="http://schemas.openxmlformats.org/officeDocument/2006/relationships/hyperlink" Target="http://deq05/intranet/communication/publicinvolvement/index.htm" TargetMode="External"/><Relationship Id="rId46" Type="http://schemas.openxmlformats.org/officeDocument/2006/relationships/hyperlink" Target="file:///\\deq000\templates\General\Agenda%20Template.dotx" TargetMode="External"/><Relationship Id="rId59"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https://www.oregonlegislature.gov/bills_laws/lawsstatutes/2011ors192.html" TargetMode="External"/><Relationship Id="rId20" Type="http://schemas.openxmlformats.org/officeDocument/2006/relationships/hyperlink" Target="mailto:EdArmstrong2@gmail.com" TargetMode="External"/><Relationship Id="rId29" Type="http://schemas.openxmlformats.org/officeDocument/2006/relationships/hyperlink" Target="mailto:MEden@neea.org" TargetMode="External"/><Relationship Id="rId41" Type="http://schemas.openxmlformats.org/officeDocument/2006/relationships/hyperlink" Target="http://deq05/intranet/communication/WebRequests.htm" TargetMode="External"/><Relationship Id="rId54" Type="http://schemas.openxmlformats.org/officeDocument/2006/relationships/hyperlink" Target="file:///\\deq000\templates\General\Agenda%20Template.dot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lc.state.or.us/arrs.htm" TargetMode="External"/><Relationship Id="rId11" Type="http://schemas.openxmlformats.org/officeDocument/2006/relationships/hyperlink" Target="http://deq05/intranet/communication/publicinvolvement/index.htm" TargetMode="External"/><Relationship Id="rId24" Type="http://schemas.openxmlformats.org/officeDocument/2006/relationships/hyperlink" Target="mailto:EdArmstrong2@gmail.com" TargetMode="External"/><Relationship Id="rId32" Type="http://schemas.openxmlformats.org/officeDocument/2006/relationships/hyperlink" Target="mailto:MorganRider@gmail.com" TargetMode="External"/><Relationship Id="rId37" Type="http://schemas.openxmlformats.org/officeDocument/2006/relationships/hyperlink" Target="http://www.oregon.gov/transparency/Pages/PublicMeetingNotices.aspx" TargetMode="External"/><Relationship Id="rId40" Type="http://schemas.openxmlformats.org/officeDocument/2006/relationships/hyperlink" Target="http://deq05/intranet/contentmanagement/login.asp" TargetMode="External"/><Relationship Id="rId45" Type="http://schemas.openxmlformats.org/officeDocument/2006/relationships/hyperlink" Target="http://deq05/intranet/communication/WebRequests.htm" TargetMode="External"/><Relationship Id="rId53" Type="http://schemas.openxmlformats.org/officeDocument/2006/relationships/hyperlink" Target="http://deq05/intranet/communication/WebRequests.htm" TargetMode="External"/><Relationship Id="rId58" Type="http://schemas.openxmlformats.org/officeDocument/2006/relationships/printerSettings" Target="../printerSettings/printerSettings1.bin"/><Relationship Id="rId5" Type="http://schemas.openxmlformats.org/officeDocument/2006/relationships/hyperlink" Target="http://arcweb.sos.state.or.us/pages/rules/oars_300/oar_340/340_tofc.html" TargetMode="External"/><Relationship Id="rId15" Type="http://schemas.openxmlformats.org/officeDocument/2006/relationships/hyperlink" Target="mailto:RulePublicatons@deq.state.or.us" TargetMode="External"/><Relationship Id="rId23" Type="http://schemas.openxmlformats.org/officeDocument/2006/relationships/hyperlink" Target="mailto:JoKRanch@hotmail.com" TargetMode="External"/><Relationship Id="rId28" Type="http://schemas.openxmlformats.org/officeDocument/2006/relationships/hyperlink" Target="http://arcweb.sos.state.or.us/pages/rules/oars_300/oar_340/340_018.html" TargetMode="External"/><Relationship Id="rId36" Type="http://schemas.openxmlformats.org/officeDocument/2006/relationships/hyperlink" Target="mailto:Comment-CodeName@deq.state,or,us" TargetMode="External"/><Relationship Id="rId49" Type="http://schemas.openxmlformats.org/officeDocument/2006/relationships/hyperlink" Target="http://deq05/intranet/communication/WebRequests.htm" TargetMode="External"/><Relationship Id="rId57" Type="http://schemas.openxmlformats.org/officeDocument/2006/relationships/hyperlink" Target="http://www.lc.state.or.us/arrs.htm" TargetMode="External"/><Relationship Id="rId10" Type="http://schemas.openxmlformats.org/officeDocument/2006/relationships/hyperlink" Target="file:///\\DEQHQ1\Rule_Resources\i\AUTO.REPLY.CommentBox.docx" TargetMode="External"/><Relationship Id="rId19" Type="http://schemas.openxmlformats.org/officeDocument/2006/relationships/hyperlink" Target="mailto:JoKRanch@hotmail.com" TargetMode="External"/><Relationship Id="rId31" Type="http://schemas.openxmlformats.org/officeDocument/2006/relationships/hyperlink" Target="mailto:EdArmstrong2@gmail.com" TargetMode="External"/><Relationship Id="rId44" Type="http://schemas.openxmlformats.org/officeDocument/2006/relationships/hyperlink" Target="http://deq05/intranet/contentmanagement/login.asp" TargetMode="External"/><Relationship Id="rId52" Type="http://schemas.openxmlformats.org/officeDocument/2006/relationships/hyperlink" Target="http://deq05/intranet/contentmanagement/login.asp" TargetMode="External"/><Relationship Id="rId4" Type="http://schemas.openxmlformats.org/officeDocument/2006/relationships/hyperlink" Target="http://deq05/intranet/contentmanagement/login.asp" TargetMode="External"/><Relationship Id="rId9" Type="http://schemas.openxmlformats.org/officeDocument/2006/relationships/hyperlink" Target="http://deq05/intranet/contentmanagement/login.asp" TargetMode="External"/><Relationship Id="rId14" Type="http://schemas.openxmlformats.org/officeDocument/2006/relationships/hyperlink" Target="file:///\\DEQHQ1\Rule_Resources\i\AD.LEGAL.docx" TargetMode="External"/><Relationship Id="rId22" Type="http://schemas.openxmlformats.org/officeDocument/2006/relationships/hyperlink" Target="mailto:cjohnson@eou.edu" TargetMode="External"/><Relationship Id="rId27" Type="http://schemas.openxmlformats.org/officeDocument/2006/relationships/hyperlink" Target="mailto:MEden@neea.org" TargetMode="External"/><Relationship Id="rId30" Type="http://schemas.openxmlformats.org/officeDocument/2006/relationships/hyperlink" Target="mailto:JoKRanch@hotmail.com" TargetMode="External"/><Relationship Id="rId35" Type="http://schemas.openxmlformats.org/officeDocument/2006/relationships/hyperlink" Target="http://www.oregon.gov/deq/RulesandRegulations/Pages/2014/%22&amp;S.General.CcodeName&amp;%22.aspx" TargetMode="External"/><Relationship Id="rId43" Type="http://schemas.openxmlformats.org/officeDocument/2006/relationships/hyperlink" Target="file:///\\deq000\templates\General\Minutes%20Template.dotx" TargetMode="External"/><Relationship Id="rId48" Type="http://schemas.openxmlformats.org/officeDocument/2006/relationships/hyperlink" Target="http://deq05/intranet/contentmanagement/login.asp" TargetMode="External"/><Relationship Id="rId56" Type="http://schemas.openxmlformats.org/officeDocument/2006/relationships/hyperlink" Target="http://arcweb.sos.state.or.us/pages/rules/resources/fileonline.html" TargetMode="External"/><Relationship Id="rId8" Type="http://schemas.openxmlformats.org/officeDocument/2006/relationships/hyperlink" Target="http://deq05/intranet/communication/WebRequests.htm" TargetMode="External"/><Relationship Id="rId51" Type="http://schemas.openxmlformats.org/officeDocument/2006/relationships/hyperlink" Target="file:///\\deq000\templates\General\Minutes%20Template.dotx" TargetMode="External"/><Relationship Id="rId3" Type="http://schemas.openxmlformats.org/officeDocument/2006/relationships/hyperlink" Target="http://deq05/intranet/communication/publicinvolvement/signs.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leg.state.or.us/ors/187.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AY2336"/>
  <sheetViews>
    <sheetView showGridLines="0" tabSelected="1" topLeftCell="C1" zoomScale="150" zoomScaleNormal="150" workbookViewId="0">
      <selection activeCell="AB20" sqref="AB20"/>
    </sheetView>
  </sheetViews>
  <sheetFormatPr defaultColWidth="9" defaultRowHeight="14.25" outlineLevelRow="3" outlineLevelCol="1" x14ac:dyDescent="0.2"/>
  <cols>
    <col min="1" max="1" width="1.5" customWidth="1"/>
    <col min="2" max="2" width="63.125" customWidth="1"/>
    <col min="3" max="3" width="2.375" style="12" customWidth="1"/>
    <col min="4" max="4" width="2.375" style="518" customWidth="1"/>
    <col min="5" max="5" width="2.375" style="518" hidden="1" customWidth="1"/>
    <col min="6" max="6" width="3" style="11" customWidth="1"/>
    <col min="7" max="8" width="9.125" style="12" customWidth="1"/>
    <col min="9" max="9" width="5.125" style="12" customWidth="1" outlineLevel="1"/>
    <col min="10" max="21" width="1.25" customWidth="1" outlineLevel="1"/>
    <col min="22" max="23" width="1.25" style="6" customWidth="1" outlineLevel="1"/>
    <col min="24" max="24" width="1.25" customWidth="1" outlineLevel="1"/>
    <col min="25" max="25" width="1.25" style="960" customWidth="1" outlineLevel="1"/>
    <col min="26" max="27" width="1.25" style="6" customWidth="1" outlineLevel="1"/>
    <col min="28" max="28" width="63.125" style="161" customWidth="1" outlineLevel="1"/>
    <col min="29" max="29" width="3.125" style="235" customWidth="1" outlineLevel="1"/>
    <col min="30" max="30" width="0.25" style="6" customWidth="1" outlineLevel="1"/>
    <col min="31" max="31" width="1.25" style="6" customWidth="1" outlineLevel="1"/>
    <col min="32" max="32" width="1.625" customWidth="1" outlineLevel="1"/>
    <col min="33" max="33" width="7.375" style="960" customWidth="1" outlineLevel="1"/>
    <col min="34" max="34" width="7.625" style="960" customWidth="1" outlineLevel="1"/>
    <col min="35" max="35" width="8.625" style="10" customWidth="1" outlineLevel="1"/>
    <col min="36" max="36" width="5.75" style="960" customWidth="1" outlineLevel="1"/>
    <col min="38" max="38" width="4.5" customWidth="1"/>
    <col min="39" max="39" width="18.25" style="6" customWidth="1"/>
  </cols>
  <sheetData>
    <row r="1" spans="1:51" ht="20.25" customHeight="1" x14ac:dyDescent="0.25">
      <c r="A1" s="85" t="s">
        <v>0</v>
      </c>
      <c r="B1" s="59" t="s">
        <v>18</v>
      </c>
      <c r="C1" s="83"/>
      <c r="D1" s="484" t="s">
        <v>0</v>
      </c>
      <c r="E1" s="484"/>
      <c r="F1" s="582" t="s">
        <v>0</v>
      </c>
      <c r="G1" s="1046" t="s">
        <v>0</v>
      </c>
      <c r="H1" s="1046"/>
      <c r="I1" s="532"/>
      <c r="AB1" s="992" t="s">
        <v>519</v>
      </c>
      <c r="AC1" s="993" t="s">
        <v>0</v>
      </c>
      <c r="AD1" s="992"/>
      <c r="AE1" s="992"/>
      <c r="AF1" s="992"/>
      <c r="AG1" s="992"/>
      <c r="AH1" s="992"/>
      <c r="AI1" s="578"/>
      <c r="AJ1" s="19"/>
      <c r="AK1" s="34"/>
      <c r="AL1" s="959"/>
      <c r="AM1" s="959"/>
      <c r="AN1" s="959"/>
      <c r="AO1" s="959"/>
    </row>
    <row r="2" spans="1:51" s="6" customFormat="1" ht="14.1" customHeight="1" x14ac:dyDescent="0.2">
      <c r="A2" s="85"/>
      <c r="B2" s="568" t="str">
        <f>S.General.CodeName</f>
        <v>CodeName</v>
      </c>
      <c r="C2" s="42" t="s">
        <v>0</v>
      </c>
      <c r="D2" s="100"/>
      <c r="E2" s="100"/>
      <c r="F2" s="249" t="s">
        <v>0</v>
      </c>
      <c r="G2" s="243" t="s">
        <v>121</v>
      </c>
      <c r="H2" s="243" t="s">
        <v>57</v>
      </c>
      <c r="I2" s="532"/>
      <c r="J2"/>
      <c r="K2"/>
      <c r="L2"/>
      <c r="M2"/>
      <c r="N2"/>
      <c r="O2"/>
      <c r="P2"/>
      <c r="Q2"/>
      <c r="R2"/>
      <c r="S2"/>
      <c r="T2"/>
      <c r="U2"/>
      <c r="X2"/>
      <c r="Y2" s="960"/>
      <c r="AB2" s="926"/>
      <c r="AC2" s="993" t="s">
        <v>0</v>
      </c>
      <c r="AD2" s="19"/>
      <c r="AE2" s="19"/>
      <c r="AF2" s="19"/>
      <c r="AG2" s="35"/>
      <c r="AH2" s="35"/>
      <c r="AI2" s="24"/>
      <c r="AJ2" s="30"/>
      <c r="AK2" s="34"/>
      <c r="AL2" s="364"/>
      <c r="AM2" s="34"/>
    </row>
    <row r="3" spans="1:51" s="6" customFormat="1" ht="14.1" customHeight="1" x14ac:dyDescent="0.2">
      <c r="A3" s="85"/>
      <c r="B3" s="1033"/>
      <c r="C3" s="1074" t="s">
        <v>0</v>
      </c>
      <c r="D3" s="1074"/>
      <c r="E3" s="1074"/>
      <c r="F3" s="1074"/>
      <c r="G3" s="569">
        <f ca="1">AG3</f>
        <v>42009</v>
      </c>
      <c r="H3" s="570">
        <f>AH3</f>
        <v>0</v>
      </c>
      <c r="I3" s="532"/>
      <c r="J3"/>
      <c r="K3"/>
      <c r="L3"/>
      <c r="M3"/>
      <c r="N3"/>
      <c r="O3"/>
      <c r="P3"/>
      <c r="Q3"/>
      <c r="R3"/>
      <c r="S3"/>
      <c r="T3"/>
      <c r="U3"/>
      <c r="X3"/>
      <c r="Y3" s="960"/>
      <c r="AB3" s="927" t="str">
        <f>"Last row = "&amp;ROW(S.General.LastCellSchedule)</f>
        <v>Last row = 861</v>
      </c>
      <c r="AC3" s="993" t="s">
        <v>0</v>
      </c>
      <c r="AD3" s="19"/>
      <c r="AE3" s="19"/>
      <c r="AF3" s="19"/>
      <c r="AG3" s="25">
        <f ca="1">TODAY()</f>
        <v>42009</v>
      </c>
      <c r="AH3" s="25">
        <f>S.7PostEQC.END</f>
        <v>0</v>
      </c>
      <c r="AI3" s="306" t="s">
        <v>0</v>
      </c>
      <c r="AJ3" s="248"/>
      <c r="AK3" s="34"/>
      <c r="AL3" s="364"/>
      <c r="AM3" s="34"/>
      <c r="AS3" s="1070"/>
      <c r="AT3" s="1070"/>
      <c r="AU3" s="1070"/>
      <c r="AV3" s="1070"/>
      <c r="AW3" s="1070"/>
      <c r="AX3" s="1070"/>
      <c r="AY3" s="1070"/>
    </row>
    <row r="4" spans="1:51" ht="6" customHeight="1" x14ac:dyDescent="0.2">
      <c r="A4" s="93"/>
      <c r="B4" s="60"/>
      <c r="C4" s="52"/>
      <c r="D4" s="485"/>
      <c r="E4" s="485"/>
      <c r="F4" s="53"/>
      <c r="G4" s="52"/>
      <c r="H4" s="52"/>
      <c r="I4" s="532"/>
      <c r="AB4" s="926"/>
      <c r="AC4" s="993" t="s">
        <v>0</v>
      </c>
      <c r="AD4" s="19"/>
      <c r="AE4" s="19"/>
      <c r="AF4" s="19"/>
      <c r="AG4" s="23"/>
      <c r="AH4" s="23"/>
      <c r="AI4" s="23"/>
      <c r="AJ4" s="90"/>
      <c r="AK4" s="34"/>
      <c r="AL4" s="364"/>
      <c r="AM4" s="34"/>
    </row>
    <row r="5" spans="1:51" s="6" customFormat="1" ht="39.75" customHeight="1" thickBot="1" x14ac:dyDescent="0.25">
      <c r="A5" s="93"/>
      <c r="B5" s="1073" t="s">
        <v>367</v>
      </c>
      <c r="C5" s="1073"/>
      <c r="D5" s="1073"/>
      <c r="E5" s="1073"/>
      <c r="F5" s="1073"/>
      <c r="G5" s="601"/>
      <c r="H5" s="601"/>
      <c r="I5" s="668"/>
      <c r="J5"/>
      <c r="K5"/>
      <c r="L5"/>
      <c r="M5"/>
      <c r="N5"/>
      <c r="O5"/>
      <c r="P5"/>
      <c r="Q5"/>
      <c r="R5"/>
      <c r="S5"/>
      <c r="T5"/>
      <c r="U5"/>
      <c r="X5"/>
      <c r="Y5" s="960"/>
      <c r="AB5" s="928" t="s">
        <v>0</v>
      </c>
      <c r="AC5" s="232">
        <v>0</v>
      </c>
      <c r="AD5" s="19"/>
      <c r="AE5" s="19"/>
      <c r="AF5" s="19"/>
      <c r="AG5" s="23"/>
      <c r="AH5" s="748" t="s">
        <v>0</v>
      </c>
      <c r="AI5" s="23" t="s">
        <v>0</v>
      </c>
      <c r="AJ5" s="90"/>
      <c r="AK5" s="34"/>
      <c r="AL5" s="364"/>
      <c r="AM5" s="34"/>
    </row>
    <row r="6" spans="1:51" s="6" customFormat="1" ht="14.1" customHeight="1" thickBot="1" x14ac:dyDescent="0.25">
      <c r="A6" s="93"/>
      <c r="B6" s="209" t="s">
        <v>368</v>
      </c>
      <c r="C6" s="307" t="s">
        <v>77</v>
      </c>
      <c r="F6" s="653"/>
      <c r="G6" s="1000">
        <f ca="1">S.0Overview.BEGIN</f>
        <v>42009</v>
      </c>
      <c r="I6" s="669"/>
      <c r="Y6" s="960"/>
      <c r="AB6" s="926"/>
      <c r="AC6" s="233">
        <f>IF(C6="N",0,1)</f>
        <v>0</v>
      </c>
      <c r="AD6" s="19"/>
      <c r="AE6" s="19"/>
      <c r="AF6" s="19"/>
      <c r="AG6" s="23"/>
      <c r="AH6" s="23" t="s">
        <v>0</v>
      </c>
      <c r="AI6" s="9"/>
      <c r="AJ6" s="221"/>
      <c r="AK6" s="34"/>
      <c r="AL6" s="364"/>
      <c r="AM6" s="34"/>
    </row>
    <row r="7" spans="1:51" s="6" customFormat="1" ht="6.75" customHeight="1" thickBot="1" x14ac:dyDescent="0.25">
      <c r="A7" s="93"/>
      <c r="B7" s="207"/>
      <c r="C7" s="206"/>
      <c r="D7" s="336"/>
      <c r="E7" s="336"/>
      <c r="F7" s="654"/>
      <c r="G7" s="161"/>
      <c r="H7" s="161" t="s">
        <v>0</v>
      </c>
      <c r="I7" s="670"/>
      <c r="Y7" s="960"/>
      <c r="AB7" s="929"/>
      <c r="AC7" s="232" t="s">
        <v>0</v>
      </c>
      <c r="AD7" s="19"/>
      <c r="AE7" s="19"/>
      <c r="AF7" s="19"/>
      <c r="AG7" s="35"/>
      <c r="AH7" s="24"/>
      <c r="AI7" s="24"/>
      <c r="AJ7" s="221"/>
      <c r="AK7" s="34"/>
      <c r="AL7" s="364"/>
      <c r="AM7" s="34"/>
    </row>
    <row r="8" spans="1:51" s="12" customFormat="1" ht="13.5" customHeight="1" thickBot="1" x14ac:dyDescent="0.25">
      <c r="A8" s="93"/>
      <c r="B8" s="239" t="str">
        <f>AB8</f>
        <v xml:space="preserve">PERMANENT Rulemaking </v>
      </c>
      <c r="C8" s="571" t="s">
        <v>756</v>
      </c>
      <c r="F8" s="655" t="s">
        <v>0</v>
      </c>
      <c r="I8" s="671">
        <f>IF(S.General.RuleType="P",60,30)</f>
        <v>60</v>
      </c>
      <c r="AB8" s="930" t="str">
        <f>IF(S.General.RuleType="P","PERMANENT Rulemaking ","TEMPORARY Rulemaking")</f>
        <v xml:space="preserve">PERMANENT Rulemaking </v>
      </c>
      <c r="AC8" s="233">
        <v>1</v>
      </c>
      <c r="AD8" s="977"/>
      <c r="AE8" s="977"/>
      <c r="AF8" s="977"/>
      <c r="AG8" s="572"/>
      <c r="AH8" s="572"/>
      <c r="AI8" s="9"/>
      <c r="AJ8" s="573"/>
      <c r="AK8" s="454"/>
      <c r="AL8" s="983"/>
      <c r="AM8" s="454"/>
    </row>
    <row r="9" spans="1:51" s="6" customFormat="1" ht="6.75" customHeight="1" thickBot="1" x14ac:dyDescent="0.25">
      <c r="A9" s="93"/>
      <c r="B9" s="207"/>
      <c r="C9" s="206"/>
      <c r="D9" s="336"/>
      <c r="E9" s="336"/>
      <c r="F9" s="654"/>
      <c r="G9" s="161"/>
      <c r="H9" s="161"/>
      <c r="I9" s="670"/>
      <c r="J9"/>
      <c r="K9"/>
      <c r="L9"/>
      <c r="M9"/>
      <c r="N9"/>
      <c r="O9"/>
      <c r="P9"/>
      <c r="Q9"/>
      <c r="R9"/>
      <c r="S9"/>
      <c r="T9"/>
      <c r="U9"/>
      <c r="X9"/>
      <c r="Y9" s="960"/>
      <c r="AB9" s="929"/>
      <c r="AC9" s="232" t="s">
        <v>0</v>
      </c>
      <c r="AD9" s="19"/>
      <c r="AE9" s="19"/>
      <c r="AF9" s="19"/>
      <c r="AG9" s="35"/>
      <c r="AH9" s="24"/>
      <c r="AI9" s="24"/>
      <c r="AJ9" s="221"/>
      <c r="AK9" s="34"/>
      <c r="AL9" s="364"/>
      <c r="AM9" s="34"/>
    </row>
    <row r="10" spans="1:51" s="6" customFormat="1" ht="14.1" customHeight="1" thickBot="1" x14ac:dyDescent="0.25">
      <c r="A10" s="93"/>
      <c r="B10" s="150" t="s">
        <v>137</v>
      </c>
      <c r="C10" s="307">
        <v>2</v>
      </c>
      <c r="F10" s="656" t="s">
        <v>0</v>
      </c>
      <c r="G10"/>
      <c r="H10"/>
      <c r="I10" s="672">
        <f>IF(S.General.Complexity=1,0,IF(S.General.Complexity=2,30,60))</f>
        <v>30</v>
      </c>
      <c r="J10"/>
      <c r="K10"/>
      <c r="L10"/>
      <c r="M10"/>
      <c r="N10"/>
      <c r="O10"/>
      <c r="P10"/>
      <c r="Q10"/>
      <c r="R10"/>
      <c r="S10"/>
      <c r="T10"/>
      <c r="U10"/>
      <c r="X10"/>
      <c r="Y10" s="960"/>
      <c r="AB10" s="926"/>
      <c r="AC10" s="233">
        <v>1</v>
      </c>
      <c r="AD10" s="19"/>
      <c r="AE10" s="19"/>
      <c r="AF10" s="19"/>
      <c r="AG10" s="9"/>
      <c r="AH10" s="9"/>
      <c r="AI10" s="9"/>
      <c r="AJ10" s="221"/>
      <c r="AK10" s="34"/>
      <c r="AL10" s="364"/>
      <c r="AM10" s="34"/>
    </row>
    <row r="11" spans="1:51" s="6" customFormat="1" ht="6.75" customHeight="1" thickBot="1" x14ac:dyDescent="0.25">
      <c r="A11" s="93"/>
      <c r="B11" s="207"/>
      <c r="C11" s="206"/>
      <c r="D11" s="336"/>
      <c r="E11" s="336"/>
      <c r="F11" s="654"/>
      <c r="G11" s="574"/>
      <c r="H11" s="161"/>
      <c r="I11" s="670"/>
      <c r="J11"/>
      <c r="K11"/>
      <c r="L11"/>
      <c r="M11"/>
      <c r="N11"/>
      <c r="O11"/>
      <c r="P11"/>
      <c r="Q11"/>
      <c r="R11"/>
      <c r="S11"/>
      <c r="T11"/>
      <c r="U11"/>
      <c r="X11"/>
      <c r="Y11" s="960"/>
      <c r="AB11" s="929"/>
      <c r="AC11" s="232" t="s">
        <v>0</v>
      </c>
      <c r="AD11" s="19"/>
      <c r="AE11" s="19"/>
      <c r="AF11" s="19"/>
      <c r="AG11" s="35"/>
      <c r="AH11" s="24"/>
      <c r="AI11" s="24"/>
      <c r="AJ11" s="221"/>
      <c r="AK11" s="34"/>
      <c r="AL11" s="364"/>
      <c r="AM11" s="34"/>
    </row>
    <row r="12" spans="1:51" s="6" customFormat="1" ht="14.1" customHeight="1" thickBot="1" x14ac:dyDescent="0.25">
      <c r="A12" s="85"/>
      <c r="B12" s="607" t="str">
        <f>AB12</f>
        <v>Advisory Committee - not involved</v>
      </c>
      <c r="C12" s="308" t="s">
        <v>77</v>
      </c>
      <c r="D12" s="1001" t="str">
        <f>HYPERLINK("\\deqhq1\Rule_Resources\i\Q-Cards\PDF\2-AdvisoryCommittee.pdf","i")</f>
        <v>i</v>
      </c>
      <c r="E12" s="34"/>
      <c r="F12" s="1004" t="s">
        <v>0</v>
      </c>
      <c r="G12" s="664">
        <f>AG12</f>
        <v>0</v>
      </c>
      <c r="H12" s="665">
        <f>AH12</f>
        <v>0</v>
      </c>
      <c r="I12" s="672">
        <f>IF(S.AC.CommitteeInvolved="N",0,21)</f>
        <v>0</v>
      </c>
      <c r="J12"/>
      <c r="K12"/>
      <c r="L12"/>
      <c r="M12"/>
      <c r="N12"/>
      <c r="O12"/>
      <c r="P12"/>
      <c r="Q12"/>
      <c r="R12"/>
      <c r="S12"/>
      <c r="T12"/>
      <c r="U12"/>
      <c r="X12"/>
      <c r="Y12" s="960"/>
      <c r="AB12" s="931" t="str">
        <f>IF(S.AC.CommitteeInvolved="Y","Advisory Committee","Advisory Committee - not involved")</f>
        <v>Advisory Committee - not involved</v>
      </c>
      <c r="AC12" s="233">
        <f>IF(S.AC.CommitteeInvolved="N",0,1)</f>
        <v>0</v>
      </c>
      <c r="AD12" s="19"/>
      <c r="AE12" s="19"/>
      <c r="AF12" s="19"/>
      <c r="AG12" s="25">
        <f>IF(S.AC.CommitteeInvolved="N",,S.DIRECTOR.Approves.ForDEQRulemakingPlan)</f>
        <v>0</v>
      </c>
      <c r="AH12" s="25">
        <f>IF(S.AC.CommitteeInvolved="N",,S.EQC.SubmitStaffRpt)</f>
        <v>0</v>
      </c>
      <c r="AI12" s="19" t="s">
        <v>0</v>
      </c>
      <c r="AJ12" s="90"/>
      <c r="AK12" s="34"/>
      <c r="AL12" s="364"/>
      <c r="AM12" s="34"/>
    </row>
    <row r="13" spans="1:51" s="6" customFormat="1" ht="6" customHeight="1" thickBot="1" x14ac:dyDescent="0.25">
      <c r="A13" s="85"/>
      <c r="B13" s="608"/>
      <c r="C13" s="610"/>
      <c r="D13" s="611"/>
      <c r="E13" s="611"/>
      <c r="F13" s="1005"/>
      <c r="G13" s="211"/>
      <c r="H13" s="211"/>
      <c r="I13" s="673"/>
      <c r="J13"/>
      <c r="K13"/>
      <c r="L13"/>
      <c r="M13"/>
      <c r="N13"/>
      <c r="O13"/>
      <c r="P13"/>
      <c r="Q13"/>
      <c r="R13"/>
      <c r="S13"/>
      <c r="T13"/>
      <c r="U13"/>
      <c r="X13"/>
      <c r="Y13" s="960"/>
      <c r="AB13" s="931"/>
      <c r="AC13" s="232" t="s">
        <v>0</v>
      </c>
      <c r="AD13" s="19"/>
      <c r="AE13" s="19"/>
      <c r="AF13" s="19"/>
      <c r="AG13" s="28"/>
      <c r="AH13" s="24"/>
      <c r="AI13" s="61"/>
      <c r="AJ13" s="92"/>
      <c r="AK13" s="34"/>
      <c r="AL13" s="364"/>
      <c r="AM13" s="34"/>
    </row>
    <row r="14" spans="1:51" ht="13.5" customHeight="1" thickBot="1" x14ac:dyDescent="0.25">
      <c r="A14" s="85"/>
      <c r="B14" s="209" t="str">
        <f>AB14</f>
        <v>Fees - not involved</v>
      </c>
      <c r="C14" s="308" t="s">
        <v>77</v>
      </c>
      <c r="D14" s="612"/>
      <c r="E14" s="612"/>
      <c r="F14" s="1004">
        <f>IF(S.Fee.Involved="N",0,14)</f>
        <v>0</v>
      </c>
      <c r="G14" s="746">
        <f>AG14</f>
        <v>0</v>
      </c>
      <c r="H14" s="747">
        <f>AH14</f>
        <v>0</v>
      </c>
      <c r="I14" s="672">
        <f>IF(S.Fee.Involved="N",0,14)</f>
        <v>0</v>
      </c>
      <c r="AB14" s="932" t="str">
        <f>IF(AND(S.Fee.Involved="Y",S.General.RuleType="T"),"Fees Involved - no action required for TEMPORARY rules",IF(S.Fee.Involved="Y","Fee Approval","Fees - not involved"))</f>
        <v>Fees - not involved</v>
      </c>
      <c r="AC14" s="233">
        <f>IF(S.Fee.Involved="N",0,1)</f>
        <v>0</v>
      </c>
      <c r="AD14" s="19"/>
      <c r="AE14" s="19"/>
      <c r="AF14" s="19"/>
      <c r="AG14" s="25">
        <f>IF(S.Fee.Involved="N",,S.DIRECTOR.Approves.ForDEQRulemakingPlan)</f>
        <v>0</v>
      </c>
      <c r="AH14" s="25">
        <f>IF(S.Fee.Involved="N",,WORKDAY(S.EQC.Meeting+4,1,S.DDL_DEQClosed))</f>
        <v>0</v>
      </c>
      <c r="AI14" s="28"/>
      <c r="AJ14" s="221"/>
      <c r="AK14" s="34"/>
      <c r="AL14" s="364"/>
      <c r="AM14" s="34"/>
    </row>
    <row r="15" spans="1:51" s="6" customFormat="1" ht="14.1" customHeight="1" thickBot="1" x14ac:dyDescent="0.25">
      <c r="A15" s="85"/>
      <c r="B15" s="125" t="str">
        <f>AB15</f>
        <v>-blank-</v>
      </c>
      <c r="C15" s="308" t="s">
        <v>77</v>
      </c>
      <c r="D15" s="1001" t="str">
        <f>HYPERLINK("\\deqhq1\Rule_Resources\i\3-FeeApproval.pdf","i")</f>
        <v>i</v>
      </c>
      <c r="E15" s="612"/>
      <c r="F15" s="1004">
        <f>IF(S.Fee.Involved="N",0,IF(S.Fee.DASApprovalRequired="N",0,21))</f>
        <v>0</v>
      </c>
      <c r="G15" s="231"/>
      <c r="H15" s="231"/>
      <c r="I15" s="672">
        <f>IF(S.Fee.Involved="N",0,IF(S.Fee.DASApprovalRequired="N",0,21))</f>
        <v>0</v>
      </c>
      <c r="J15"/>
      <c r="K15"/>
      <c r="L15"/>
      <c r="M15"/>
      <c r="N15"/>
      <c r="O15"/>
      <c r="P15"/>
      <c r="Q15"/>
      <c r="R15"/>
      <c r="S15"/>
      <c r="T15"/>
      <c r="U15"/>
      <c r="X15"/>
      <c r="Y15" s="960"/>
      <c r="AB15" s="932" t="str">
        <f>IF(S.Fee.Involved="N","-blank-",IF(AND(C15="Y",S.Fee.Involved="Y"),"DAS - Fee approval required","DAS - Fee approval NOT required"))</f>
        <v>-blank-</v>
      </c>
      <c r="AC15" s="232">
        <f>IF(S.Fee.Involved="Y",1,0)</f>
        <v>0</v>
      </c>
      <c r="AD15" s="19"/>
      <c r="AE15" s="19"/>
      <c r="AF15" s="19"/>
      <c r="AG15" s="28"/>
      <c r="AH15" s="28" t="s">
        <v>0</v>
      </c>
      <c r="AI15" s="28"/>
      <c r="AJ15" s="221"/>
      <c r="AK15" s="34"/>
      <c r="AL15" s="364"/>
      <c r="AM15" s="34"/>
    </row>
    <row r="16" spans="1:51" s="6" customFormat="1" ht="14.1" customHeight="1" x14ac:dyDescent="0.2">
      <c r="A16" s="85"/>
      <c r="B16" s="125" t="str">
        <f>AB16</f>
        <v>-blank-</v>
      </c>
      <c r="C16" s="149"/>
      <c r="D16" s="490"/>
      <c r="E16" s="490"/>
      <c r="F16" s="1004">
        <f>IF(F20=45,0,30)</f>
        <v>0</v>
      </c>
      <c r="G16" s="237" t="s">
        <v>0</v>
      </c>
      <c r="H16" s="575">
        <f>AH16</f>
        <v>0</v>
      </c>
      <c r="I16" s="672">
        <f>IF(I20=45,0,30)</f>
        <v>0</v>
      </c>
      <c r="J16"/>
      <c r="K16"/>
      <c r="L16"/>
      <c r="M16"/>
      <c r="N16"/>
      <c r="O16"/>
      <c r="P16"/>
      <c r="Q16"/>
      <c r="R16"/>
      <c r="S16"/>
      <c r="T16"/>
      <c r="U16"/>
      <c r="X16"/>
      <c r="Y16" s="960"/>
      <c r="AB16" s="932" t="str">
        <f>IF(S.Fee.Involved="N","-blank-",IF(S.Fee.DASApprovalRequired="Y","DAS - submit Part 1, about 30 days BEFORE SOS submittal","DAS - email notification BEFORE Oregon Bulletin publication"))</f>
        <v>-blank-</v>
      </c>
      <c r="AC16" s="232">
        <f>IF(AND(S.Fee.Involved="Y",S.Notice.Involved="Y"),1,0)</f>
        <v>0</v>
      </c>
      <c r="AD16" s="19"/>
      <c r="AE16" s="19"/>
      <c r="AF16" s="19"/>
      <c r="AG16" s="19"/>
      <c r="AH16" s="25">
        <f>IF(S.Fee.Involved="N",,IF(S.Notice.Involved="N",,IF(S.Fee.DASApprovalRequired="Y",WORKDAY(S.Notice.SubmitToSOS-29,-1,S.DDL_DEQClosed),S.Notice.SubmitToSOS)))</f>
        <v>0</v>
      </c>
      <c r="AI16" s="963"/>
      <c r="AJ16" s="223"/>
      <c r="AK16" s="34"/>
      <c r="AL16" s="364"/>
      <c r="AM16" s="34"/>
      <c r="AN16" s="78"/>
      <c r="AO16" s="78"/>
    </row>
    <row r="17" spans="1:41" s="6" customFormat="1" ht="6" customHeight="1" thickBot="1" x14ac:dyDescent="0.25">
      <c r="A17" s="85"/>
      <c r="B17" s="608"/>
      <c r="C17" s="610"/>
      <c r="D17" s="611"/>
      <c r="E17" s="611"/>
      <c r="F17" s="1005"/>
      <c r="G17" s="211"/>
      <c r="H17" s="211"/>
      <c r="I17" s="673"/>
      <c r="J17"/>
      <c r="K17"/>
      <c r="L17"/>
      <c r="M17"/>
      <c r="N17"/>
      <c r="O17"/>
      <c r="P17"/>
      <c r="Q17"/>
      <c r="R17"/>
      <c r="S17"/>
      <c r="T17"/>
      <c r="U17"/>
      <c r="X17"/>
      <c r="Y17" s="960"/>
      <c r="AB17" s="931"/>
      <c r="AC17" s="232">
        <v>0</v>
      </c>
      <c r="AD17" s="19"/>
      <c r="AE17" s="19"/>
      <c r="AF17" s="19"/>
      <c r="AG17" s="28"/>
      <c r="AH17" s="24"/>
      <c r="AI17" s="963"/>
      <c r="AJ17" s="221"/>
      <c r="AK17" s="34"/>
      <c r="AL17" s="364"/>
      <c r="AM17" s="34"/>
    </row>
    <row r="18" spans="1:41" s="6" customFormat="1" ht="13.5" customHeight="1" thickBot="1" x14ac:dyDescent="0.25">
      <c r="A18" s="93"/>
      <c r="B18" s="209" t="str">
        <f>AB18</f>
        <v>State Implementation Plan (AQ rules)</v>
      </c>
      <c r="C18" s="308" t="s">
        <v>12</v>
      </c>
      <c r="D18" s="613"/>
      <c r="E18" s="613"/>
      <c r="F18" s="1004">
        <f>IF(S.SIP.Involved="N",0,IF(S.General.Complexity=1,0,112))</f>
        <v>112</v>
      </c>
      <c r="G18" s="603" t="s">
        <v>0</v>
      </c>
      <c r="H18" s="34"/>
      <c r="I18" s="672">
        <f>IF(S.SIP.Involved="N",0,IF(S.General.Complexity=1,0,112))</f>
        <v>112</v>
      </c>
      <c r="J18"/>
      <c r="K18"/>
      <c r="L18"/>
      <c r="M18"/>
      <c r="N18"/>
      <c r="O18"/>
      <c r="P18"/>
      <c r="Q18"/>
      <c r="R18"/>
      <c r="S18"/>
      <c r="T18"/>
      <c r="U18"/>
      <c r="X18"/>
      <c r="Y18" s="960"/>
      <c r="AB18" s="932"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C18" s="233">
        <f>IF(OR(AB18="ERROR: EPA requires SIP rules have public notice",AB18="ERROR: EPA requires SIP rules have public hearings."),2,IF(S.SIP.Involved="N",0,1))</f>
        <v>1</v>
      </c>
      <c r="AD18" s="19"/>
      <c r="AE18" s="19"/>
      <c r="AF18" s="19"/>
      <c r="AG18" s="19"/>
      <c r="AH18" s="19"/>
      <c r="AI18" s="963"/>
      <c r="AJ18" s="221"/>
      <c r="AK18" s="34"/>
      <c r="AL18" s="364"/>
      <c r="AM18" s="34"/>
    </row>
    <row r="19" spans="1:41" s="6" customFormat="1" ht="14.1" customHeight="1" x14ac:dyDescent="0.2">
      <c r="A19" s="85"/>
      <c r="B19" s="125" t="str">
        <f>AB19</f>
        <v xml:space="preserve">EPA - submit SIP Development Plan 6 months before comment period opens </v>
      </c>
      <c r="C19" s="34"/>
      <c r="D19" s="614" t="s">
        <v>0</v>
      </c>
      <c r="E19" s="614"/>
      <c r="F19" s="1005"/>
      <c r="G19" s="615" t="s">
        <v>0</v>
      </c>
      <c r="H19" s="575">
        <f>AH19</f>
        <v>41989</v>
      </c>
      <c r="I19" s="673"/>
      <c r="J19"/>
      <c r="K19"/>
      <c r="L19"/>
      <c r="M19"/>
      <c r="N19"/>
      <c r="O19"/>
      <c r="P19"/>
      <c r="Q19"/>
      <c r="R19"/>
      <c r="S19"/>
      <c r="T19"/>
      <c r="U19"/>
      <c r="X19"/>
      <c r="Y19" s="960"/>
      <c r="AB19" s="932" t="str">
        <f>IF(S.SIP.Involved="N","-blank-",IF(ISERROR(H19)=TRUE,"ERROR - Must enter 'Y' to involve public notice and hearing below","EPA - submit SIP Development Plan 6 months before comment period opens "))</f>
        <v xml:space="preserve">EPA - submit SIP Development Plan 6 months before comment period opens </v>
      </c>
      <c r="AC19" s="233">
        <f>IF(AB19="ERROR - Must enter 'Y' to involve public notice and hearing below",2,IF(AND(S.General.Complexity&gt;1,S.SIP.Involved="Y"),1,0))</f>
        <v>1</v>
      </c>
      <c r="AD19" s="19"/>
      <c r="AE19" s="19"/>
      <c r="AF19" s="19"/>
      <c r="AG19" s="19"/>
      <c r="AH19" s="25">
        <f>IF(S.SIP.Involved="N",,IF(S.General.Complexity=1,,IF(S.Notice.Involved="N","ERROR",WORKDAY(DATE(YEAR(S.Notice.OpenComment),MONTH(S.Notice.OpenComment)-6,DAY(S.Notice.OpenComment+1)),-1,S.DDL_DEQClosed))))</f>
        <v>41989</v>
      </c>
      <c r="AI19" s="24"/>
      <c r="AJ19" s="221"/>
      <c r="AK19" s="34"/>
      <c r="AL19" s="364"/>
      <c r="AM19" s="34"/>
    </row>
    <row r="20" spans="1:41" s="6" customFormat="1" ht="14.1" customHeight="1" x14ac:dyDescent="0.2">
      <c r="A20" s="93"/>
      <c r="B20" s="125" t="str">
        <f>AB20</f>
        <v>EPA - submit at least 90 days before submitting notice to SOS</v>
      </c>
      <c r="D20" s="487"/>
      <c r="E20" s="487"/>
      <c r="F20" s="1004">
        <f>IF(S.SIP.Involved="N",,IF(S.General.Complexity=1,0,45))</f>
        <v>45</v>
      </c>
      <c r="G20" s="604" t="s">
        <v>0</v>
      </c>
      <c r="H20" s="148">
        <f>AH20</f>
        <v>42079</v>
      </c>
      <c r="I20" s="672">
        <f>IF(S.SIP.Involved="N",,IF(S.General.Complexity=1,0,45))</f>
        <v>45</v>
      </c>
      <c r="Y20" s="960"/>
      <c r="AB20" s="932" t="str">
        <f>IF(S.SIP.Involved="N","-blank-",IF(ISERROR(H20)=TRUE,"ERROR - Must enter 'Y' to involve public notice and hearing below","EPA - submit at least 90 days before submitting notice to SOS"))</f>
        <v>EPA - submit at least 90 days before submitting notice to SOS</v>
      </c>
      <c r="AC20" s="233">
        <f>IF(AB20="ERROR - Must enter 'Y' to involve public notice and hearing below",2,IF(S.SIP.Involved="Y",1,0))</f>
        <v>1</v>
      </c>
      <c r="AD20" s="19"/>
      <c r="AE20" s="19"/>
      <c r="AF20" s="19"/>
      <c r="AG20" s="19"/>
      <c r="AH20" s="666">
        <f>IF(S.SIP.Involved="N",,IF(S.Notice.Involved="N","ERROR",WORKDAY(S.Notice.SubmitToSOS-90,-1,S.DDL_DEQClosed)))</f>
        <v>42079</v>
      </c>
      <c r="AI20" s="629" t="s">
        <v>0</v>
      </c>
      <c r="AJ20" s="221"/>
      <c r="AK20" s="34"/>
      <c r="AL20" s="364"/>
      <c r="AM20" s="34"/>
    </row>
    <row r="21" spans="1:41" s="6" customFormat="1" ht="6" customHeight="1" thickBot="1" x14ac:dyDescent="0.25">
      <c r="A21" s="85"/>
      <c r="B21" s="208"/>
      <c r="C21" s="208"/>
      <c r="D21" s="611"/>
      <c r="E21" s="611"/>
      <c r="F21" s="1003"/>
      <c r="G21" s="211"/>
      <c r="H21" s="616"/>
      <c r="I21" s="673"/>
      <c r="J21"/>
      <c r="K21"/>
      <c r="L21"/>
      <c r="M21"/>
      <c r="N21"/>
      <c r="O21"/>
      <c r="P21"/>
      <c r="Q21"/>
      <c r="R21"/>
      <c r="S21"/>
      <c r="T21"/>
      <c r="U21"/>
      <c r="X21"/>
      <c r="Y21" s="960"/>
      <c r="AB21" s="933"/>
      <c r="AC21" s="232">
        <v>0</v>
      </c>
      <c r="AD21" s="19"/>
      <c r="AE21" s="19"/>
      <c r="AF21" s="19"/>
      <c r="AG21" s="35"/>
      <c r="AH21" s="35"/>
      <c r="AI21" s="61" t="s">
        <v>86</v>
      </c>
      <c r="AJ21" s="221"/>
      <c r="AK21" s="34"/>
      <c r="AL21" s="364"/>
      <c r="AM21" s="34"/>
    </row>
    <row r="22" spans="1:41" s="6" customFormat="1" ht="15" customHeight="1" thickBot="1" x14ac:dyDescent="0.25">
      <c r="A22" s="85"/>
      <c r="B22" s="239" t="str">
        <f t="shared" ref="B22:B27" si="0">AB22</f>
        <v>Public Notice</v>
      </c>
      <c r="C22" s="308" t="s">
        <v>12</v>
      </c>
      <c r="D22" s="613"/>
      <c r="E22" s="613"/>
      <c r="F22" s="1002" t="s">
        <v>408</v>
      </c>
      <c r="G22" s="1034"/>
      <c r="H22" s="1034"/>
      <c r="I22" s="672" t="s">
        <v>0</v>
      </c>
      <c r="J22"/>
      <c r="K22"/>
      <c r="L22"/>
      <c r="M22"/>
      <c r="N22"/>
      <c r="O22"/>
      <c r="P22"/>
      <c r="Q22"/>
      <c r="R22"/>
      <c r="S22"/>
      <c r="T22"/>
      <c r="U22"/>
      <c r="X22"/>
      <c r="Y22" s="960"/>
      <c r="AB22" s="932"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C22" s="232">
        <f>IF(OR(AB22="ERROR: APA requies all hearings be noticed                            change to 'Y' &gt;",AB22="ERROR: must notice all public hearings"),2, IF(S.Notice.Involved="N",0,1))</f>
        <v>1</v>
      </c>
      <c r="AD22" s="19"/>
      <c r="AE22" s="19"/>
      <c r="AF22" s="19"/>
      <c r="AG22" s="25">
        <f ca="1">IF(S.Notice.Involved="N",,S.DIRECTOR.Approves.ForDEQRulemakingPlan)</f>
        <v>42009</v>
      </c>
      <c r="AH22" s="25">
        <f>IF(S.Notice.Involved="N",,S.5Comment.END)</f>
        <v>0</v>
      </c>
      <c r="AI22" s="24" t="s">
        <v>409</v>
      </c>
      <c r="AJ22" s="221"/>
      <c r="AK22" s="34"/>
      <c r="AL22" s="364"/>
      <c r="AM22" s="34"/>
      <c r="AN22" s="78"/>
      <c r="AO22" s="78"/>
    </row>
    <row r="23" spans="1:41" s="6" customFormat="1" ht="14.1" customHeight="1" x14ac:dyDescent="0.2">
      <c r="A23" s="85" t="s">
        <v>0</v>
      </c>
      <c r="B23" s="125" t="str">
        <f t="shared" si="0"/>
        <v>Due to ProgMgr - approval to submit Notice Packet to Rule Publication</v>
      </c>
      <c r="F23" s="1006">
        <v>10</v>
      </c>
      <c r="G23" s="191">
        <f>AG23</f>
        <v>42101</v>
      </c>
      <c r="H23" s="191">
        <f>AH23</f>
        <v>42111</v>
      </c>
      <c r="I23" s="672">
        <f>IF(S.Notice.Involved="N",0,10)</f>
        <v>10</v>
      </c>
      <c r="Y23" s="960"/>
      <c r="AB23" s="932" t="str">
        <f>IF(S.Notice.Involved="Y","Due to "&amp;S.Staff.Program.Mgr.FirstName&amp;" - approval to submit Notice Packet to Rule Publication","-blank-")</f>
        <v>Due to ProgMgr - approval to submit Notice Packet to Rule Publication</v>
      </c>
      <c r="AC23" s="232">
        <f>IF(S.Notice.Involved="Y",1,0)</f>
        <v>1</v>
      </c>
      <c r="AD23" s="19"/>
      <c r="AE23" s="19"/>
      <c r="AF23" s="19"/>
      <c r="AG23" s="25">
        <f>IF(S.Notice.Involved="N",,WORKDAY(H23-F23+1,-1,S.DDL_DEQClosed))</f>
        <v>42101</v>
      </c>
      <c r="AH23" s="25">
        <f>IF(S.Notice.Involved="N",,WORKDAY(G24-9,-1,S.DDL_DEQClosed))</f>
        <v>42111</v>
      </c>
      <c r="AI23" s="688">
        <v>7</v>
      </c>
      <c r="AJ23" s="222"/>
      <c r="AK23" s="34"/>
      <c r="AL23" s="364"/>
      <c r="AM23" s="34"/>
    </row>
    <row r="24" spans="1:41" s="6" customFormat="1" ht="14.1" customHeight="1" x14ac:dyDescent="0.2">
      <c r="A24" s="85" t="s">
        <v>0</v>
      </c>
      <c r="B24" s="125" t="str">
        <f t="shared" si="0"/>
        <v>Due to Rule Publication (RGLead) - final edits and validations</v>
      </c>
      <c r="F24" s="1006">
        <v>14</v>
      </c>
      <c r="G24" s="663">
        <f>AG24</f>
        <v>42123</v>
      </c>
      <c r="H24" s="191">
        <f t="shared" ref="H24" si="1">AH24</f>
        <v>42137</v>
      </c>
      <c r="I24" s="672">
        <f>IF(S.Notice.Involved="N",0,IF(S.General.Complexity=1,7,IF(S.General.Complexity=2,14,21)))</f>
        <v>14</v>
      </c>
      <c r="Y24" s="960"/>
      <c r="AB24" s="932" t="str">
        <f>IF(S.Notice.Involved="Y","Due to Rule Publication ("&amp;S.Staff.RG.Lead.FirstName&amp;") - final edits and validations","-blank-")</f>
        <v>Due to Rule Publication (RGLead) - final edits and validations</v>
      </c>
      <c r="AC24" s="232">
        <f>IF(S.Notice.Involved="Y",1,0)</f>
        <v>1</v>
      </c>
      <c r="AD24" s="19"/>
      <c r="AE24" s="19"/>
      <c r="AF24" s="19"/>
      <c r="AG24" s="25">
        <f>IF(S.Notice.Involved="N",,WORKDAY(H24-F24+1,-1,S.DDL_DEQClosed))</f>
        <v>42123</v>
      </c>
      <c r="AH24" s="25">
        <f>IF(S.Notice.Involved="N",,WORKDAY(S.Notice.Submit.ToADA-13,-1,S.DDL_DEQClosed))</f>
        <v>42137</v>
      </c>
      <c r="AI24" s="306">
        <v>14</v>
      </c>
      <c r="AJ24" s="222"/>
      <c r="AK24" s="34"/>
      <c r="AL24" s="364"/>
      <c r="AM24" s="34"/>
    </row>
    <row r="25" spans="1:41" s="6" customFormat="1" ht="14.1" customHeight="1" x14ac:dyDescent="0.2">
      <c r="A25" s="85" t="s">
        <v>0</v>
      </c>
      <c r="B25" s="662" t="str">
        <f t="shared" si="0"/>
        <v>Due to MediaLead for input and approval to publish Notice Packet</v>
      </c>
      <c r="F25" s="1006">
        <v>5</v>
      </c>
      <c r="G25" s="663">
        <f>AG25</f>
        <v>42151</v>
      </c>
      <c r="H25" s="191">
        <f>AH25</f>
        <v>42156</v>
      </c>
      <c r="I25" s="672">
        <v>7</v>
      </c>
      <c r="J25"/>
      <c r="K25"/>
      <c r="L25"/>
      <c r="M25"/>
      <c r="N25"/>
      <c r="O25"/>
      <c r="P25"/>
      <c r="Q25"/>
      <c r="R25"/>
      <c r="S25"/>
      <c r="T25"/>
      <c r="U25"/>
      <c r="X25"/>
      <c r="Y25" s="960"/>
      <c r="AB25" s="932" t="str">
        <f>IF(S.Notice.Involved="Y","Due to "&amp;S.Staff.Assistant.DA.ShortName&amp;" for input and approval to publish Notice Packet","-blank-")</f>
        <v>Due to MediaLead for input and approval to publish Notice Packet</v>
      </c>
      <c r="AC25" s="232">
        <f>IF(S.Notice.Involved="Y",1,0)</f>
        <v>1</v>
      </c>
      <c r="AD25" s="19"/>
      <c r="AE25" s="19"/>
      <c r="AF25" s="19"/>
      <c r="AG25" s="25">
        <f>IF(S.Notice.Involved="N",,WORKDAY(H25-F25+1,-1,S.DDL_DEQClosed))</f>
        <v>42151</v>
      </c>
      <c r="AH25" s="25">
        <f>IF(S.Notice.Involved="N",,WORKDAY(S.Notice.SubmitToSOS-13,-1,S.DDL_DEQClosed))</f>
        <v>42156</v>
      </c>
      <c r="AI25" s="306">
        <v>5</v>
      </c>
      <c r="AJ25" s="222"/>
      <c r="AK25" s="34"/>
      <c r="AL25" s="364"/>
      <c r="AM25" s="34"/>
    </row>
    <row r="26" spans="1:41" s="6" customFormat="1" ht="14.1" customHeight="1" thickBot="1" x14ac:dyDescent="0.25">
      <c r="A26" s="85" t="s">
        <v>0</v>
      </c>
      <c r="B26" s="125" t="str">
        <f t="shared" si="0"/>
        <v>SOS - submit on workday no later than 15th of month BEFORE Bulletin</v>
      </c>
      <c r="C26" s="125"/>
      <c r="D26" s="489"/>
      <c r="E26" s="489"/>
      <c r="G26" s="604"/>
      <c r="H26" s="602">
        <f>AH26</f>
        <v>42170</v>
      </c>
      <c r="I26" s="532"/>
      <c r="Y26" s="960"/>
      <c r="AB26" s="932" t="str">
        <f>IF(S.Notice.Involved="Y","SOS - submit on workday no later than 15th of month BEFORE Bulletin","-blank")</f>
        <v>SOS - submit on workday no later than 15th of month BEFORE Bulletin</v>
      </c>
      <c r="AC26" s="232">
        <f>IF(S.Notice.Involved="Y",1,0)</f>
        <v>1</v>
      </c>
      <c r="AD26" s="19"/>
      <c r="AE26" s="19"/>
      <c r="AF26" s="19"/>
      <c r="AG26" s="19"/>
      <c r="AH26" s="25">
        <f>IF(S.Notice.Involved="N",,VLOOKUP(S.Notice.InOregonBulletin,S.VL_Bulletin,2,FALSE))</f>
        <v>42170</v>
      </c>
      <c r="AI26" s="629" t="s">
        <v>0</v>
      </c>
      <c r="AJ26" s="222"/>
      <c r="AK26" s="34"/>
      <c r="AL26" s="364"/>
      <c r="AM26" s="34"/>
    </row>
    <row r="27" spans="1:41" s="6" customFormat="1" ht="14.1" customHeight="1" thickBot="1" x14ac:dyDescent="0.25">
      <c r="A27" s="85" t="s">
        <v>0</v>
      </c>
      <c r="B27" s="125" t="str">
        <f t="shared" si="0"/>
        <v xml:space="preserve">SOS - Oregon Bulletin always publishes on the 1st of month </v>
      </c>
      <c r="C27" s="1075" t="s">
        <v>394</v>
      </c>
      <c r="D27" s="1075"/>
      <c r="E27" s="1075"/>
      <c r="F27" s="1075"/>
      <c r="G27" s="1076"/>
      <c r="H27" s="744">
        <v>42186</v>
      </c>
      <c r="I27" s="532"/>
      <c r="J27"/>
      <c r="K27"/>
      <c r="L27"/>
      <c r="M27"/>
      <c r="N27"/>
      <c r="O27"/>
      <c r="P27"/>
      <c r="Q27"/>
      <c r="R27"/>
      <c r="S27"/>
      <c r="T27"/>
      <c r="U27"/>
      <c r="X27"/>
      <c r="Y27" s="960"/>
      <c r="AB27" s="932" t="str">
        <f>IF(S.Notice.Involved="Y","SOS - Oregon Bulletin always publishes on the 1st of month ","-blank-")</f>
        <v xml:space="preserve">SOS - Oregon Bulletin always publishes on the 1st of month </v>
      </c>
      <c r="AC27" s="232">
        <f>IF(S.Notice.Involved="Y",1,0)</f>
        <v>1</v>
      </c>
      <c r="AD27" s="19"/>
      <c r="AE27" s="19"/>
      <c r="AF27" s="19"/>
      <c r="AG27" s="19"/>
      <c r="AH27" s="25">
        <f>IF(S.Notice.Involved="N",,IF(OR(S.General.Complexity&gt;1,S.SIP.Involved="Y"),VLOOKUP(S.EQC.Meeting-90,S.DDL_Bulletin,TRUE,VLOOKUP(S.EQC.Meeting-60,S.DDL_Bulletin,TRUE))))</f>
        <v>42248</v>
      </c>
      <c r="AI27" s="629" t="s">
        <v>0</v>
      </c>
      <c r="AJ27" s="223"/>
      <c r="AK27" s="34"/>
      <c r="AL27" s="364"/>
      <c r="AM27" s="34"/>
    </row>
    <row r="28" spans="1:41" s="6" customFormat="1" ht="6" customHeight="1" thickBot="1" x14ac:dyDescent="0.25">
      <c r="A28" s="85"/>
      <c r="B28" s="208"/>
      <c r="C28" s="208"/>
      <c r="D28" s="208"/>
      <c r="E28" s="208"/>
      <c r="F28" s="208"/>
      <c r="G28" s="208"/>
      <c r="H28" s="208"/>
      <c r="I28" s="532"/>
      <c r="Y28" s="960"/>
      <c r="AB28" s="934"/>
      <c r="AC28" s="232" t="s">
        <v>0</v>
      </c>
      <c r="AD28" s="19"/>
      <c r="AE28" s="24"/>
      <c r="AF28" s="19"/>
      <c r="AG28" s="19"/>
      <c r="AH28" s="25"/>
      <c r="AI28" s="24"/>
      <c r="AJ28" s="92"/>
      <c r="AK28" s="34"/>
      <c r="AL28" s="364"/>
      <c r="AM28" s="34"/>
    </row>
    <row r="29" spans="1:41" s="6" customFormat="1" ht="13.5" customHeight="1" thickBot="1" x14ac:dyDescent="0.25">
      <c r="A29" s="85"/>
      <c r="B29" s="209" t="str">
        <f>AB29</f>
        <v>Public Comment and Testimony</v>
      </c>
      <c r="C29" s="308" t="s">
        <v>77</v>
      </c>
      <c r="D29" s="617"/>
      <c r="E29" s="617"/>
      <c r="F29" s="656" t="s">
        <v>0</v>
      </c>
      <c r="G29" s="1034"/>
      <c r="H29" s="1034"/>
      <c r="I29" s="674">
        <f>IF(S.Notice.Involved="N",,IF(S.Hearing.1stInvolve="N",,IF(S.General.Complexity=1,0,IF(S.General.Complexity=2,7,14))))</f>
        <v>7</v>
      </c>
      <c r="J29"/>
      <c r="K29"/>
      <c r="L29"/>
      <c r="M29"/>
      <c r="N29"/>
      <c r="O29"/>
      <c r="P29"/>
      <c r="Q29"/>
      <c r="R29"/>
      <c r="S29"/>
      <c r="T29"/>
      <c r="U29"/>
      <c r="X29"/>
      <c r="Y29" s="960"/>
      <c r="AB29" s="932" t="str">
        <f>IF(AND(S.Hearing.1stInvolve="Y",S.Notice.Involved="N"),"ERROR: APA requires agencies to notice public comment period",IF(S.Notice.Involved="N","Public Comment and Testimony - not involved","Public Comment and Testimony"))</f>
        <v>Public Comment and Testimony</v>
      </c>
      <c r="AC29" s="232">
        <f>IF(AB29="ERROR: APA requires agencies to notice public comment period",2,IF(S.Hearing.1stInvolve="N",0,1))</f>
        <v>1</v>
      </c>
      <c r="AD29" s="19"/>
      <c r="AE29" s="19"/>
      <c r="AF29" s="19"/>
      <c r="AG29" s="25">
        <f>IF(S.Hearing.1stInvolve="N",,WORKDAY(S.Notice.SubmitToSOS,1,S.DDL_DEQClosed))</f>
        <v>42171</v>
      </c>
      <c r="AH29" s="25">
        <f>IF(S.Notice.Involved="N",,S.Notice.CloseComment)</f>
        <v>42205</v>
      </c>
      <c r="AI29" s="19"/>
      <c r="AJ29" s="222"/>
      <c r="AK29" s="34"/>
      <c r="AL29" s="364"/>
      <c r="AM29" s="984" t="s">
        <v>0</v>
      </c>
    </row>
    <row r="30" spans="1:41" s="6" customFormat="1" ht="14.1" customHeight="1" thickBot="1" x14ac:dyDescent="0.25">
      <c r="A30" s="85"/>
      <c r="B30" s="125" t="str">
        <f>AB30</f>
        <v xml:space="preserve">Open public comment </v>
      </c>
      <c r="C30" s="213"/>
      <c r="D30" s="618"/>
      <c r="E30" s="618"/>
      <c r="F30" s="657"/>
      <c r="G30" s="237" t="s">
        <v>0</v>
      </c>
      <c r="H30" s="173">
        <f>AH30</f>
        <v>42171</v>
      </c>
      <c r="I30" s="675"/>
      <c r="J30"/>
      <c r="K30"/>
      <c r="L30"/>
      <c r="M30"/>
      <c r="N30"/>
      <c r="O30"/>
      <c r="P30"/>
      <c r="Q30"/>
      <c r="R30"/>
      <c r="S30"/>
      <c r="T30"/>
      <c r="U30"/>
      <c r="X30"/>
      <c r="Y30" s="960"/>
      <c r="AB30" s="934" t="str">
        <f>IF(S.Notice.Involved="N","-blank-","Open public comment ")</f>
        <v xml:space="preserve">Open public comment </v>
      </c>
      <c r="AC30" s="232">
        <f>IF(AND(S.General.RuleType="P",S.Notice.HearingInvolved="Y",S.Notice.Involved="N"),2,IF(S.Hearing.1stInvolve="N",0,1))</f>
        <v>1</v>
      </c>
      <c r="AD30" s="19"/>
      <c r="AE30" s="19"/>
      <c r="AF30" s="19"/>
      <c r="AG30" s="19"/>
      <c r="AH30" s="25">
        <f>IF(S.Hearing.1stInvolve="N",,WORKDAY(S.Notice.SubmitToSOS,1,S.DDL_DEQClosed))</f>
        <v>42171</v>
      </c>
      <c r="AI30" s="19"/>
      <c r="AJ30" s="92"/>
      <c r="AK30" s="34"/>
      <c r="AL30" s="364"/>
      <c r="AM30" s="34"/>
    </row>
    <row r="31" spans="1:41" ht="14.1" customHeight="1" thickBot="1" x14ac:dyDescent="0.25">
      <c r="A31" s="85"/>
      <c r="B31" s="219" t="str">
        <f>AB31</f>
        <v>Hold 1st hearing at least 30 days AFTER open comment - EPA SIP requirement</v>
      </c>
      <c r="C31" s="308" t="s">
        <v>12</v>
      </c>
      <c r="D31" s="612"/>
      <c r="E31" s="612"/>
      <c r="F31" s="658"/>
      <c r="G31" s="237" t="s">
        <v>0</v>
      </c>
      <c r="H31" s="173">
        <f>AH31</f>
        <v>42201</v>
      </c>
      <c r="I31" s="675"/>
      <c r="AB31" s="932"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C31" s="232">
        <f>IF(AND(S.SIP.Involved,S.SIP.Involved="Y",S.Hearing.1stInvolve="N"),2, IF(AND(S.Notice.Involved="N",S.Hearing.1stInvolve="Y"),2,IF(S.Hearing.1stInvolve="Y",1,0)))</f>
        <v>1</v>
      </c>
      <c r="AD31" s="19"/>
      <c r="AE31" s="19"/>
      <c r="AF31" s="19"/>
      <c r="AG31" s="19"/>
      <c r="AH31" s="25">
        <f>IF(S.Notice.Involved="N",,IF(S.Hearing.1stInvolve="N",,IF(S.SIP.Involved="N",WORKDAY(S.Notice.InOregonBulletin+13,1,S.DDL_DEQClosed),MAX(WORKDAY(S.Notice.OpenComment+29,1,S.DDL_DEQClosed),WORKDAY(S.Notice.InOregonBulletin+13,1,S.DDL_DEQClosed)))))</f>
        <v>42201</v>
      </c>
      <c r="AI31" s="24" t="s">
        <v>0</v>
      </c>
      <c r="AJ31" s="92"/>
      <c r="AK31" s="34"/>
      <c r="AL31" s="364"/>
      <c r="AM31" s="34"/>
    </row>
    <row r="32" spans="1:41" ht="14.1" customHeight="1" x14ac:dyDescent="0.2">
      <c r="A32" s="85"/>
      <c r="B32" s="125" t="str">
        <f>AB32</f>
        <v>Close public comment - DEQ best practice, 3 days after last hearing</v>
      </c>
      <c r="C32" s="186"/>
      <c r="D32" s="619"/>
      <c r="E32" s="619"/>
      <c r="F32" s="658"/>
      <c r="G32" s="237" t="s">
        <v>0</v>
      </c>
      <c r="H32" s="173">
        <f>AH32</f>
        <v>42205</v>
      </c>
      <c r="I32" s="675"/>
      <c r="AB32" s="934" t="str">
        <f>IF(S.Notice.Involved="N","-blank-","Close public comment - DEQ best practice, 3 days after last hearing")</f>
        <v>Close public comment - DEQ best practice, 3 days after last hearing</v>
      </c>
      <c r="AC32" s="232">
        <f>IF(S.Hearing.1stInvolve="N",0,1)</f>
        <v>1</v>
      </c>
      <c r="AD32" s="19"/>
      <c r="AE32" s="19"/>
      <c r="AF32" s="19"/>
      <c r="AG32" s="19"/>
      <c r="AH32" s="25">
        <f>IF(AC32=0,,IF(S.Notice.Involved="N",S.DIRECTOR.Approves.ForDEQRulemakingPlan,WORKDAY(S.Notice.LastHearingDate+2,1,S.DDL_DEQClosed)))</f>
        <v>42205</v>
      </c>
      <c r="AI32" s="24"/>
      <c r="AJ32" s="91"/>
      <c r="AK32" s="34"/>
      <c r="AL32" s="364"/>
      <c r="AM32" s="34"/>
    </row>
    <row r="33" spans="1:39" s="6" customFormat="1" ht="6" customHeight="1" x14ac:dyDescent="0.2">
      <c r="A33" s="85"/>
      <c r="B33" s="208"/>
      <c r="C33" s="208"/>
      <c r="D33" s="208"/>
      <c r="E33" s="208"/>
      <c r="F33" s="659"/>
      <c r="G33" s="208"/>
      <c r="H33" s="208"/>
      <c r="I33" s="676"/>
      <c r="Y33" s="960"/>
      <c r="AB33" s="934"/>
      <c r="AC33" s="232" t="s">
        <v>0</v>
      </c>
      <c r="AD33" s="19"/>
      <c r="AE33" s="24"/>
      <c r="AF33" s="19"/>
      <c r="AG33" s="19"/>
      <c r="AH33" s="25"/>
      <c r="AI33" s="24"/>
      <c r="AJ33" s="92"/>
      <c r="AK33" s="34"/>
      <c r="AL33" s="364"/>
      <c r="AM33" s="34"/>
    </row>
    <row r="34" spans="1:39" s="6" customFormat="1" ht="13.5" customHeight="1" x14ac:dyDescent="0.2">
      <c r="A34" s="85"/>
      <c r="B34" s="209" t="s">
        <v>56</v>
      </c>
      <c r="C34" s="186"/>
      <c r="D34" s="606"/>
      <c r="E34" s="606"/>
      <c r="F34" s="657"/>
      <c r="G34" s="1034"/>
      <c r="H34" s="1034"/>
      <c r="I34" s="675"/>
      <c r="J34"/>
      <c r="K34"/>
      <c r="L34"/>
      <c r="M34"/>
      <c r="N34"/>
      <c r="O34"/>
      <c r="P34"/>
      <c r="Q34"/>
      <c r="R34"/>
      <c r="S34"/>
      <c r="T34"/>
      <c r="U34"/>
      <c r="X34"/>
      <c r="Y34" s="960"/>
      <c r="AB34" s="935" t="s">
        <v>0</v>
      </c>
      <c r="AC34" s="232">
        <v>1</v>
      </c>
      <c r="AD34" s="19"/>
      <c r="AE34" s="19"/>
      <c r="AF34" s="19"/>
      <c r="AG34" s="25">
        <f>WORKDAY(S.Notice.SubmitToSOS,1,S.DDL_DEQClosed)</f>
        <v>42171</v>
      </c>
      <c r="AH34" s="25">
        <f>S.EQC.Meeting</f>
        <v>42354</v>
      </c>
      <c r="AI34" s="24"/>
      <c r="AJ34" s="91"/>
      <c r="AK34" s="34"/>
      <c r="AL34" s="364"/>
      <c r="AM34" s="34"/>
    </row>
    <row r="35" spans="1:39" s="6" customFormat="1" ht="6" customHeight="1" x14ac:dyDescent="0.2">
      <c r="A35" s="85"/>
      <c r="B35" s="125"/>
      <c r="C35" s="213"/>
      <c r="D35" s="491"/>
      <c r="E35" s="491"/>
      <c r="F35" s="658"/>
      <c r="G35" s="237"/>
      <c r="H35" s="690"/>
      <c r="I35" s="675"/>
      <c r="Y35" s="960"/>
      <c r="AB35" s="934"/>
      <c r="AC35" s="232" t="s">
        <v>0</v>
      </c>
      <c r="AD35" s="19"/>
      <c r="AE35" s="24"/>
      <c r="AF35" s="19"/>
      <c r="AG35" s="19"/>
      <c r="AH35" s="19"/>
      <c r="AI35" s="24"/>
      <c r="AJ35" s="92"/>
      <c r="AK35" s="34"/>
      <c r="AL35" s="364"/>
      <c r="AM35" s="34"/>
    </row>
    <row r="36" spans="1:39" s="6" customFormat="1" ht="14.1" customHeight="1" thickBot="1" x14ac:dyDescent="0.25">
      <c r="A36" s="93"/>
      <c r="B36" s="240" t="str">
        <f>AB36</f>
        <v>No EQC involvement before Action Item meeting</v>
      </c>
      <c r="C36" s="238"/>
      <c r="D36" s="493"/>
      <c r="E36" s="493"/>
      <c r="F36" s="660"/>
      <c r="G36" s="620" t="s">
        <v>31</v>
      </c>
      <c r="H36" s="621" t="s">
        <v>30</v>
      </c>
      <c r="I36" s="677"/>
      <c r="J36"/>
      <c r="K36"/>
      <c r="L36"/>
      <c r="M36"/>
      <c r="N36"/>
      <c r="O36"/>
      <c r="P36"/>
      <c r="Q36"/>
      <c r="R36"/>
      <c r="S36"/>
      <c r="T36"/>
      <c r="U36"/>
      <c r="X36"/>
      <c r="Y36" s="960"/>
      <c r="AB36" s="936" t="str">
        <f>IF(OR(S.EQC.DirReport="Y",S.EQC.InfoItem="Y",S.EQC.FacHearing="Y"),"Involvement before Rulemaking Action Item","No EQC involvement before Action Item meeting")</f>
        <v>No EQC involvement before Action Item meeting</v>
      </c>
      <c r="AC36" s="233">
        <v>1</v>
      </c>
      <c r="AD36" s="19"/>
      <c r="AE36" s="19"/>
      <c r="AF36" s="19"/>
      <c r="AG36" s="19"/>
      <c r="AH36" s="19"/>
      <c r="AI36" s="24"/>
      <c r="AJ36" s="92"/>
      <c r="AK36" s="34"/>
      <c r="AL36" s="364"/>
      <c r="AM36" s="85"/>
    </row>
    <row r="37" spans="1:39" s="6" customFormat="1" ht="14.1" customHeight="1" thickBot="1" x14ac:dyDescent="0.25">
      <c r="A37" s="93"/>
      <c r="B37" s="230" t="str">
        <f>AB37</f>
        <v>No Director's report requested</v>
      </c>
      <c r="C37" s="309" t="s">
        <v>77</v>
      </c>
      <c r="D37" s="1001" t="str">
        <f>HYPERLINK("http://deqsps/groups/eqc/docs/EQCDeadlines.docx","i")</f>
        <v>i</v>
      </c>
      <c r="E37" s="493"/>
      <c r="F37" s="660"/>
      <c r="G37" s="622">
        <f t="shared" ref="G37:H37" si="2">AG37</f>
        <v>0</v>
      </c>
      <c r="H37" s="623">
        <f t="shared" si="2"/>
        <v>0</v>
      </c>
      <c r="I37" s="677"/>
      <c r="J37"/>
      <c r="K37"/>
      <c r="L37"/>
      <c r="M37"/>
      <c r="N37"/>
      <c r="O37"/>
      <c r="P37"/>
      <c r="Q37"/>
      <c r="R37"/>
      <c r="S37"/>
      <c r="T37"/>
      <c r="U37"/>
      <c r="X37"/>
      <c r="Y37" s="960"/>
      <c r="AB37" s="936" t="str">
        <f>IF(S.EQC.DirReport="N","No Director's report requested","Director's Report - some material comes from monthly status report")</f>
        <v>No Director's report requested</v>
      </c>
      <c r="AC37" s="233">
        <f>IF(S.EQC.DirReport="Y",1,0)</f>
        <v>0</v>
      </c>
      <c r="AD37" s="19"/>
      <c r="AE37" s="19"/>
      <c r="AF37" s="19"/>
      <c r="AG37" s="25">
        <f>IF(S.EQC.DirReport="Y",S.DIRECTOR.Approves.ForDEQRulemakingPlan,)</f>
        <v>0</v>
      </c>
      <c r="AH37" s="25">
        <f>IF(S.EQC.DirReport="Y",S.DIRECTOR.Approves.ForDEQRulemakingPlan,)</f>
        <v>0</v>
      </c>
      <c r="AI37" s="88" t="str">
        <f>IF(OR(G37&gt;=S.EQC.Meeting,H37&gt;=S.EQC.Meeting),"Must be less than H13","")</f>
        <v/>
      </c>
      <c r="AJ37" s="92"/>
      <c r="AK37" s="34"/>
      <c r="AL37" s="364"/>
      <c r="AM37" s="34"/>
    </row>
    <row r="38" spans="1:39" s="6" customFormat="1" ht="14.1" customHeight="1" thickBot="1" x14ac:dyDescent="0.25">
      <c r="A38" s="93"/>
      <c r="B38" s="230" t="str">
        <f>AB38</f>
        <v>No information item requested</v>
      </c>
      <c r="C38" s="308" t="s">
        <v>77</v>
      </c>
      <c r="D38" s="1001" t="str">
        <f>HYPERLINK("http://deqsps/groups/eqc/docs/EQCDeadlines.docx","i")</f>
        <v>i</v>
      </c>
      <c r="E38" s="488"/>
      <c r="F38" s="656" t="s">
        <v>0</v>
      </c>
      <c r="G38" s="624">
        <f>AG38</f>
        <v>0</v>
      </c>
      <c r="H38" s="625">
        <f>AH38</f>
        <v>0</v>
      </c>
      <c r="I38" s="674">
        <f>IF(S.EQC.InfoItem="Y",21,0)</f>
        <v>0</v>
      </c>
      <c r="J38"/>
      <c r="K38"/>
      <c r="L38"/>
      <c r="M38"/>
      <c r="N38"/>
      <c r="O38"/>
      <c r="P38"/>
      <c r="Q38"/>
      <c r="R38"/>
      <c r="S38"/>
      <c r="T38"/>
      <c r="U38"/>
      <c r="X38"/>
      <c r="Y38" s="960"/>
      <c r="AB38" s="936" t="str">
        <f>IF(S.EQC.InfoItem="N","No information item requested","Information Item - a presentation to update the EQC")</f>
        <v>No information item requested</v>
      </c>
      <c r="AC38" s="233">
        <f>IF(S.EQC.InfoItem="Y",1,0)</f>
        <v>0</v>
      </c>
      <c r="AD38" s="19"/>
      <c r="AE38" s="19"/>
      <c r="AF38" s="19"/>
      <c r="AG38" s="25">
        <f>IF(S.EQC.InfoItem="Y",VLOOKUP(S.EQC.Meeting,S.VL_EQCActivities,6,FALSE),)</f>
        <v>0</v>
      </c>
      <c r="AH38" s="25">
        <f>IF(S.EQC.InfoItem="Y",G38,)</f>
        <v>0</v>
      </c>
      <c r="AI38" s="88" t="str">
        <f>IF(OR(G38&gt;=S.EQC.Meeting,H38&gt;=S.EQC.Meeting),"Must be less than H13","")</f>
        <v/>
      </c>
      <c r="AJ38" s="92"/>
      <c r="AK38" s="34"/>
      <c r="AL38" s="364"/>
      <c r="AM38" s="34"/>
    </row>
    <row r="39" spans="1:39" s="6" customFormat="1" ht="14.1" customHeight="1" thickBot="1" x14ac:dyDescent="0.25">
      <c r="A39" s="93"/>
      <c r="B39" s="230" t="str">
        <f>AB39</f>
        <v>No facilitated hearing requested</v>
      </c>
      <c r="C39" s="310" t="s">
        <v>77</v>
      </c>
      <c r="D39" s="494"/>
      <c r="E39" s="494"/>
      <c r="F39" s="660"/>
      <c r="G39" s="626">
        <f>AG39</f>
        <v>0</v>
      </c>
      <c r="H39" s="627">
        <f>AH39</f>
        <v>0</v>
      </c>
      <c r="I39" s="677"/>
      <c r="J39"/>
      <c r="K39"/>
      <c r="L39"/>
      <c r="M39"/>
      <c r="N39"/>
      <c r="O39"/>
      <c r="P39"/>
      <c r="Q39"/>
      <c r="R39"/>
      <c r="S39"/>
      <c r="T39"/>
      <c r="U39"/>
      <c r="X39"/>
      <c r="Y39" s="960"/>
      <c r="AB39" s="936" t="str">
        <f>IF(S.EQC.FacHearing="N","No facilitated hearing requested",IF(AND(S.EQC.FacHearing="Y",S.Hearing.1stInvolve="N"),"ERROR: No hearings selected above","Facilitated Hearing"))</f>
        <v>No facilitated hearing requested</v>
      </c>
      <c r="AC39" s="233">
        <f>IF(AND(S.Hearing.1stInvolve,S.EQC.FacHearing="Y"),1,0)</f>
        <v>0</v>
      </c>
      <c r="AD39" s="19"/>
      <c r="AE39" s="19"/>
      <c r="AF39" s="19"/>
      <c r="AG39" s="25">
        <f>IF(S.EQC.FacHearing="Y",VLOOKUP(S.EQC.Meeting,S.VL_EQCActivities,6,FALSE),)</f>
        <v>0</v>
      </c>
      <c r="AH39" s="25">
        <f>IF(S.EQC.FacHearing="Y",G39,)</f>
        <v>0</v>
      </c>
      <c r="AI39" s="88" t="str">
        <f>IF(OR(G39&gt;=S.EQC.Meeting,H39&gt;=S.EQC.Meeting),"Must be less than H13","")</f>
        <v/>
      </c>
      <c r="AJ39" s="92"/>
      <c r="AK39" s="34"/>
      <c r="AL39" s="364"/>
      <c r="AM39" s="34"/>
    </row>
    <row r="40" spans="1:39" s="6" customFormat="1" ht="6" customHeight="1" x14ac:dyDescent="0.2">
      <c r="A40" s="85"/>
      <c r="B40" s="209" t="s">
        <v>0</v>
      </c>
      <c r="C40" s="213"/>
      <c r="D40" s="492"/>
      <c r="E40" s="492"/>
      <c r="F40" s="660"/>
      <c r="G40" s="214"/>
      <c r="H40" s="215"/>
      <c r="I40" s="677"/>
      <c r="J40"/>
      <c r="K40"/>
      <c r="L40"/>
      <c r="M40"/>
      <c r="N40"/>
      <c r="O40"/>
      <c r="P40"/>
      <c r="Q40"/>
      <c r="R40"/>
      <c r="S40"/>
      <c r="T40"/>
      <c r="U40"/>
      <c r="X40"/>
      <c r="Y40" s="960"/>
      <c r="AB40" s="935"/>
      <c r="AC40" s="232" t="s">
        <v>0</v>
      </c>
      <c r="AD40" s="19"/>
      <c r="AE40" s="19"/>
      <c r="AF40" s="19"/>
      <c r="AG40" s="28"/>
      <c r="AH40" s="28"/>
      <c r="AI40" s="24"/>
      <c r="AJ40" s="91"/>
      <c r="AK40" s="34"/>
      <c r="AL40" s="364"/>
      <c r="AM40" s="34"/>
    </row>
    <row r="41" spans="1:39" s="6" customFormat="1" ht="14.1" customHeight="1" thickBot="1" x14ac:dyDescent="0.25">
      <c r="A41" s="85"/>
      <c r="B41" s="345" t="str">
        <f>AB41</f>
        <v>Rule Publication - submit STAFF.REPORT.permanent</v>
      </c>
      <c r="C41" s="216"/>
      <c r="D41" s="495"/>
      <c r="E41" s="495"/>
      <c r="F41" s="656" t="s">
        <v>0</v>
      </c>
      <c r="G41" s="237" t="s">
        <v>0</v>
      </c>
      <c r="H41" s="600" t="e">
        <f>AH41</f>
        <v>#N/A</v>
      </c>
      <c r="I41" s="674" t="e">
        <f>S.EQC.Meeting-S.EQC.SubmitStaffRpt</f>
        <v>#N/A</v>
      </c>
      <c r="J41"/>
      <c r="K41"/>
      <c r="L41"/>
      <c r="M41"/>
      <c r="N41"/>
      <c r="O41"/>
      <c r="P41"/>
      <c r="Q41"/>
      <c r="R41"/>
      <c r="S41"/>
      <c r="T41"/>
      <c r="U41"/>
      <c r="X41"/>
      <c r="Y41" s="960"/>
      <c r="AB41" s="936" t="str">
        <f>IF(S.General.RuleType="P","Rule Publication - submit STAFF.REPORT.permanent","Rule publication - submit STAFF.REPORT.temporary")</f>
        <v>Rule Publication - submit STAFF.REPORT.permanent</v>
      </c>
      <c r="AC41" s="232">
        <v>1</v>
      </c>
      <c r="AD41" s="19"/>
      <c r="AE41" s="19"/>
      <c r="AF41" s="19"/>
      <c r="AG41" s="19"/>
      <c r="AH41" s="25" t="e">
        <f>VLOOKUP(S.EQC.Meeting,S.VL_EQCActivities,2,FALSE)</f>
        <v>#N/A</v>
      </c>
      <c r="AI41" s="320" t="s">
        <v>0</v>
      </c>
      <c r="AJ41" s="92"/>
      <c r="AK41" s="34"/>
      <c r="AL41" s="364"/>
      <c r="AM41" s="34"/>
    </row>
    <row r="42" spans="1:39" s="102" customFormat="1" ht="14.1" customHeight="1" thickBot="1" x14ac:dyDescent="0.25">
      <c r="A42" s="105"/>
      <c r="B42" s="345" t="str">
        <f>AB42</f>
        <v>EQC meeting - PERMANENT Rulemaking Action Item</v>
      </c>
      <c r="C42" s="1075" t="s">
        <v>394</v>
      </c>
      <c r="D42" s="1075"/>
      <c r="E42" s="1075"/>
      <c r="F42" s="1075"/>
      <c r="G42" s="1076"/>
      <c r="H42" s="745">
        <v>42354</v>
      </c>
      <c r="I42" s="532"/>
      <c r="J42"/>
      <c r="K42"/>
      <c r="L42"/>
      <c r="M42"/>
      <c r="N42"/>
      <c r="O42"/>
      <c r="P42"/>
      <c r="Q42"/>
      <c r="R42"/>
      <c r="S42"/>
      <c r="T42"/>
      <c r="U42"/>
      <c r="V42" s="6"/>
      <c r="W42" s="6"/>
      <c r="X42"/>
      <c r="Y42" s="960"/>
      <c r="Z42" s="6"/>
      <c r="AA42" s="6"/>
      <c r="AB42" s="936" t="str">
        <f>IF(S.General.RuleType="P","EQC meeting - PERMANENT Rulemaking Action Item","EQC meeting - TEMPORARY Rulemaking Action Item")</f>
        <v>EQC meeting - PERMANENT Rulemaking Action Item</v>
      </c>
      <c r="AC42" s="232">
        <v>1</v>
      </c>
      <c r="AD42" s="19"/>
      <c r="AE42" s="19"/>
      <c r="AF42" s="978"/>
      <c r="AG42" s="19"/>
      <c r="AH42" s="733" t="e">
        <f>VLOOKUP(WORKDAY(S.5Comment.END+59,1,S.DDL_DEQClosed),S.VL_EQCActivities,5,TRUE)</f>
        <v>#N/A</v>
      </c>
      <c r="AI42" s="320" t="s">
        <v>717</v>
      </c>
      <c r="AJ42" s="224"/>
      <c r="AK42" s="451"/>
      <c r="AL42" s="364"/>
      <c r="AM42" s="451"/>
    </row>
    <row r="43" spans="1:39" s="6" customFormat="1" ht="14.1" hidden="1" customHeight="1" thickBot="1" x14ac:dyDescent="0.25">
      <c r="A43" s="85"/>
      <c r="C43" s="213"/>
      <c r="D43"/>
      <c r="E43" s="605"/>
      <c r="G43" s="1077" t="s">
        <v>0</v>
      </c>
      <c r="H43" s="1077"/>
      <c r="I43" s="678">
        <v>-55</v>
      </c>
      <c r="J43"/>
      <c r="K43"/>
      <c r="L43"/>
      <c r="M43"/>
      <c r="N43"/>
      <c r="O43"/>
      <c r="P43"/>
      <c r="Q43"/>
      <c r="R43"/>
      <c r="S43"/>
      <c r="T43"/>
      <c r="U43"/>
      <c r="X43"/>
      <c r="Y43" s="960"/>
      <c r="AB43" s="964"/>
      <c r="AC43" s="232">
        <v>1</v>
      </c>
      <c r="AD43" s="19"/>
      <c r="AE43" s="19"/>
      <c r="AF43" s="19"/>
      <c r="AG43" s="964" t="s">
        <v>404</v>
      </c>
      <c r="AH43" s="964"/>
      <c r="AI43" s="964"/>
      <c r="AJ43" s="964"/>
      <c r="AK43" s="34"/>
      <c r="AL43" s="364"/>
      <c r="AM43" s="34"/>
    </row>
    <row r="44" spans="1:39" s="6" customFormat="1" ht="14.1" hidden="1" customHeight="1" thickTop="1" x14ac:dyDescent="0.2">
      <c r="A44" s="85"/>
      <c r="C44" s="213"/>
      <c r="D44"/>
      <c r="G44" s="1077"/>
      <c r="H44" s="1077"/>
      <c r="I44" s="674" t="e">
        <f>SUM(I8:I42)</f>
        <v>#N/A</v>
      </c>
      <c r="J44"/>
      <c r="K44"/>
      <c r="L44"/>
      <c r="M44"/>
      <c r="N44"/>
      <c r="O44"/>
      <c r="P44"/>
      <c r="Q44"/>
      <c r="R44"/>
      <c r="S44"/>
      <c r="T44"/>
      <c r="U44"/>
      <c r="X44"/>
      <c r="Y44" s="960"/>
      <c r="AB44" s="964"/>
      <c r="AC44" s="232">
        <v>1</v>
      </c>
      <c r="AD44" s="19"/>
      <c r="AE44" s="19"/>
      <c r="AF44" s="19"/>
      <c r="AG44" s="964" t="s">
        <v>405</v>
      </c>
      <c r="AH44" s="964"/>
      <c r="AI44" s="964"/>
      <c r="AJ44" s="964"/>
      <c r="AK44" s="34"/>
      <c r="AL44" s="364"/>
      <c r="AM44" s="34"/>
    </row>
    <row r="45" spans="1:39" s="6" customFormat="1" ht="6" customHeight="1" x14ac:dyDescent="0.2">
      <c r="A45" s="85"/>
      <c r="B45" s="208"/>
      <c r="C45" s="208"/>
      <c r="D45" s="208"/>
      <c r="E45" s="208"/>
      <c r="F45" s="208"/>
      <c r="G45" s="208"/>
      <c r="H45" s="208"/>
      <c r="I45" s="532"/>
      <c r="Y45" s="960"/>
      <c r="AB45" s="935"/>
      <c r="AC45" s="232" t="s">
        <v>0</v>
      </c>
      <c r="AD45" s="19"/>
      <c r="AE45" s="24"/>
      <c r="AF45" s="19"/>
      <c r="AG45" s="19"/>
      <c r="AH45" s="25"/>
      <c r="AI45" s="24" t="s">
        <v>718</v>
      </c>
      <c r="AJ45" s="92"/>
      <c r="AK45" s="34"/>
      <c r="AL45" s="364"/>
      <c r="AM45" s="34"/>
    </row>
    <row r="46" spans="1:39" s="6" customFormat="1" ht="15" customHeight="1" x14ac:dyDescent="0.2">
      <c r="A46" s="85"/>
      <c r="B46" s="209" t="s">
        <v>64</v>
      </c>
      <c r="C46" s="186"/>
      <c r="D46" s="606"/>
      <c r="E46" s="606"/>
      <c r="F46" s="215" t="s">
        <v>0</v>
      </c>
      <c r="G46" s="1034"/>
      <c r="H46" s="1034"/>
      <c r="I46" s="532"/>
      <c r="J46"/>
      <c r="K46"/>
      <c r="L46"/>
      <c r="M46"/>
      <c r="N46"/>
      <c r="O46"/>
      <c r="P46"/>
      <c r="Q46"/>
      <c r="R46"/>
      <c r="S46"/>
      <c r="T46"/>
      <c r="U46"/>
      <c r="X46"/>
      <c r="Y46" s="960"/>
      <c r="AB46" s="937" t="s">
        <v>0</v>
      </c>
      <c r="AC46" s="232">
        <v>1</v>
      </c>
      <c r="AD46" s="19"/>
      <c r="AE46" s="19"/>
      <c r="AF46" s="19"/>
      <c r="AG46" s="25">
        <f>S.EQC.Meeting</f>
        <v>42354</v>
      </c>
      <c r="AH46" s="25">
        <f>WORKDAY(S.7PostEQC.BEGIN+89,1,S.DDL_DEQClosed)</f>
        <v>90</v>
      </c>
      <c r="AI46" s="19"/>
      <c r="AJ46" s="222"/>
      <c r="AK46" s="34"/>
      <c r="AL46" s="364"/>
      <c r="AM46" s="34"/>
    </row>
    <row r="47" spans="1:39" s="6" customFormat="1" ht="15" customHeight="1" thickBot="1" x14ac:dyDescent="0.25">
      <c r="A47" s="85"/>
      <c r="B47" s="125" t="s">
        <v>27</v>
      </c>
      <c r="C47" s="149"/>
      <c r="D47" s="496"/>
      <c r="E47" s="496"/>
      <c r="F47" s="144"/>
      <c r="G47" s="237" t="s">
        <v>0</v>
      </c>
      <c r="H47" s="173">
        <f>AH47</f>
        <v>42356</v>
      </c>
      <c r="I47" s="532"/>
      <c r="J47"/>
      <c r="K47"/>
      <c r="L47"/>
      <c r="M47"/>
      <c r="N47"/>
      <c r="O47"/>
      <c r="P47"/>
      <c r="Q47"/>
      <c r="R47"/>
      <c r="S47"/>
      <c r="T47"/>
      <c r="U47"/>
      <c r="X47"/>
      <c r="Y47" s="960"/>
      <c r="AB47" s="938" t="s">
        <v>0</v>
      </c>
      <c r="AC47" s="232">
        <v>1</v>
      </c>
      <c r="AD47" s="19"/>
      <c r="AE47" s="19"/>
      <c r="AF47" s="19"/>
      <c r="AG47" s="19"/>
      <c r="AH47" s="25">
        <f>WORKDAY(S.EQC.Meeting+1,1,S.DDL_DEQClosed)</f>
        <v>42356</v>
      </c>
      <c r="AI47" s="19"/>
      <c r="AJ47" s="222"/>
      <c r="AK47" s="34"/>
      <c r="AL47" s="364"/>
      <c r="AM47" s="34"/>
    </row>
    <row r="48" spans="1:39" s="6" customFormat="1" ht="15" hidden="1" customHeight="1" thickBot="1" x14ac:dyDescent="0.25">
      <c r="A48" s="85" t="s">
        <v>0</v>
      </c>
      <c r="B48" s="125" t="str">
        <f>AB48</f>
        <v>DAS - fees not involved</v>
      </c>
      <c r="C48" s="149"/>
      <c r="D48" s="496"/>
      <c r="E48" s="496"/>
      <c r="F48" s="144"/>
      <c r="G48" s="237" t="s">
        <v>0</v>
      </c>
      <c r="H48" s="173">
        <f>AH48</f>
        <v>42359</v>
      </c>
      <c r="I48" s="532"/>
      <c r="J48"/>
      <c r="K48"/>
      <c r="L48"/>
      <c r="M48"/>
      <c r="N48"/>
      <c r="O48"/>
      <c r="P48"/>
      <c r="Q48"/>
      <c r="R48"/>
      <c r="S48"/>
      <c r="T48"/>
      <c r="U48"/>
      <c r="X48"/>
      <c r="Y48" s="960"/>
      <c r="AB48" s="932" t="str">
        <f>IF(S.Fee.Involved="N","DAS - fees not involved",IF(S.Fee.DASApprovalRequired="Y","DAS - submit Part 2 within ten days after EQC rulemaking action","DAS - email notification within 10 days after EQC rulemaking action"))</f>
        <v>DAS - fees not involved</v>
      </c>
      <c r="AC48" s="232">
        <f>IF(S.Fee.Involved="Y",1,0)</f>
        <v>0</v>
      </c>
      <c r="AD48" s="19"/>
      <c r="AE48" s="19"/>
      <c r="AF48" s="19"/>
      <c r="AG48" s="35" t="s">
        <v>0</v>
      </c>
      <c r="AH48" s="25">
        <f>WORKDAY(S.EQC.Meeting+5,0,S.DDL_DEQClosed)</f>
        <v>42359</v>
      </c>
      <c r="AI48" s="19"/>
      <c r="AJ48" s="222"/>
      <c r="AK48" s="34"/>
      <c r="AL48" s="364"/>
      <c r="AM48" s="34"/>
    </row>
    <row r="49" spans="1:39" ht="15" customHeight="1" thickBot="1" x14ac:dyDescent="0.25">
      <c r="A49" s="85"/>
      <c r="B49" s="609" t="s">
        <v>125</v>
      </c>
      <c r="C49" s="308" t="s">
        <v>12</v>
      </c>
      <c r="D49" s="213"/>
      <c r="E49" s="213"/>
      <c r="F49" s="144"/>
      <c r="G49" s="237" t="s">
        <v>0</v>
      </c>
      <c r="H49" s="173">
        <f>AH49</f>
        <v>42356</v>
      </c>
      <c r="I49" s="532"/>
      <c r="AB49" s="929" t="s">
        <v>0</v>
      </c>
      <c r="AC49" s="232">
        <v>1</v>
      </c>
      <c r="AD49" s="19"/>
      <c r="AE49" s="19"/>
      <c r="AF49" s="19"/>
      <c r="AG49" s="35" t="s">
        <v>0</v>
      </c>
      <c r="AH49" s="25">
        <f>S.PostEQC.FileRuleWithSOS</f>
        <v>42356</v>
      </c>
      <c r="AI49" s="19"/>
      <c r="AJ49" s="14"/>
      <c r="AK49" s="34"/>
      <c r="AL49" s="364"/>
      <c r="AM49" s="34"/>
    </row>
    <row r="50" spans="1:39" s="6" customFormat="1" ht="15" hidden="1" customHeight="1" x14ac:dyDescent="0.2">
      <c r="A50" s="85"/>
      <c r="B50" s="125" t="str">
        <f>AB50</f>
        <v>EPA - goal to submit SIP within 60 days of adoption</v>
      </c>
      <c r="C50" s="217"/>
      <c r="D50" s="497"/>
      <c r="E50" s="497"/>
      <c r="F50" s="144"/>
      <c r="G50" s="212" t="s">
        <v>0</v>
      </c>
      <c r="H50" s="173">
        <f>AH50</f>
        <v>42416</v>
      </c>
      <c r="I50" s="532"/>
      <c r="J50"/>
      <c r="K50"/>
      <c r="L50"/>
      <c r="M50"/>
      <c r="N50"/>
      <c r="O50"/>
      <c r="P50"/>
      <c r="Q50"/>
      <c r="R50"/>
      <c r="S50"/>
      <c r="T50"/>
      <c r="U50"/>
      <c r="X50"/>
      <c r="Y50" s="960"/>
      <c r="AB50" s="932" t="str">
        <f>IF(S.SIP.Involved="Y","EPA - goal to submit SIP within 60 days of adoption","EPA - SIP not involved")</f>
        <v>EPA - goal to submit SIP within 60 days of adoption</v>
      </c>
      <c r="AC50" s="233">
        <f>IF(S.SIP.Involved="Y",1,0)</f>
        <v>1</v>
      </c>
      <c r="AD50" s="19"/>
      <c r="AE50" s="19"/>
      <c r="AF50" s="19"/>
      <c r="AG50" s="19"/>
      <c r="AH50" s="25">
        <f>IF(S.SIP.Involved="N",,WORKDAY(S.EQC.Meeting+59,1,S.DDL_DEQClosed))</f>
        <v>42416</v>
      </c>
      <c r="AI50" s="19"/>
      <c r="AJ50" s="222"/>
      <c r="AK50" s="34"/>
      <c r="AL50" s="364"/>
      <c r="AM50" s="34"/>
    </row>
    <row r="51" spans="1:39" ht="6.75" customHeight="1" x14ac:dyDescent="0.2">
      <c r="A51" s="85"/>
      <c r="B51" s="195"/>
      <c r="C51" s="182"/>
      <c r="D51" s="498"/>
      <c r="E51" s="498"/>
      <c r="F51" s="196"/>
      <c r="G51" s="218"/>
      <c r="H51" s="182"/>
      <c r="I51" s="532"/>
      <c r="AB51" s="929"/>
      <c r="AC51" s="232" t="s">
        <v>0</v>
      </c>
      <c r="AD51" s="19"/>
      <c r="AE51" s="19"/>
      <c r="AF51" s="19"/>
      <c r="AG51" s="23"/>
      <c r="AH51" s="23"/>
      <c r="AI51" s="19"/>
      <c r="AJ51" s="14"/>
      <c r="AK51" s="34"/>
      <c r="AL51" s="364"/>
      <c r="AM51" s="34"/>
    </row>
    <row r="52" spans="1:39" s="6" customFormat="1" ht="20.25" customHeight="1" x14ac:dyDescent="0.3">
      <c r="A52" s="85"/>
      <c r="B52" s="58" t="s">
        <v>68</v>
      </c>
      <c r="C52" s="40"/>
      <c r="D52" s="98" t="s">
        <v>28</v>
      </c>
      <c r="E52" s="98"/>
      <c r="F52" s="583"/>
      <c r="G52" s="41" t="s">
        <v>0</v>
      </c>
      <c r="H52" s="41" t="s">
        <v>0</v>
      </c>
      <c r="I52" s="532"/>
      <c r="J52"/>
      <c r="K52"/>
      <c r="L52"/>
      <c r="M52"/>
      <c r="N52"/>
      <c r="O52"/>
      <c r="P52"/>
      <c r="Q52"/>
      <c r="R52"/>
      <c r="S52"/>
      <c r="T52"/>
      <c r="U52"/>
      <c r="X52"/>
      <c r="Y52" s="960"/>
      <c r="AB52" s="926" t="s">
        <v>0</v>
      </c>
      <c r="AC52" s="232" t="s">
        <v>0</v>
      </c>
      <c r="AD52" s="19"/>
      <c r="AE52" s="19"/>
      <c r="AF52" s="19"/>
      <c r="AG52" s="35"/>
      <c r="AH52" s="35"/>
      <c r="AI52" s="24"/>
      <c r="AJ52" s="30"/>
      <c r="AK52" s="34"/>
      <c r="AL52" s="364"/>
      <c r="AM52" s="34"/>
    </row>
    <row r="53" spans="1:39" s="244" customFormat="1" ht="14.1" hidden="1" customHeight="1" outlineLevel="1" x14ac:dyDescent="0.2">
      <c r="A53" s="241"/>
      <c r="B53" s="289" t="str">
        <f>S.General.CodeName</f>
        <v>CodeName</v>
      </c>
      <c r="C53" s="242" t="s">
        <v>0</v>
      </c>
      <c r="D53" s="242"/>
      <c r="E53" s="242"/>
      <c r="F53" s="249" t="s">
        <v>0</v>
      </c>
      <c r="G53" s="243" t="s">
        <v>26</v>
      </c>
      <c r="H53" s="243" t="s">
        <v>57</v>
      </c>
      <c r="I53" s="532"/>
      <c r="J53"/>
      <c r="K53"/>
      <c r="L53"/>
      <c r="M53"/>
      <c r="N53"/>
      <c r="O53"/>
      <c r="P53"/>
      <c r="Q53"/>
      <c r="R53"/>
      <c r="S53"/>
      <c r="T53"/>
      <c r="U53"/>
      <c r="V53" s="6"/>
      <c r="W53" s="6"/>
      <c r="X53"/>
      <c r="Y53" s="960"/>
      <c r="Z53" s="6"/>
      <c r="AA53" s="6"/>
      <c r="AB53" s="939"/>
      <c r="AC53" s="246" t="s">
        <v>0</v>
      </c>
      <c r="AD53" s="19"/>
      <c r="AE53" s="19"/>
      <c r="AF53" s="979"/>
      <c r="AG53" s="245"/>
      <c r="AH53" s="245"/>
      <c r="AI53" s="247"/>
      <c r="AJ53" s="248"/>
      <c r="AK53" s="470"/>
      <c r="AL53" s="985"/>
      <c r="AM53" s="470"/>
    </row>
    <row r="54" spans="1:39" ht="14.1" hidden="1" customHeight="1" outlineLevel="1" x14ac:dyDescent="0.25">
      <c r="A54" s="85"/>
      <c r="B54" s="250"/>
      <c r="C54" s="252"/>
      <c r="D54" s="63"/>
      <c r="E54" s="63"/>
      <c r="F54" s="253"/>
      <c r="G54" s="75">
        <f ca="1">S.0Overview.BEGIN</f>
        <v>42009</v>
      </c>
      <c r="H54" s="75">
        <f>AH54</f>
        <v>0</v>
      </c>
      <c r="I54" s="532"/>
      <c r="AB54" s="926"/>
      <c r="AC54" s="232" t="s">
        <v>0</v>
      </c>
      <c r="AD54" s="19"/>
      <c r="AE54" s="19"/>
      <c r="AF54" s="19"/>
      <c r="AG54" s="245"/>
      <c r="AH54" s="25">
        <f>MIN(S.4Notice.BEGIN,S.6EQC.BEGIN)</f>
        <v>0</v>
      </c>
      <c r="AI54" s="247"/>
      <c r="AJ54" s="30"/>
      <c r="AK54" s="34"/>
      <c r="AL54" s="364"/>
      <c r="AM54" s="34"/>
    </row>
    <row r="55" spans="1:39" ht="6" hidden="1" customHeight="1" outlineLevel="1" x14ac:dyDescent="0.2">
      <c r="A55" s="85"/>
      <c r="B55" s="60"/>
      <c r="C55" s="52"/>
      <c r="D55" s="485"/>
      <c r="E55" s="485"/>
      <c r="F55" s="53"/>
      <c r="G55" s="52"/>
      <c r="H55" s="52"/>
      <c r="I55" s="532"/>
      <c r="AB55" s="929"/>
      <c r="AC55" s="233" t="s">
        <v>0</v>
      </c>
      <c r="AD55" s="19"/>
      <c r="AE55" s="19"/>
      <c r="AF55" s="19"/>
      <c r="AG55" s="18"/>
      <c r="AH55" s="18"/>
      <c r="AI55" s="31"/>
      <c r="AJ55" s="31"/>
      <c r="AK55" s="34"/>
      <c r="AL55" s="364"/>
      <c r="AM55" s="34"/>
    </row>
    <row r="56" spans="1:39" s="6" customFormat="1" ht="12.75" hidden="1" customHeight="1" outlineLevel="1" x14ac:dyDescent="0.2">
      <c r="A56" s="85"/>
      <c r="B56" s="349" t="s">
        <v>414</v>
      </c>
      <c r="C56" s="488" t="str">
        <f>HYPERLINK("\\deqhq1\Rule_Resources\i\Q-Cards\PDF\0-VersionHistory.pdf","i")</f>
        <v>i</v>
      </c>
      <c r="D56" s="486"/>
      <c r="E56" s="486"/>
      <c r="F56"/>
      <c r="G56" s="38"/>
      <c r="H56" s="38"/>
      <c r="I56" s="532"/>
      <c r="J56"/>
      <c r="K56"/>
      <c r="L56"/>
      <c r="M56"/>
      <c r="N56"/>
      <c r="O56"/>
      <c r="P56"/>
      <c r="Q56"/>
      <c r="R56"/>
      <c r="S56"/>
      <c r="T56"/>
      <c r="U56"/>
      <c r="X56"/>
      <c r="Y56" s="960"/>
      <c r="AB56" s="929"/>
      <c r="AC56" s="233" t="s">
        <v>0</v>
      </c>
      <c r="AD56" s="19"/>
      <c r="AE56" s="19"/>
      <c r="AF56" s="19"/>
      <c r="AG56" s="18"/>
      <c r="AH56" s="18"/>
      <c r="AI56" s="31"/>
      <c r="AJ56" s="31"/>
      <c r="AK56" s="34"/>
      <c r="AL56" s="364"/>
      <c r="AM56" s="34"/>
    </row>
    <row r="57" spans="1:39" s="6" customFormat="1" ht="2.25" hidden="1" customHeight="1" outlineLevel="1" x14ac:dyDescent="0.2">
      <c r="A57" s="85"/>
      <c r="B57" s="125"/>
      <c r="C57" s="51"/>
      <c r="D57" s="106"/>
      <c r="E57" s="106"/>
      <c r="G57" s="225"/>
      <c r="H57" s="225"/>
      <c r="I57" s="532"/>
      <c r="Y57" s="960"/>
      <c r="AB57" s="929"/>
      <c r="AC57" s="232" t="s">
        <v>0</v>
      </c>
      <c r="AD57" s="19"/>
      <c r="AE57" s="19"/>
      <c r="AF57" s="19"/>
      <c r="AG57" s="18"/>
      <c r="AH57" s="18"/>
      <c r="AI57" s="24"/>
      <c r="AJ57" s="15"/>
      <c r="AK57" s="34"/>
      <c r="AL57" s="364"/>
      <c r="AM57" s="34"/>
    </row>
    <row r="58" spans="1:39" s="101" customFormat="1" ht="12.75" hidden="1" customHeight="1" outlineLevel="1" x14ac:dyDescent="0.2">
      <c r="A58" s="256"/>
      <c r="B58" s="334" t="s">
        <v>39</v>
      </c>
      <c r="C58" s="328" t="str">
        <f>HYPERLINK("\\deqhq1\Rule_Resources\Agency Rules Coordinator Responsibilities\0.AgencyWideRulemaking\Annual Rulemaking Plans\Add to idea to plan.pdf","i")</f>
        <v>i</v>
      </c>
      <c r="D58" s="106"/>
      <c r="E58" s="106"/>
      <c r="F58"/>
      <c r="G58" s="519"/>
      <c r="H58" s="519"/>
      <c r="I58" s="679"/>
      <c r="AB58" s="926"/>
      <c r="AC58" s="257">
        <v>1</v>
      </c>
      <c r="AD58" s="980"/>
      <c r="AE58" s="980"/>
      <c r="AF58" s="980"/>
      <c r="AG58" s="18"/>
      <c r="AH58" s="18"/>
      <c r="AI58" s="258" t="s">
        <v>0</v>
      </c>
      <c r="AJ58" s="9"/>
      <c r="AK58" s="986"/>
      <c r="AL58" s="364"/>
      <c r="AM58" s="986"/>
    </row>
    <row r="59" spans="1:39" s="6" customFormat="1" ht="12.75" hidden="1" customHeight="1" outlineLevel="2" x14ac:dyDescent="0.2">
      <c r="A59" s="85"/>
      <c r="B59" s="150" t="str">
        <f>AB59</f>
        <v>Program contacts Meyer about a potential rulemaking</v>
      </c>
      <c r="C59" s="51" t="s">
        <v>0</v>
      </c>
      <c r="D59" s="121" t="s">
        <v>0</v>
      </c>
      <c r="E59" s="634"/>
      <c r="F59"/>
      <c r="G59" s="79"/>
      <c r="H59" s="111">
        <f ca="1">AH59</f>
        <v>42009</v>
      </c>
      <c r="I59" s="532"/>
      <c r="Y59" s="960"/>
      <c r="AB59" s="932" t="str">
        <f>"Program contacts "&amp;S.Staff.AgencyRulesCoordinator&amp;" about a potential rulemaking"</f>
        <v>Program contacts Meyer about a potential rulemaking</v>
      </c>
      <c r="AC59" s="232">
        <v>1</v>
      </c>
      <c r="AD59" s="19"/>
      <c r="AE59" s="19"/>
      <c r="AF59" s="19"/>
      <c r="AG59" s="18"/>
      <c r="AH59" s="25">
        <f ca="1">S.1Planning.BEGIN</f>
        <v>42009</v>
      </c>
      <c r="AI59" s="24" t="s">
        <v>0</v>
      </c>
      <c r="AJ59" s="15"/>
      <c r="AK59" s="34"/>
      <c r="AL59" s="364"/>
      <c r="AM59" s="34"/>
    </row>
    <row r="60" spans="1:39" s="749" customFormat="1" ht="12.75" hidden="1" customHeight="1" outlineLevel="2" x14ac:dyDescent="0.2">
      <c r="A60" s="85"/>
      <c r="B60" s="150" t="str">
        <f>AB60</f>
        <v>Meyer points program contact to 'Add concept to plan' process diagram</v>
      </c>
      <c r="C60" s="51" t="s">
        <v>0</v>
      </c>
      <c r="D60" s="121" t="s">
        <v>0</v>
      </c>
      <c r="E60" s="634"/>
      <c r="G60" s="79"/>
      <c r="I60" s="532"/>
      <c r="Y60" s="960"/>
      <c r="AB60" s="932" t="str">
        <f>S.Staff.AgencyRulesCoordinator&amp;" points program contact to 'Add concept to plan' process diagram"</f>
        <v>Meyer points program contact to 'Add concept to plan' process diagram</v>
      </c>
      <c r="AC60" s="232">
        <v>1</v>
      </c>
      <c r="AD60" s="19"/>
      <c r="AE60" s="19"/>
      <c r="AF60" s="19"/>
      <c r="AG60" s="18"/>
      <c r="AH60" s="18"/>
      <c r="AI60" s="24" t="s">
        <v>0</v>
      </c>
      <c r="AJ60" s="15"/>
      <c r="AK60" s="34"/>
      <c r="AL60" s="364"/>
      <c r="AM60" s="34"/>
    </row>
    <row r="61" spans="1:39" s="6" customFormat="1" ht="12.75" hidden="1" customHeight="1" outlineLevel="2" x14ac:dyDescent="0.2">
      <c r="A61" s="85"/>
      <c r="B61" s="128" t="str">
        <f>AB61</f>
        <v>ProgMgr approves moving forward with about 8 hours concept development work</v>
      </c>
      <c r="C61" s="51" t="s">
        <v>0</v>
      </c>
      <c r="D61" s="121" t="s">
        <v>0</v>
      </c>
      <c r="E61" s="634"/>
      <c r="F61"/>
      <c r="G61" s="79"/>
      <c r="H61" s="111">
        <f ca="1">AH61</f>
        <v>42009</v>
      </c>
      <c r="I61" s="532"/>
      <c r="J61"/>
      <c r="K61"/>
      <c r="L61"/>
      <c r="M61"/>
      <c r="N61"/>
      <c r="O61"/>
      <c r="P61"/>
      <c r="Q61"/>
      <c r="R61"/>
      <c r="S61"/>
      <c r="T61"/>
      <c r="U61"/>
      <c r="X61"/>
      <c r="Y61" s="960"/>
      <c r="AB61" s="932" t="str">
        <f>S.Staff.Program.Mgr.FirstName&amp;" approves moving forward with about 8 hours concept development work"</f>
        <v>ProgMgr approves moving forward with about 8 hours concept development work</v>
      </c>
      <c r="AC61" s="232">
        <v>1</v>
      </c>
      <c r="AD61" s="19"/>
      <c r="AE61" s="19"/>
      <c r="AF61" s="19"/>
      <c r="AG61" s="18"/>
      <c r="AH61" s="25">
        <f ca="1">H59</f>
        <v>42009</v>
      </c>
      <c r="AI61" s="24" t="s">
        <v>0</v>
      </c>
      <c r="AJ61" s="15"/>
      <c r="AK61" s="34"/>
      <c r="AL61" s="364"/>
      <c r="AM61" s="34"/>
    </row>
    <row r="62" spans="1:39" s="6" customFormat="1" ht="12.75" hidden="1" customHeight="1" outlineLevel="2" x14ac:dyDescent="0.25">
      <c r="A62" s="85"/>
      <c r="B62" s="150" t="str">
        <f>AB62</f>
        <v>Meyer</v>
      </c>
      <c r="C62" s="116" t="s">
        <v>0</v>
      </c>
      <c r="D62" s="106"/>
      <c r="E62" s="106"/>
      <c r="F62"/>
      <c r="G62" s="226"/>
      <c r="H62" s="226"/>
      <c r="I62" s="532"/>
      <c r="J62"/>
      <c r="K62"/>
      <c r="L62"/>
      <c r="M62"/>
      <c r="N62"/>
      <c r="O62"/>
      <c r="P62"/>
      <c r="Q62"/>
      <c r="R62"/>
      <c r="S62"/>
      <c r="T62"/>
      <c r="U62"/>
      <c r="X62"/>
      <c r="Y62" s="960"/>
      <c r="AB62" s="932" t="str">
        <f>S.Staff.AgencyRulesCoordinator</f>
        <v>Meyer</v>
      </c>
      <c r="AC62" s="232">
        <v>1</v>
      </c>
      <c r="AD62" s="19"/>
      <c r="AE62" s="19"/>
      <c r="AF62" s="19"/>
      <c r="AG62" s="18"/>
      <c r="AH62" s="18"/>
      <c r="AI62" s="24"/>
      <c r="AJ62" s="15"/>
      <c r="AK62" s="34"/>
      <c r="AL62" s="364"/>
      <c r="AM62" s="34"/>
    </row>
    <row r="63" spans="1:39" s="6" customFormat="1" ht="14.1" hidden="1" customHeight="1" outlineLevel="2" x14ac:dyDescent="0.25">
      <c r="A63" s="85"/>
      <c r="B63" s="150" t="s">
        <v>459</v>
      </c>
      <c r="C63" s="116" t="s">
        <v>0</v>
      </c>
      <c r="D63" s="121" t="s">
        <v>0</v>
      </c>
      <c r="E63" s="634"/>
      <c r="F63"/>
      <c r="G63" s="226"/>
      <c r="H63" s="749"/>
      <c r="I63" s="532"/>
      <c r="J63"/>
      <c r="K63"/>
      <c r="L63"/>
      <c r="M63"/>
      <c r="N63"/>
      <c r="O63"/>
      <c r="P63"/>
      <c r="Q63"/>
      <c r="R63"/>
      <c r="S63"/>
      <c r="T63"/>
      <c r="U63"/>
      <c r="X63"/>
      <c r="Y63" s="960"/>
      <c r="AB63" s="929" t="s">
        <v>0</v>
      </c>
      <c r="AC63" s="232">
        <v>1</v>
      </c>
      <c r="AD63" s="19"/>
      <c r="AE63" s="19"/>
      <c r="AF63" s="19"/>
      <c r="AG63" s="18"/>
      <c r="AH63" s="24"/>
      <c r="AI63" s="24"/>
      <c r="AJ63" s="15"/>
      <c r="AK63" s="34"/>
      <c r="AL63" s="364"/>
      <c r="AM63" s="34"/>
    </row>
    <row r="64" spans="1:39" s="6" customFormat="1" ht="14.1" hidden="1" customHeight="1" outlineLevel="2" x14ac:dyDescent="0.2">
      <c r="A64" s="85"/>
      <c r="B64" s="152" t="s">
        <v>469</v>
      </c>
      <c r="C64" s="328" t="str">
        <f>HYPERLINK("\\deqhq1\Rule_Development\Currrent Plan","i")</f>
        <v>i</v>
      </c>
      <c r="D64" s="115" t="s">
        <v>0</v>
      </c>
      <c r="E64" s="634"/>
      <c r="F64"/>
      <c r="G64"/>
      <c r="H64"/>
      <c r="I64" s="532"/>
      <c r="J64"/>
      <c r="K64"/>
      <c r="L64"/>
      <c r="M64"/>
      <c r="N64"/>
      <c r="O64"/>
      <c r="P64"/>
      <c r="Q64"/>
      <c r="R64"/>
      <c r="S64"/>
      <c r="T64"/>
      <c r="U64"/>
      <c r="X64"/>
      <c r="Y64" s="960"/>
      <c r="AB64" s="929" t="s">
        <v>0</v>
      </c>
      <c r="AC64" s="232">
        <v>1</v>
      </c>
      <c r="AD64" s="19"/>
      <c r="AE64" s="19"/>
      <c r="AF64" s="19"/>
      <c r="AG64" s="24"/>
      <c r="AH64" s="24"/>
      <c r="AI64" s="24"/>
      <c r="AJ64" s="15"/>
      <c r="AK64" s="34"/>
      <c r="AL64" s="364"/>
      <c r="AM64" s="34"/>
    </row>
    <row r="65" spans="1:39" s="749" customFormat="1" ht="14.1" hidden="1" customHeight="1" outlineLevel="2" x14ac:dyDescent="0.25">
      <c r="A65" s="85"/>
      <c r="B65" s="199" t="s">
        <v>463</v>
      </c>
      <c r="C65" s="116" t="s">
        <v>0</v>
      </c>
      <c r="D65" s="115" t="s">
        <v>0</v>
      </c>
      <c r="E65" s="634"/>
      <c r="I65" s="532"/>
      <c r="Y65" s="960"/>
      <c r="AB65" s="929" t="s">
        <v>0</v>
      </c>
      <c r="AC65" s="232">
        <v>1</v>
      </c>
      <c r="AD65" s="19"/>
      <c r="AE65" s="19"/>
      <c r="AF65" s="19"/>
      <c r="AG65" s="24"/>
      <c r="AH65" s="24"/>
      <c r="AI65" s="24"/>
      <c r="AJ65" s="15"/>
      <c r="AK65" s="34"/>
      <c r="AL65" s="364"/>
      <c r="AM65" s="34"/>
    </row>
    <row r="66" spans="1:39" s="749" customFormat="1" ht="14.1" hidden="1" customHeight="1" outlineLevel="2" x14ac:dyDescent="0.25">
      <c r="A66" s="85"/>
      <c r="B66" s="753" t="s">
        <v>460</v>
      </c>
      <c r="C66" s="116"/>
      <c r="D66" s="106"/>
      <c r="E66" s="634"/>
      <c r="I66" s="532"/>
      <c r="Y66" s="960"/>
      <c r="AB66" s="929" t="s">
        <v>0</v>
      </c>
      <c r="AC66" s="232">
        <v>1</v>
      </c>
      <c r="AD66" s="19"/>
      <c r="AE66" s="19"/>
      <c r="AF66" s="19"/>
      <c r="AG66" s="24"/>
      <c r="AH66" s="24"/>
      <c r="AI66" s="24"/>
      <c r="AJ66" s="15"/>
      <c r="AK66" s="34"/>
      <c r="AL66" s="364"/>
      <c r="AM66" s="34"/>
    </row>
    <row r="67" spans="1:39" s="749" customFormat="1" ht="14.1" hidden="1" customHeight="1" outlineLevel="2" x14ac:dyDescent="0.25">
      <c r="A67" s="85"/>
      <c r="B67" s="753" t="s">
        <v>461</v>
      </c>
      <c r="C67" s="116"/>
      <c r="D67" s="106"/>
      <c r="E67" s="634"/>
      <c r="I67" s="532"/>
      <c r="Y67" s="960"/>
      <c r="AB67" s="929"/>
      <c r="AC67" s="232">
        <v>1</v>
      </c>
      <c r="AD67" s="19"/>
      <c r="AE67" s="19"/>
      <c r="AF67" s="19"/>
      <c r="AG67" s="24"/>
      <c r="AH67" s="24"/>
      <c r="AI67" s="24"/>
      <c r="AJ67" s="15"/>
      <c r="AK67" s="34"/>
      <c r="AL67" s="364"/>
      <c r="AM67" s="34"/>
    </row>
    <row r="68" spans="1:39" s="749" customFormat="1" ht="14.1" hidden="1" customHeight="1" outlineLevel="2" x14ac:dyDescent="0.25">
      <c r="A68" s="85"/>
      <c r="B68" s="753" t="s">
        <v>462</v>
      </c>
      <c r="C68" s="116"/>
      <c r="D68" s="106"/>
      <c r="E68" s="634"/>
      <c r="I68" s="532"/>
      <c r="Y68" s="960"/>
      <c r="AB68" s="929"/>
      <c r="AC68" s="232">
        <v>1</v>
      </c>
      <c r="AD68" s="19"/>
      <c r="AE68" s="19"/>
      <c r="AF68" s="19"/>
      <c r="AG68" s="24"/>
      <c r="AH68" s="24"/>
      <c r="AI68" s="24"/>
      <c r="AJ68" s="15"/>
      <c r="AK68" s="34"/>
      <c r="AL68" s="364"/>
      <c r="AM68" s="34"/>
    </row>
    <row r="69" spans="1:39" s="749" customFormat="1" ht="14.1" hidden="1" customHeight="1" outlineLevel="2" x14ac:dyDescent="0.25">
      <c r="A69" s="85"/>
      <c r="B69" s="753" t="s">
        <v>464</v>
      </c>
      <c r="C69" s="116"/>
      <c r="D69" s="106"/>
      <c r="E69" s="634"/>
      <c r="I69" s="532"/>
      <c r="Y69" s="960"/>
      <c r="AB69" s="929"/>
      <c r="AC69" s="232">
        <v>1</v>
      </c>
      <c r="AD69" s="19"/>
      <c r="AE69" s="19"/>
      <c r="AF69" s="19"/>
      <c r="AG69" s="24"/>
      <c r="AH69" s="24"/>
      <c r="AI69" s="24"/>
      <c r="AJ69" s="15"/>
      <c r="AK69" s="34"/>
      <c r="AL69" s="364"/>
      <c r="AM69" s="34"/>
    </row>
    <row r="70" spans="1:39" s="6" customFormat="1" ht="14.1" hidden="1" customHeight="1" outlineLevel="2" x14ac:dyDescent="0.25">
      <c r="A70" s="85"/>
      <c r="B70" s="199" t="s">
        <v>465</v>
      </c>
      <c r="C70" s="116" t="s">
        <v>0</v>
      </c>
      <c r="D70" s="115" t="s">
        <v>0</v>
      </c>
      <c r="E70" s="634"/>
      <c r="F70"/>
      <c r="H70"/>
      <c r="I70" s="532"/>
      <c r="J70"/>
      <c r="K70"/>
      <c r="L70"/>
      <c r="M70"/>
      <c r="N70"/>
      <c r="O70"/>
      <c r="P70"/>
      <c r="Q70"/>
      <c r="R70"/>
      <c r="S70"/>
      <c r="T70"/>
      <c r="U70"/>
      <c r="X70"/>
      <c r="Y70" s="960"/>
      <c r="AB70" s="929" t="s">
        <v>0</v>
      </c>
      <c r="AC70" s="232">
        <v>1</v>
      </c>
      <c r="AD70" s="19"/>
      <c r="AE70" s="19"/>
      <c r="AF70" s="19"/>
      <c r="AG70" s="24"/>
      <c r="AH70" s="24"/>
      <c r="AI70" s="24"/>
      <c r="AJ70" s="15"/>
      <c r="AK70" s="34"/>
      <c r="AL70" s="364"/>
      <c r="AM70" s="34"/>
    </row>
    <row r="71" spans="1:39" s="749" customFormat="1" ht="14.1" hidden="1" customHeight="1" outlineLevel="2" x14ac:dyDescent="0.25">
      <c r="A71" s="85"/>
      <c r="B71" s="753" t="s">
        <v>470</v>
      </c>
      <c r="C71" s="116"/>
      <c r="D71" s="106"/>
      <c r="E71" s="634"/>
      <c r="I71" s="532"/>
      <c r="Y71" s="960"/>
      <c r="AB71" s="929"/>
      <c r="AC71" s="232">
        <v>1</v>
      </c>
      <c r="AD71" s="19"/>
      <c r="AE71" s="19"/>
      <c r="AF71" s="19"/>
      <c r="AG71" s="24"/>
      <c r="AH71" s="24"/>
      <c r="AI71" s="24"/>
      <c r="AJ71" s="15"/>
      <c r="AK71" s="34"/>
      <c r="AL71" s="364"/>
      <c r="AM71" s="34"/>
    </row>
    <row r="72" spans="1:39" s="749" customFormat="1" ht="14.1" hidden="1" customHeight="1" outlineLevel="2" x14ac:dyDescent="0.25">
      <c r="A72" s="85"/>
      <c r="B72" s="753" t="str">
        <f>AB72</f>
        <v>- attendees: ProgMgr &amp; ProgLead</v>
      </c>
      <c r="C72" s="116"/>
      <c r="D72" s="106"/>
      <c r="E72" s="634"/>
      <c r="I72" s="532"/>
      <c r="Y72" s="960"/>
      <c r="AB72" s="932" t="str">
        <f>"- attendees: "&amp;S.Staff.Program.Mgr.FirstName&amp;" &amp; "&amp;S.Staff.Subject.Expert.FirstName</f>
        <v>- attendees: ProgMgr &amp; ProgLead</v>
      </c>
      <c r="AC72" s="232">
        <v>1</v>
      </c>
      <c r="AD72" s="19"/>
      <c r="AE72" s="19"/>
      <c r="AF72" s="19"/>
      <c r="AG72" s="24"/>
      <c r="AH72" s="24"/>
      <c r="AI72" s="24"/>
      <c r="AJ72" s="15"/>
      <c r="AK72" s="34"/>
      <c r="AL72" s="364"/>
      <c r="AM72" s="34"/>
    </row>
    <row r="73" spans="1:39" ht="14.1" hidden="1" customHeight="1" outlineLevel="2" x14ac:dyDescent="0.25">
      <c r="A73" s="85"/>
      <c r="B73" s="185" t="str">
        <f>AB73</f>
        <v>ProgMgr &amp; ProgLead participate in work session</v>
      </c>
      <c r="C73" s="348" t="s">
        <v>0</v>
      </c>
      <c r="D73" s="374" t="s">
        <v>0</v>
      </c>
      <c r="E73" s="635"/>
      <c r="F73"/>
      <c r="G73" s="346"/>
      <c r="H73" s="347">
        <f ca="1">AH73</f>
        <v>42009</v>
      </c>
      <c r="I73" s="532"/>
      <c r="AB73" s="932" t="str">
        <f>S.Staff.Program.Mgr.FirstName&amp;" &amp; "&amp;S.Staff.Subject.Expert.FirstName&amp;" participate in work session"</f>
        <v>ProgMgr &amp; ProgLead participate in work session</v>
      </c>
      <c r="AC73" s="232">
        <v>1</v>
      </c>
      <c r="AD73" s="19"/>
      <c r="AE73" s="19"/>
      <c r="AF73" s="19"/>
      <c r="AG73" s="19"/>
      <c r="AH73" s="25">
        <f ca="1">H61</f>
        <v>42009</v>
      </c>
      <c r="AI73" s="24"/>
      <c r="AJ73" s="15"/>
      <c r="AK73" s="34"/>
      <c r="AL73" s="364"/>
      <c r="AM73" s="34"/>
    </row>
    <row r="74" spans="1:39" ht="14.1" hidden="1" customHeight="1" outlineLevel="2" x14ac:dyDescent="0.2">
      <c r="A74" s="85"/>
      <c r="B74" s="150" t="str">
        <f>AB74</f>
        <v>ProgLead drafts workbooks using what she or he knows now:</v>
      </c>
      <c r="C74" s="43"/>
      <c r="D74" s="115"/>
      <c r="E74" s="634"/>
      <c r="F74"/>
      <c r="G74" s="111">
        <f ca="1">AG74</f>
        <v>42009</v>
      </c>
      <c r="H74" s="111">
        <f ca="1">AH74</f>
        <v>42009</v>
      </c>
      <c r="I74" s="532"/>
      <c r="AB74" s="934" t="str">
        <f>S.Staff.Subject.Expert.FirstName&amp;" drafts workbooks using what she or he knows now:"</f>
        <v>ProgLead drafts workbooks using what she or he knows now:</v>
      </c>
      <c r="AC74" s="232">
        <v>1</v>
      </c>
      <c r="AD74" s="19"/>
      <c r="AE74" s="19"/>
      <c r="AF74" s="19"/>
      <c r="AG74" s="25">
        <f ca="1">H73</f>
        <v>42009</v>
      </c>
      <c r="AH74" s="25">
        <f ca="1">G74</f>
        <v>42009</v>
      </c>
      <c r="AI74" s="24"/>
      <c r="AJ74" s="15"/>
      <c r="AK74" s="34"/>
      <c r="AL74" s="364"/>
      <c r="AM74" s="34"/>
    </row>
    <row r="75" spans="1:39" s="6" customFormat="1" ht="14.1" hidden="1" customHeight="1" outlineLevel="2" x14ac:dyDescent="0.25">
      <c r="A75" s="85"/>
      <c r="B75" s="184" t="s">
        <v>466</v>
      </c>
      <c r="C75" s="371"/>
      <c r="D75" s="500"/>
      <c r="E75" s="500"/>
      <c r="F75"/>
      <c r="G75" s="45" t="s">
        <v>0</v>
      </c>
      <c r="H75" s="45"/>
      <c r="I75" s="532"/>
      <c r="Y75" s="960"/>
      <c r="AB75" s="940" t="s">
        <v>0</v>
      </c>
      <c r="AC75" s="232">
        <f>IF(S.Planning.DecisionToAddToPlan="A",1,0)</f>
        <v>1</v>
      </c>
      <c r="AD75" s="19"/>
      <c r="AE75" s="19"/>
      <c r="AF75" s="19"/>
      <c r="AG75" s="23"/>
      <c r="AH75" s="23"/>
      <c r="AI75" s="24"/>
      <c r="AJ75" s="27"/>
      <c r="AK75" s="34"/>
      <c r="AL75" s="364"/>
      <c r="AM75" s="34"/>
    </row>
    <row r="76" spans="1:39" s="6" customFormat="1" ht="14.1" hidden="1" customHeight="1" outlineLevel="2" x14ac:dyDescent="0.25">
      <c r="A76" s="85"/>
      <c r="B76" s="184" t="s">
        <v>467</v>
      </c>
      <c r="C76" s="371"/>
      <c r="D76" s="500"/>
      <c r="E76" s="500"/>
      <c r="F76"/>
      <c r="G76" s="45" t="s">
        <v>0</v>
      </c>
      <c r="H76" s="45"/>
      <c r="I76" s="532"/>
      <c r="Y76" s="960"/>
      <c r="AB76" s="940" t="s">
        <v>0</v>
      </c>
      <c r="AC76" s="232">
        <f>IF(S.Planning.DecisionToAddToPlan="A",1,0)</f>
        <v>1</v>
      </c>
      <c r="AD76" s="19"/>
      <c r="AE76" s="19"/>
      <c r="AF76" s="19"/>
      <c r="AG76" s="23"/>
      <c r="AH76" s="23"/>
      <c r="AI76" s="24"/>
      <c r="AJ76" s="27"/>
      <c r="AK76" s="34"/>
      <c r="AL76" s="364"/>
      <c r="AM76" s="34"/>
    </row>
    <row r="77" spans="1:39" s="6" customFormat="1" ht="14.1" hidden="1" customHeight="1" outlineLevel="2" x14ac:dyDescent="0.2">
      <c r="A77" s="85"/>
      <c r="B77" s="150" t="str">
        <f>AB77</f>
        <v>ProgLead gets input on workbooks from ProgMgr &amp; Meyer</v>
      </c>
      <c r="C77" s="43"/>
      <c r="D77" s="115"/>
      <c r="E77" s="634"/>
      <c r="F77"/>
      <c r="H77" s="111">
        <f ca="1">AH77</f>
        <v>42009</v>
      </c>
      <c r="I77" s="532"/>
      <c r="Y77" s="960"/>
      <c r="AB77" s="934" t="str">
        <f>S.Staff.Subject.Expert.FirstName&amp;" gets input on workbooks from "&amp;S.Staff.Program.Mgr.FirstName&amp;" &amp; "&amp;S.Staff.AgencyRulesCoordinator</f>
        <v>ProgLead gets input on workbooks from ProgMgr &amp; Meyer</v>
      </c>
      <c r="AC77" s="232">
        <v>1</v>
      </c>
      <c r="AD77" s="19"/>
      <c r="AE77" s="19"/>
      <c r="AF77" s="19"/>
      <c r="AG77" s="23"/>
      <c r="AH77" s="25">
        <f ca="1">S.Planning.DraftWorkbooksEnd</f>
        <v>42009</v>
      </c>
      <c r="AI77" s="24"/>
      <c r="AJ77" s="15"/>
      <c r="AK77" s="34"/>
      <c r="AL77" s="364"/>
      <c r="AM77" s="34"/>
    </row>
    <row r="78" spans="1:39" s="6" customFormat="1" ht="14.1" hidden="1" customHeight="1" outlineLevel="2" x14ac:dyDescent="0.2">
      <c r="A78" s="85"/>
      <c r="B78" s="150" t="str">
        <f>AB78</f>
        <v>ProgMgr shares concept with MediaLead who advances/delays/stops concept</v>
      </c>
      <c r="C78" s="43"/>
      <c r="D78" s="115"/>
      <c r="E78" s="634"/>
      <c r="H78" s="111">
        <f ca="1">AH78</f>
        <v>42009</v>
      </c>
      <c r="I78" s="532"/>
      <c r="Y78" s="960"/>
      <c r="AB78" s="934" t="str">
        <f>S.Staff.Program.Mgr.FirstName&amp;" shares concept with "&amp;S.Staff.Assistant.DA.ShortName&amp;" who advances/delays/stops concept"</f>
        <v>ProgMgr shares concept with MediaLead who advances/delays/stops concept</v>
      </c>
      <c r="AC78" s="232">
        <v>1</v>
      </c>
      <c r="AD78" s="19"/>
      <c r="AE78" s="19"/>
      <c r="AF78" s="19"/>
      <c r="AG78" s="23"/>
      <c r="AH78" s="25">
        <f ca="1">H77</f>
        <v>42009</v>
      </c>
      <c r="AI78" s="24"/>
      <c r="AJ78" s="15"/>
      <c r="AK78" s="34"/>
      <c r="AL78" s="364"/>
      <c r="AM78" s="34"/>
    </row>
    <row r="79" spans="1:39" s="6" customFormat="1" ht="14.1" hidden="1" customHeight="1" outlineLevel="2" x14ac:dyDescent="0.2">
      <c r="A79" s="85"/>
      <c r="B79" s="150" t="str">
        <f>AB79</f>
        <v>MediaLead shares concept with DA.Program who advances/delays/stops concept</v>
      </c>
      <c r="C79" s="43"/>
      <c r="D79" s="115"/>
      <c r="E79" s="634"/>
      <c r="H79" s="111">
        <f t="shared" ref="H79:H80" ca="1" si="3">AH79</f>
        <v>42009</v>
      </c>
      <c r="I79" s="532"/>
      <c r="Y79" s="960"/>
      <c r="AB79" s="934" t="str">
        <f>S.Staff.Assistant.DA.ShortName&amp;" shares concept with "&amp;S.Staff.DA.ForProgram.FirstName&amp;" who advances/delays/stops concept"</f>
        <v>MediaLead shares concept with DA.Program who advances/delays/stops concept</v>
      </c>
      <c r="AC79" s="232">
        <v>1</v>
      </c>
      <c r="AD79" s="19"/>
      <c r="AE79" s="19"/>
      <c r="AF79" s="19"/>
      <c r="AG79" s="23"/>
      <c r="AH79" s="25">
        <f ca="1">H78</f>
        <v>42009</v>
      </c>
      <c r="AI79" s="24"/>
      <c r="AJ79" s="15"/>
      <c r="AK79" s="34"/>
      <c r="AL79" s="364"/>
      <c r="AM79" s="34"/>
    </row>
    <row r="80" spans="1:39" s="6" customFormat="1" ht="14.1" hidden="1" customHeight="1" outlineLevel="2" x14ac:dyDescent="0.2">
      <c r="A80" s="85"/>
      <c r="B80" s="150" t="str">
        <f>AB80</f>
        <v>If advanced, ProgMgr emails Meyer to approve moving forward</v>
      </c>
      <c r="C80" s="43"/>
      <c r="D80" s="115"/>
      <c r="E80" s="634"/>
      <c r="H80" s="111">
        <f t="shared" ca="1" si="3"/>
        <v>42009</v>
      </c>
      <c r="I80" s="532"/>
      <c r="Y80" s="960"/>
      <c r="AB80" s="934" t="str">
        <f>"If advanced, "&amp;S.Staff.Program.Mgr.FirstName&amp;" emails "&amp;S.Staff.AgencyRulesCoordinator&amp;" to approve moving forward"</f>
        <v>If advanced, ProgMgr emails Meyer to approve moving forward</v>
      </c>
      <c r="AC80" s="232">
        <v>1</v>
      </c>
      <c r="AD80" s="19"/>
      <c r="AE80" s="19"/>
      <c r="AF80" s="19"/>
      <c r="AG80" s="23"/>
      <c r="AH80" s="25">
        <f ca="1">H79</f>
        <v>42009</v>
      </c>
      <c r="AI80" s="24"/>
      <c r="AJ80" s="15"/>
      <c r="AK80" s="34"/>
      <c r="AL80" s="364"/>
      <c r="AM80" s="34"/>
    </row>
    <row r="81" spans="1:39" s="6" customFormat="1" ht="14.1" hidden="1" customHeight="1" outlineLevel="2" x14ac:dyDescent="0.2">
      <c r="A81" s="85"/>
      <c r="B81" s="220" t="str">
        <f>AB81</f>
        <v>Meyer:</v>
      </c>
      <c r="C81" s="43"/>
      <c r="D81" s="118"/>
      <c r="E81" s="634"/>
      <c r="H81" s="45"/>
      <c r="I81" s="532"/>
      <c r="Y81" s="960"/>
      <c r="AB81" s="934" t="str">
        <f>S.Staff.AgencyRulesCoordinator&amp;":"</f>
        <v>Meyer:</v>
      </c>
      <c r="AC81" s="232">
        <v>1</v>
      </c>
      <c r="AD81" s="19"/>
      <c r="AE81" s="19"/>
      <c r="AF81" s="19"/>
      <c r="AG81" s="23"/>
      <c r="AH81" s="23"/>
      <c r="AI81" s="24"/>
      <c r="AJ81" s="15"/>
      <c r="AK81" s="34"/>
      <c r="AL81" s="364"/>
      <c r="AM81" s="34"/>
    </row>
    <row r="82" spans="1:39" s="6" customFormat="1" ht="14.1" hidden="1" customHeight="1" outlineLevel="2" x14ac:dyDescent="0.2">
      <c r="A82" s="85"/>
      <c r="B82" s="184" t="s">
        <v>402</v>
      </c>
      <c r="C82" s="371"/>
      <c r="D82" s="115"/>
      <c r="E82" s="634"/>
      <c r="G82" s="45" t="s">
        <v>0</v>
      </c>
      <c r="H82" s="45"/>
      <c r="I82" s="532"/>
      <c r="Y82" s="960"/>
      <c r="AB82" s="940" t="s">
        <v>0</v>
      </c>
      <c r="AC82" s="232">
        <f>IF(S.Planning.DecisionToAddToPlan="A",1,0)</f>
        <v>1</v>
      </c>
      <c r="AD82" s="19"/>
      <c r="AE82" s="19"/>
      <c r="AF82" s="19"/>
      <c r="AG82" s="23"/>
      <c r="AH82" s="23"/>
      <c r="AI82" s="24"/>
      <c r="AJ82" s="27"/>
      <c r="AK82" s="34"/>
      <c r="AL82" s="364"/>
      <c r="AM82" s="34"/>
    </row>
    <row r="83" spans="1:39" s="6" customFormat="1" ht="14.1" hidden="1" customHeight="1" outlineLevel="2" x14ac:dyDescent="0.2">
      <c r="A83" s="85"/>
      <c r="B83" s="325" t="s">
        <v>403</v>
      </c>
      <c r="C83" s="371"/>
      <c r="D83" s="115"/>
      <c r="E83" s="634"/>
      <c r="G83" s="45" t="s">
        <v>0</v>
      </c>
      <c r="H83" s="45"/>
      <c r="I83" s="532"/>
      <c r="Y83" s="960"/>
      <c r="AB83" s="940" t="s">
        <v>0</v>
      </c>
      <c r="AC83" s="232">
        <f>IF(S.Planning.DecisionToAddToPlan="A",1,0)</f>
        <v>1</v>
      </c>
      <c r="AD83" s="19"/>
      <c r="AE83" s="19"/>
      <c r="AF83" s="19"/>
      <c r="AG83" s="23"/>
      <c r="AH83" s="23"/>
      <c r="AI83" s="24"/>
      <c r="AJ83" s="27"/>
      <c r="AK83" s="34"/>
      <c r="AL83" s="364"/>
      <c r="AM83" s="34"/>
    </row>
    <row r="84" spans="1:39" s="6" customFormat="1" ht="14.1" hidden="1" customHeight="1" outlineLevel="2" x14ac:dyDescent="0.2">
      <c r="A84" s="85"/>
      <c r="B84" s="152" t="str">
        <f>AB84</f>
        <v>* shares priority list and factors with ProgMgr &amp; ProgLead</v>
      </c>
      <c r="C84" s="43"/>
      <c r="D84" s="115"/>
      <c r="E84" s="634"/>
      <c r="H84" s="111">
        <f t="shared" ref="H84:H88" ca="1" si="4">AH84</f>
        <v>42009</v>
      </c>
      <c r="I84" s="532"/>
      <c r="Y84" s="960"/>
      <c r="AB84" s="934" t="str">
        <f>"* shares priority list and factors with "&amp;S.Staff.Program.Mgr.FirstName&amp;" &amp; "&amp;S.Staff.Subject.Expert.FirstName</f>
        <v>* shares priority list and factors with ProgMgr &amp; ProgLead</v>
      </c>
      <c r="AC84" s="232">
        <v>1</v>
      </c>
      <c r="AD84" s="19"/>
      <c r="AE84" s="19"/>
      <c r="AF84" s="19"/>
      <c r="AG84" s="23"/>
      <c r="AH84" s="25">
        <f ca="1">H80</f>
        <v>42009</v>
      </c>
      <c r="AI84" s="24"/>
      <c r="AJ84" s="15"/>
      <c r="AK84" s="34"/>
      <c r="AL84" s="364"/>
      <c r="AM84" s="34"/>
    </row>
    <row r="85" spans="1:39" s="6" customFormat="1" ht="14.1" hidden="1" customHeight="1" outlineLevel="2" x14ac:dyDescent="0.2">
      <c r="A85" s="85"/>
      <c r="B85" s="184" t="s">
        <v>397</v>
      </c>
      <c r="C85" s="371"/>
      <c r="D85" s="115"/>
      <c r="E85" s="634"/>
      <c r="G85" s="45" t="s">
        <v>0</v>
      </c>
      <c r="H85" s="45"/>
      <c r="I85" s="532"/>
      <c r="Y85" s="960"/>
      <c r="AB85" s="940" t="s">
        <v>0</v>
      </c>
      <c r="AC85" s="232">
        <f>IF(S.Planning.DecisionToAddToPlan="A",1,0)</f>
        <v>1</v>
      </c>
      <c r="AD85" s="19"/>
      <c r="AE85" s="19"/>
      <c r="AF85" s="19"/>
      <c r="AG85" s="23"/>
      <c r="AH85" s="23"/>
      <c r="AI85" s="24"/>
      <c r="AJ85" s="27"/>
      <c r="AK85" s="34"/>
      <c r="AL85" s="364"/>
      <c r="AM85" s="34"/>
    </row>
    <row r="86" spans="1:39" s="6" customFormat="1" ht="14.1" hidden="1" customHeight="1" outlineLevel="2" x14ac:dyDescent="0.2">
      <c r="A86" s="85"/>
      <c r="B86" s="152" t="str">
        <f>AB86</f>
        <v>* shares priority listing with ProgMgr &amp; RGLead</v>
      </c>
      <c r="C86" s="43"/>
      <c r="D86" s="115"/>
      <c r="E86" s="634"/>
      <c r="H86" s="111">
        <f t="shared" ca="1" si="4"/>
        <v>42009</v>
      </c>
      <c r="I86" s="532"/>
      <c r="Y86" s="960"/>
      <c r="AB86" s="934" t="str">
        <f>"* shares priority listing with "&amp;S.Staff.Program.Mgr.FirstName&amp;" &amp; "&amp;S.Staff.RG.Lead.FirstName</f>
        <v>* shares priority listing with ProgMgr &amp; RGLead</v>
      </c>
      <c r="AC86" s="232">
        <v>1</v>
      </c>
      <c r="AD86" s="19"/>
      <c r="AE86" s="19"/>
      <c r="AF86" s="19"/>
      <c r="AG86" s="23"/>
      <c r="AH86" s="25">
        <f ca="1">H84</f>
        <v>42009</v>
      </c>
      <c r="AI86" s="24"/>
      <c r="AJ86" s="15"/>
      <c r="AK86" s="34"/>
      <c r="AL86" s="364"/>
      <c r="AM86" s="34"/>
    </row>
    <row r="87" spans="1:39" s="6" customFormat="1" ht="14.1" hidden="1" customHeight="1" outlineLevel="2" x14ac:dyDescent="0.25">
      <c r="A87" s="85"/>
      <c r="B87" s="150" t="str">
        <f>AB87</f>
        <v>If resourced through prioritization, Meyer:</v>
      </c>
      <c r="C87" s="116" t="s">
        <v>0</v>
      </c>
      <c r="D87" s="118"/>
      <c r="E87" s="636"/>
      <c r="G87" s="226"/>
      <c r="H87" s="226"/>
      <c r="I87" s="532"/>
      <c r="Y87" s="960"/>
      <c r="AB87" s="932" t="str">
        <f>"If resourced through prioritization, "&amp;S.Staff.AgencyRulesCoordinator&amp;":"</f>
        <v>If resourced through prioritization, Meyer:</v>
      </c>
      <c r="AC87" s="232">
        <v>1</v>
      </c>
      <c r="AD87" s="19"/>
      <c r="AE87" s="19"/>
      <c r="AF87" s="19"/>
      <c r="AG87" s="18"/>
      <c r="AH87" s="18"/>
      <c r="AI87" s="24"/>
      <c r="AJ87" s="15"/>
      <c r="AK87" s="34"/>
      <c r="AL87" s="364"/>
      <c r="AM87" s="34"/>
    </row>
    <row r="88" spans="1:39" s="749" customFormat="1" ht="13.5" hidden="1" customHeight="1" outlineLevel="2" x14ac:dyDescent="0.25">
      <c r="A88" s="85"/>
      <c r="B88" s="199" t="str">
        <f>AB88</f>
        <v>* schedules 1|1 plan review meeting with Dick</v>
      </c>
      <c r="C88" s="116" t="s">
        <v>0</v>
      </c>
      <c r="D88" s="115" t="s">
        <v>0</v>
      </c>
      <c r="E88" s="634"/>
      <c r="G88" s="226"/>
      <c r="H88" s="111">
        <f t="shared" ca="1" si="4"/>
        <v>42009</v>
      </c>
      <c r="I88" s="532"/>
      <c r="Y88" s="960"/>
      <c r="AB88" s="934" t="str">
        <f>"* schedules 1|1 plan review meeting with "&amp;S.Staff.Director</f>
        <v>* schedules 1|1 plan review meeting with Dick</v>
      </c>
      <c r="AC88" s="232">
        <v>1</v>
      </c>
      <c r="AD88" s="19"/>
      <c r="AE88" s="19"/>
      <c r="AF88" s="19"/>
      <c r="AG88" s="754" t="s">
        <v>0</v>
      </c>
      <c r="AH88" s="25">
        <f ca="1">H86</f>
        <v>42009</v>
      </c>
      <c r="AI88" s="24"/>
      <c r="AJ88" s="15"/>
      <c r="AK88" s="34"/>
      <c r="AL88" s="364"/>
      <c r="AM88" s="34"/>
    </row>
    <row r="89" spans="1:39" s="6" customFormat="1" ht="14.1" hidden="1" customHeight="1" outlineLevel="2" x14ac:dyDescent="0.2">
      <c r="A89" s="85"/>
      <c r="B89" s="199" t="str">
        <f>AB89</f>
        <v>* develops draft plan update email to Leadership Team for Dick</v>
      </c>
      <c r="C89" s="327" t="str">
        <f>HYPERLINK("\\deqhq1\Rule_Resources\i\Code.Name.EMAIL.AddToPlan.docx","i")</f>
        <v>i</v>
      </c>
      <c r="D89" s="115" t="s">
        <v>0</v>
      </c>
      <c r="E89" s="634"/>
      <c r="F89"/>
      <c r="G89" s="226"/>
      <c r="I89" s="532"/>
      <c r="J89"/>
      <c r="K89"/>
      <c r="L89"/>
      <c r="M89"/>
      <c r="N89"/>
      <c r="O89"/>
      <c r="P89"/>
      <c r="Q89"/>
      <c r="R89"/>
      <c r="S89"/>
      <c r="T89"/>
      <c r="U89"/>
      <c r="X89"/>
      <c r="Y89" s="960"/>
      <c r="AB89" s="934" t="str">
        <f>"* develops draft plan update email to Leadership Team for "&amp;S.Staff.Director</f>
        <v>* develops draft plan update email to Leadership Team for Dick</v>
      </c>
      <c r="AC89" s="232">
        <v>1</v>
      </c>
      <c r="AD89" s="19"/>
      <c r="AE89" s="19"/>
      <c r="AF89" s="19"/>
      <c r="AG89" s="18"/>
      <c r="AH89" s="23"/>
      <c r="AI89" s="24"/>
      <c r="AJ89" s="15"/>
      <c r="AK89" s="34"/>
      <c r="AL89" s="364"/>
      <c r="AM89" s="34"/>
    </row>
    <row r="90" spans="1:39" s="749" customFormat="1" ht="14.1" hidden="1" customHeight="1" outlineLevel="2" thickBot="1" x14ac:dyDescent="0.3">
      <c r="A90" s="85"/>
      <c r="B90" s="199" t="str">
        <f>AB90</f>
        <v>* attends 1|1 plan review meeting with Dick</v>
      </c>
      <c r="C90" s="116" t="s">
        <v>0</v>
      </c>
      <c r="D90" s="115" t="s">
        <v>0</v>
      </c>
      <c r="E90" s="634"/>
      <c r="G90" s="226"/>
      <c r="H90" s="226"/>
      <c r="I90" s="532"/>
      <c r="Y90" s="960"/>
      <c r="AB90" s="934" t="str">
        <f>"* attends 1|1 plan review meeting with "&amp;S.Staff.Director</f>
        <v>* attends 1|1 plan review meeting with Dick</v>
      </c>
      <c r="AC90" s="232">
        <v>1</v>
      </c>
      <c r="AD90" s="19"/>
      <c r="AE90" s="19"/>
      <c r="AF90" s="19"/>
      <c r="AG90" s="754" t="s">
        <v>0</v>
      </c>
      <c r="AH90" s="18"/>
      <c r="AI90" s="24"/>
      <c r="AJ90" s="15"/>
      <c r="AK90" s="34"/>
      <c r="AL90" s="364"/>
      <c r="AM90" s="34"/>
    </row>
    <row r="91" spans="1:39" s="6" customFormat="1" ht="14.1" hidden="1" customHeight="1" outlineLevel="2" thickBot="1" x14ac:dyDescent="0.3">
      <c r="A91" s="85"/>
      <c r="B91" s="184" t="s">
        <v>304</v>
      </c>
      <c r="C91" s="351" t="s">
        <v>40</v>
      </c>
      <c r="D91" s="883"/>
      <c r="E91" s="637"/>
      <c r="F91"/>
      <c r="G91" s="114" t="s">
        <v>0</v>
      </c>
      <c r="H91" s="111">
        <f ca="1">AH91</f>
        <v>42009</v>
      </c>
      <c r="I91" s="532"/>
      <c r="J91"/>
      <c r="K91"/>
      <c r="L91"/>
      <c r="M91"/>
      <c r="N91"/>
      <c r="O91"/>
      <c r="P91"/>
      <c r="Q91"/>
      <c r="R91"/>
      <c r="S91"/>
      <c r="T91"/>
      <c r="U91"/>
      <c r="X91"/>
      <c r="Y91" s="960"/>
      <c r="AB91" s="941" t="s">
        <v>0</v>
      </c>
      <c r="AC91" s="232">
        <v>1</v>
      </c>
      <c r="AD91" s="19"/>
      <c r="AE91" s="19"/>
      <c r="AF91" s="19"/>
      <c r="AG91" s="754" t="s">
        <v>0</v>
      </c>
      <c r="AH91" s="25">
        <f ca="1">S.DIRECTOR.Approves.ForDEQRulemakingPlan</f>
        <v>42009</v>
      </c>
      <c r="AI91" s="24"/>
      <c r="AJ91" s="15"/>
      <c r="AK91" s="34"/>
      <c r="AL91" s="364"/>
      <c r="AM91" s="34"/>
    </row>
    <row r="92" spans="1:39" s="749" customFormat="1" ht="14.1" hidden="1" customHeight="1" outlineLevel="2" x14ac:dyDescent="0.2">
      <c r="A92" s="85"/>
      <c r="B92" s="220" t="str">
        <f>AB92</f>
        <v>If rejected or postponed, Meyer:</v>
      </c>
      <c r="C92" s="110" t="s">
        <v>0</v>
      </c>
      <c r="D92"/>
      <c r="E92" s="637"/>
      <c r="G92" s="523" t="s">
        <v>0</v>
      </c>
      <c r="H92" s="226"/>
      <c r="I92" s="532"/>
      <c r="Y92" s="960"/>
      <c r="AB92" s="932" t="str">
        <f>"If rejected or postponed, "&amp;S.Staff.AgencyRulesCoordinator&amp;":"</f>
        <v>If rejected or postponed, Meyer:</v>
      </c>
      <c r="AC92" s="232">
        <v>1</v>
      </c>
      <c r="AD92" s="19"/>
      <c r="AE92" s="19"/>
      <c r="AF92" s="19"/>
      <c r="AG92" s="18"/>
      <c r="AH92" s="23"/>
      <c r="AI92" s="24"/>
      <c r="AJ92" s="15"/>
      <c r="AK92" s="34"/>
      <c r="AL92" s="364"/>
      <c r="AM92" s="34"/>
    </row>
    <row r="93" spans="1:39" s="749" customFormat="1" ht="14.1" hidden="1" customHeight="1" outlineLevel="2" x14ac:dyDescent="0.2">
      <c r="A93" s="85"/>
      <c r="B93" s="199" t="str">
        <f>AB93</f>
        <v>* shares decision with ProgMgr</v>
      </c>
      <c r="C93" s="110" t="s">
        <v>0</v>
      </c>
      <c r="D93" s="115" t="s">
        <v>0</v>
      </c>
      <c r="E93" s="637"/>
      <c r="G93" s="523" t="s">
        <v>0</v>
      </c>
      <c r="H93" s="226"/>
      <c r="I93" s="532"/>
      <c r="Y93" s="960"/>
      <c r="AB93" s="932" t="str">
        <f>"* shares decision with "&amp;S.Staff.Program.Mgr.FirstName</f>
        <v>* shares decision with ProgMgr</v>
      </c>
      <c r="AC93" s="232">
        <v>1</v>
      </c>
      <c r="AD93" s="19"/>
      <c r="AE93" s="19"/>
      <c r="AF93" s="19"/>
      <c r="AG93" s="18"/>
      <c r="AH93" s="19"/>
      <c r="AI93" s="24"/>
      <c r="AJ93" s="15"/>
      <c r="AK93" s="34"/>
      <c r="AL93" s="364"/>
      <c r="AM93" s="34"/>
    </row>
    <row r="94" spans="1:39" s="749" customFormat="1" ht="14.1" hidden="1" customHeight="1" outlineLevel="2" x14ac:dyDescent="0.2">
      <c r="A94" s="85"/>
      <c r="B94" s="199" t="s">
        <v>468</v>
      </c>
      <c r="C94" s="110" t="s">
        <v>0</v>
      </c>
      <c r="D94" s="115" t="s">
        <v>0</v>
      </c>
      <c r="E94" s="637"/>
      <c r="G94" s="523" t="s">
        <v>0</v>
      </c>
      <c r="H94" s="226"/>
      <c r="I94" s="532"/>
      <c r="Y94" s="960"/>
      <c r="AB94" s="940" t="s">
        <v>0</v>
      </c>
      <c r="AC94" s="232">
        <v>1</v>
      </c>
      <c r="AD94" s="19"/>
      <c r="AE94" s="19"/>
      <c r="AF94" s="19"/>
      <c r="AG94" s="18"/>
      <c r="AH94" s="23"/>
      <c r="AI94" s="24"/>
      <c r="AJ94" s="15"/>
      <c r="AK94" s="34"/>
      <c r="AL94" s="364"/>
      <c r="AM94" s="34"/>
    </row>
    <row r="95" spans="1:39" s="749" customFormat="1" ht="14.1" hidden="1" customHeight="1" outlineLevel="2" x14ac:dyDescent="0.2">
      <c r="A95" s="85"/>
      <c r="B95" s="220" t="str">
        <f>AB95</f>
        <v>If approved, Meyer:</v>
      </c>
      <c r="C95" s="110" t="s">
        <v>0</v>
      </c>
      <c r="D95"/>
      <c r="E95" s="637"/>
      <c r="G95" s="523" t="s">
        <v>0</v>
      </c>
      <c r="H95" s="226"/>
      <c r="I95" s="532"/>
      <c r="Y95" s="960"/>
      <c r="AB95" s="932" t="str">
        <f>"If approved, "&amp;S.Staff.AgencyRulesCoordinator&amp;":"</f>
        <v>If approved, Meyer:</v>
      </c>
      <c r="AC95" s="232">
        <f>IF(S.Planning.DecisionToAddToPlan="A",1,0)</f>
        <v>1</v>
      </c>
      <c r="AD95" s="19"/>
      <c r="AE95" s="19"/>
      <c r="AF95" s="19"/>
      <c r="AG95" s="18"/>
      <c r="AH95" s="24"/>
      <c r="AI95" s="24"/>
      <c r="AJ95" s="15"/>
      <c r="AK95" s="34"/>
      <c r="AL95" s="364"/>
      <c r="AM95" s="34"/>
    </row>
    <row r="96" spans="1:39" s="883" customFormat="1" ht="14.1" hidden="1" customHeight="1" outlineLevel="2" x14ac:dyDescent="0.2">
      <c r="A96" s="85"/>
      <c r="B96" s="199" t="s">
        <v>652</v>
      </c>
      <c r="C96" s="110" t="s">
        <v>0</v>
      </c>
      <c r="D96" s="115" t="s">
        <v>0</v>
      </c>
      <c r="E96" s="637"/>
      <c r="G96" s="523" t="s">
        <v>0</v>
      </c>
      <c r="H96" s="226"/>
      <c r="I96" s="532"/>
      <c r="Y96" s="960"/>
      <c r="AB96" s="940" t="s">
        <v>0</v>
      </c>
      <c r="AC96" s="232">
        <f t="shared" ref="AC96:AC109" si="5">$AC$95</f>
        <v>1</v>
      </c>
      <c r="AD96" s="19"/>
      <c r="AE96" s="19"/>
      <c r="AF96" s="19"/>
      <c r="AG96" s="18"/>
      <c r="AH96" s="24"/>
      <c r="AI96" s="24"/>
      <c r="AJ96" s="15"/>
      <c r="AK96" s="34"/>
      <c r="AL96" s="364"/>
      <c r="AM96" s="34"/>
    </row>
    <row r="97" spans="1:39" s="883" customFormat="1" ht="14.1" hidden="1" customHeight="1" outlineLevel="2" x14ac:dyDescent="0.2">
      <c r="A97" s="85"/>
      <c r="B97" s="199" t="s">
        <v>700</v>
      </c>
      <c r="C97" s="110" t="s">
        <v>0</v>
      </c>
      <c r="D97" s="115" t="s">
        <v>0</v>
      </c>
      <c r="E97" s="637"/>
      <c r="G97" s="523" t="s">
        <v>0</v>
      </c>
      <c r="H97" s="226"/>
      <c r="I97" s="532"/>
      <c r="Y97" s="960"/>
      <c r="AB97" s="940" t="s">
        <v>0</v>
      </c>
      <c r="AC97" s="232">
        <f t="shared" si="5"/>
        <v>1</v>
      </c>
      <c r="AD97" s="19"/>
      <c r="AE97" s="19"/>
      <c r="AF97" s="19"/>
      <c r="AG97" s="18"/>
      <c r="AH97" s="24"/>
      <c r="AI97" s="24"/>
      <c r="AJ97" s="15"/>
      <c r="AK97" s="34"/>
      <c r="AL97" s="364"/>
      <c r="AM97" s="34"/>
    </row>
    <row r="98" spans="1:39" s="6" customFormat="1" ht="14.1" hidden="1" customHeight="1" outlineLevel="2" x14ac:dyDescent="0.25">
      <c r="A98" s="85"/>
      <c r="B98" s="901" t="str">
        <f>AB98</f>
        <v>To: Leadership Team describing addition to DEQ Rulemaking Plan</v>
      </c>
      <c r="C98" s="117"/>
      <c r="D98" s="636"/>
      <c r="E98" s="500"/>
      <c r="F98"/>
      <c r="G98" s="113"/>
      <c r="H98" s="114"/>
      <c r="I98" s="532"/>
      <c r="J98"/>
      <c r="K98"/>
      <c r="L98"/>
      <c r="M98"/>
      <c r="N98"/>
      <c r="O98"/>
      <c r="P98"/>
      <c r="Q98"/>
      <c r="R98"/>
      <c r="S98"/>
      <c r="T98"/>
      <c r="U98"/>
      <c r="X98"/>
      <c r="Y98" s="960"/>
      <c r="AB98" s="934" t="str">
        <f>IF(C91="A","To: Leadership Team describing addition to DEQ Rulemaking Plan",S.Staff.AgencyRulesCoordinator&amp;" closes SharePoint sub site")</f>
        <v>To: Leadership Team describing addition to DEQ Rulemaking Plan</v>
      </c>
      <c r="AC98" s="232">
        <f t="shared" si="5"/>
        <v>1</v>
      </c>
      <c r="AD98" s="19"/>
      <c r="AE98" s="19"/>
      <c r="AF98" s="19"/>
      <c r="AG98" s="23"/>
      <c r="AH98" s="23"/>
      <c r="AI98" s="24"/>
      <c r="AJ98" s="15"/>
      <c r="AK98" s="34"/>
      <c r="AL98" s="364"/>
      <c r="AM98" s="34"/>
    </row>
    <row r="99" spans="1:39" s="6" customFormat="1" ht="14.1" hidden="1" customHeight="1" outlineLevel="2" x14ac:dyDescent="0.25">
      <c r="A99" s="85"/>
      <c r="B99" s="901" t="str">
        <f>AB99</f>
        <v xml:space="preserve">To: StephanieC to include in monthly Director's Report </v>
      </c>
      <c r="C99" s="117"/>
      <c r="D99" s="500"/>
      <c r="E99" s="500"/>
      <c r="F99"/>
      <c r="G99" s="113"/>
      <c r="H99" s="114"/>
      <c r="I99" s="532"/>
      <c r="J99"/>
      <c r="K99"/>
      <c r="L99"/>
      <c r="M99"/>
      <c r="N99"/>
      <c r="O99"/>
      <c r="P99"/>
      <c r="Q99"/>
      <c r="R99"/>
      <c r="S99"/>
      <c r="T99"/>
      <c r="U99"/>
      <c r="X99"/>
      <c r="Y99" s="960"/>
      <c r="AB99" s="934" t="str">
        <f>IF(C91="A","To: "&amp;S.Staff.EQCAssistant&amp;" to include in monthly Director's Report ",S.Staff.AgencyRulesCoordinator&amp;" closes SharePoint sub site")</f>
        <v xml:space="preserve">To: StephanieC to include in monthly Director's Report </v>
      </c>
      <c r="AC99" s="232">
        <f t="shared" si="5"/>
        <v>1</v>
      </c>
      <c r="AD99" s="19"/>
      <c r="AE99" s="19"/>
      <c r="AF99" s="19"/>
      <c r="AG99" s="23"/>
      <c r="AH99" s="23"/>
      <c r="AI99" s="24"/>
      <c r="AJ99" s="15"/>
      <c r="AK99" s="34"/>
      <c r="AL99" s="364"/>
      <c r="AM99" s="34"/>
    </row>
    <row r="100" spans="1:39" s="6" customFormat="1" ht="14.1" hidden="1" customHeight="1" outlineLevel="2" x14ac:dyDescent="0.25">
      <c r="A100" s="85"/>
      <c r="B100" s="901" t="str">
        <f>AB100</f>
        <v>Cc… ProgMgr, ProgLead, RGLead &amp; Meyer</v>
      </c>
      <c r="C100" s="117"/>
      <c r="D100" s="500"/>
      <c r="E100" s="500"/>
      <c r="F100"/>
      <c r="G100" s="113"/>
      <c r="H100" s="114"/>
      <c r="I100" s="532"/>
      <c r="J100"/>
      <c r="K100"/>
      <c r="L100"/>
      <c r="M100"/>
      <c r="N100"/>
      <c r="O100"/>
      <c r="P100"/>
      <c r="Q100"/>
      <c r="R100"/>
      <c r="S100"/>
      <c r="T100"/>
      <c r="U100"/>
      <c r="X100"/>
      <c r="Y100" s="960"/>
      <c r="AB100" s="936" t="str">
        <f>"Cc… "&amp;S.Staff.Program.Mgr.FirstName&amp;", "&amp;S.Staff.Subject.Expert.FirstName&amp;", "&amp;S.Staff.RG.Lead.FirstName&amp;" &amp; "&amp;S.Staff.AgencyRulesCoordinator</f>
        <v>Cc… ProgMgr, ProgLead, RGLead &amp; Meyer</v>
      </c>
      <c r="AC100" s="232">
        <f t="shared" si="5"/>
        <v>1</v>
      </c>
      <c r="AD100" s="19"/>
      <c r="AE100" s="19"/>
      <c r="AF100" s="19"/>
      <c r="AG100" s="23"/>
      <c r="AH100" s="23"/>
      <c r="AI100" s="24"/>
      <c r="AJ100" s="15"/>
      <c r="AK100" s="34"/>
      <c r="AL100" s="364"/>
      <c r="AM100" s="34"/>
    </row>
    <row r="101" spans="1:39" s="6" customFormat="1" ht="14.1" hidden="1" customHeight="1" outlineLevel="2" x14ac:dyDescent="0.2">
      <c r="A101" s="85"/>
      <c r="B101" s="902" t="str">
        <f>AB101</f>
        <v>* sends Dick draft EQC email, links to DEQ Rulemaking Plan online and asks how</v>
      </c>
      <c r="C101" s="110"/>
      <c r="D101" s="115" t="s">
        <v>0</v>
      </c>
      <c r="E101" s="499"/>
      <c r="F101"/>
      <c r="G101" s="6" t="s">
        <v>0</v>
      </c>
      <c r="H101"/>
      <c r="I101" s="532"/>
      <c r="J101"/>
      <c r="K101"/>
      <c r="L101"/>
      <c r="M101"/>
      <c r="N101"/>
      <c r="O101"/>
      <c r="P101"/>
      <c r="Q101"/>
      <c r="R101"/>
      <c r="S101"/>
      <c r="T101"/>
      <c r="U101"/>
      <c r="X101"/>
      <c r="Y101" s="960"/>
      <c r="AB101" s="934" t="str">
        <f>"* sends "&amp;S.Staff.Director&amp;" draft EQC email, links to DEQ Rulemaking Plan online and asks how"</f>
        <v>* sends Dick draft EQC email, links to DEQ Rulemaking Plan online and asks how</v>
      </c>
      <c r="AC101" s="232">
        <f t="shared" si="5"/>
        <v>1</v>
      </c>
      <c r="AD101" s="19"/>
      <c r="AE101" s="19"/>
      <c r="AF101" s="19"/>
      <c r="AG101" s="23"/>
      <c r="AH101" s="23"/>
      <c r="AI101" s="24"/>
      <c r="AJ101" s="15"/>
      <c r="AK101" s="34"/>
      <c r="AL101" s="364"/>
      <c r="AM101" s="34"/>
    </row>
    <row r="102" spans="1:39" s="883" customFormat="1" ht="14.1" hidden="1" customHeight="1" outlineLevel="2" x14ac:dyDescent="0.25">
      <c r="A102" s="85"/>
      <c r="B102" s="278" t="str">
        <f>AB102</f>
        <v>they want to be involved before making final decision, directs responses to Meyer</v>
      </c>
      <c r="C102" s="117"/>
      <c r="D102" s="500"/>
      <c r="E102" s="500"/>
      <c r="G102" s="113"/>
      <c r="H102" s="114"/>
      <c r="I102" s="532"/>
      <c r="Y102" s="960"/>
      <c r="AB102" s="936" t="str">
        <f>"they want to be involved before making final decision, directs responses to "&amp;S.Staff.AgencyRulesCoordinator</f>
        <v>they want to be involved before making final decision, directs responses to Meyer</v>
      </c>
      <c r="AC102" s="232">
        <f t="shared" si="5"/>
        <v>1</v>
      </c>
      <c r="AD102" s="19"/>
      <c r="AE102" s="19"/>
      <c r="AF102" s="19"/>
      <c r="AG102" s="23"/>
      <c r="AH102" s="23"/>
      <c r="AI102" s="24"/>
      <c r="AJ102" s="15"/>
      <c r="AK102" s="34"/>
      <c r="AL102" s="364"/>
      <c r="AM102" s="34"/>
    </row>
    <row r="103" spans="1:39" s="6" customFormat="1" ht="14.25" hidden="1" customHeight="1" outlineLevel="1" collapsed="1" x14ac:dyDescent="0.2">
      <c r="A103" s="85"/>
      <c r="B103" s="208"/>
      <c r="C103" s="208"/>
      <c r="D103" s="487"/>
      <c r="E103" s="487"/>
      <c r="F103" s="567"/>
      <c r="G103" s="168"/>
      <c r="H103" s="210"/>
      <c r="I103" s="12"/>
      <c r="Y103" s="960"/>
      <c r="AB103" s="933"/>
      <c r="AC103" s="232">
        <f t="shared" si="5"/>
        <v>1</v>
      </c>
      <c r="AD103" s="19"/>
      <c r="AE103" s="19"/>
      <c r="AF103" s="19"/>
      <c r="AG103" s="35"/>
      <c r="AH103" s="35"/>
      <c r="AI103" s="61" t="s">
        <v>86</v>
      </c>
      <c r="AJ103" s="221"/>
      <c r="AK103" s="34"/>
      <c r="AL103" s="364"/>
      <c r="AM103" s="34"/>
    </row>
    <row r="104" spans="1:39" ht="20.25" hidden="1" customHeight="1" outlineLevel="1" x14ac:dyDescent="0.2">
      <c r="A104" s="85"/>
      <c r="B104" s="317" t="s">
        <v>471</v>
      </c>
      <c r="C104" s="45"/>
      <c r="D104" s="81"/>
      <c r="E104" s="81"/>
      <c r="F104"/>
      <c r="G104" s="45" t="s">
        <v>0</v>
      </c>
      <c r="H104" s="45"/>
      <c r="I104" s="532"/>
      <c r="AB104" s="941" t="s">
        <v>0</v>
      </c>
      <c r="AC104" s="232">
        <f t="shared" si="5"/>
        <v>1</v>
      </c>
      <c r="AD104" s="19"/>
      <c r="AE104" s="19"/>
      <c r="AF104" s="19"/>
      <c r="AG104" s="23"/>
      <c r="AH104" s="23"/>
      <c r="AI104" s="24"/>
      <c r="AJ104" s="15"/>
      <c r="AK104" s="34"/>
      <c r="AL104" s="364"/>
      <c r="AM104" s="34"/>
    </row>
    <row r="105" spans="1:39" s="6" customFormat="1" ht="14.1" hidden="1" customHeight="1" outlineLevel="2" x14ac:dyDescent="0.25">
      <c r="A105" s="85"/>
      <c r="B105" s="150" t="str">
        <f>AB105</f>
        <v>Meyer:</v>
      </c>
      <c r="C105" s="116" t="s">
        <v>0</v>
      </c>
      <c r="D105"/>
      <c r="E105" s="636"/>
      <c r="F105"/>
      <c r="G105" s="226"/>
      <c r="H105" s="226"/>
      <c r="I105" s="532"/>
      <c r="J105"/>
      <c r="K105"/>
      <c r="L105"/>
      <c r="M105"/>
      <c r="N105"/>
      <c r="O105"/>
      <c r="P105"/>
      <c r="Q105"/>
      <c r="R105"/>
      <c r="S105"/>
      <c r="T105"/>
      <c r="U105"/>
      <c r="X105"/>
      <c r="Y105" s="960"/>
      <c r="AB105" s="932" t="str">
        <f>S.Staff.AgencyRulesCoordinator&amp;":"</f>
        <v>Meyer:</v>
      </c>
      <c r="AC105" s="232">
        <f t="shared" si="5"/>
        <v>1</v>
      </c>
      <c r="AD105" s="19"/>
      <c r="AE105" s="19"/>
      <c r="AF105" s="19"/>
      <c r="AG105" s="18"/>
      <c r="AH105" s="18"/>
      <c r="AI105" s="24"/>
      <c r="AJ105" s="15"/>
      <c r="AK105" s="34"/>
      <c r="AL105" s="364"/>
      <c r="AM105" s="34"/>
    </row>
    <row r="106" spans="1:39" s="6" customFormat="1" ht="13.5" hidden="1" customHeight="1" outlineLevel="2" x14ac:dyDescent="0.25">
      <c r="A106" s="85"/>
      <c r="B106" s="152" t="str">
        <f>AB106</f>
        <v>* saves email Rule_Development | 1-Planning | APPROVAL.ToMoveForward.pdf</v>
      </c>
      <c r="C106" s="328" t="str">
        <f>HYPERLINK("\\deqhq1\Rule_Development\Currrent Plan","i")</f>
        <v>i</v>
      </c>
      <c r="D106" s="109" t="s">
        <v>0</v>
      </c>
      <c r="E106" s="637"/>
      <c r="F106"/>
      <c r="G106" s="114" t="s">
        <v>0</v>
      </c>
      <c r="H106" s="114"/>
      <c r="I106" s="532"/>
      <c r="J106"/>
      <c r="K106"/>
      <c r="L106"/>
      <c r="M106"/>
      <c r="N106"/>
      <c r="O106"/>
      <c r="P106"/>
      <c r="Q106"/>
      <c r="R106"/>
      <c r="S106"/>
      <c r="T106"/>
      <c r="U106"/>
      <c r="X106"/>
      <c r="Y106" s="960"/>
      <c r="AB106" s="934"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C106" s="232">
        <f t="shared" si="5"/>
        <v>1</v>
      </c>
      <c r="AD106" s="19"/>
      <c r="AE106" s="19"/>
      <c r="AF106" s="19"/>
      <c r="AG106" s="23"/>
      <c r="AH106" s="23"/>
      <c r="AI106" s="24"/>
      <c r="AJ106" s="27"/>
      <c r="AK106" s="34"/>
      <c r="AL106" s="364"/>
      <c r="AM106" s="34"/>
    </row>
    <row r="107" spans="1:39" s="6" customFormat="1" ht="13.5" hidden="1" customHeight="1" outlineLevel="2" x14ac:dyDescent="0.2">
      <c r="A107" s="85"/>
      <c r="B107" s="152" t="s">
        <v>472</v>
      </c>
      <c r="C107" s="328" t="str">
        <f>HYPERLINK("http://deqsps/programs/rulemaking/default.aspx","i")</f>
        <v>i</v>
      </c>
      <c r="D107" s="115" t="s">
        <v>0</v>
      </c>
      <c r="E107" s="634"/>
      <c r="F107"/>
      <c r="I107" s="532"/>
      <c r="Y107" s="960"/>
      <c r="AB107" s="932" t="str">
        <f>S.Staff.AgencyRulesCoordinator&amp;" establishes SharePoint sub-site"</f>
        <v>Meyer establishes SharePoint sub-site</v>
      </c>
      <c r="AC107" s="232">
        <f t="shared" si="5"/>
        <v>1</v>
      </c>
      <c r="AD107" s="19"/>
      <c r="AE107" s="19"/>
      <c r="AF107" s="19"/>
      <c r="AG107" s="24" t="s">
        <v>0</v>
      </c>
      <c r="AH107" s="24"/>
      <c r="AI107" s="24"/>
      <c r="AJ107" s="15"/>
      <c r="AK107" s="34"/>
      <c r="AL107" s="364"/>
      <c r="AM107" s="34"/>
    </row>
    <row r="108" spans="1:39" s="749" customFormat="1" ht="13.5" hidden="1" customHeight="1" outlineLevel="2" x14ac:dyDescent="0.2">
      <c r="A108" s="85"/>
      <c r="B108" s="152" t="s">
        <v>473</v>
      </c>
      <c r="C108" s="45"/>
      <c r="D108" s="115" t="s">
        <v>0</v>
      </c>
      <c r="E108" s="634"/>
      <c r="I108" s="532"/>
      <c r="Y108" s="960"/>
      <c r="AB108" s="932"/>
      <c r="AC108" s="232">
        <f t="shared" si="5"/>
        <v>1</v>
      </c>
      <c r="AD108" s="19"/>
      <c r="AE108" s="19"/>
      <c r="AF108" s="19"/>
      <c r="AG108" s="24"/>
      <c r="AH108" s="24"/>
      <c r="AI108" s="24"/>
      <c r="AJ108" s="15"/>
      <c r="AK108" s="34"/>
      <c r="AL108" s="364"/>
      <c r="AM108" s="34"/>
    </row>
    <row r="109" spans="1:39" s="749" customFormat="1" ht="13.5" hidden="1" customHeight="1" outlineLevel="2" thickBot="1" x14ac:dyDescent="0.25">
      <c r="A109" s="85"/>
      <c r="B109" s="152" t="s">
        <v>474</v>
      </c>
      <c r="C109" s="45"/>
      <c r="D109" s="115" t="s">
        <v>0</v>
      </c>
      <c r="E109" s="634"/>
      <c r="I109" s="532"/>
      <c r="Y109" s="960"/>
      <c r="AB109" s="932"/>
      <c r="AC109" s="232">
        <f t="shared" si="5"/>
        <v>1</v>
      </c>
      <c r="AD109" s="19"/>
      <c r="AE109" s="19"/>
      <c r="AF109" s="19"/>
      <c r="AG109" s="24"/>
      <c r="AH109" s="24"/>
      <c r="AI109" s="24"/>
      <c r="AJ109" s="15"/>
      <c r="AK109" s="34"/>
      <c r="AL109" s="364"/>
      <c r="AM109" s="34"/>
    </row>
    <row r="110" spans="1:39" s="6" customFormat="1" ht="13.5" hidden="1" customHeight="1" outlineLevel="2" thickBot="1" x14ac:dyDescent="0.25">
      <c r="A110" s="85" t="s">
        <v>0</v>
      </c>
      <c r="B110" s="150" t="str">
        <f>AB110</f>
        <v>ProgMgr, ProgLead &amp; RGLead decide whether to expand team    'Y' to expand &gt;</v>
      </c>
      <c r="C110" s="351" t="s">
        <v>12</v>
      </c>
      <c r="D110" s="109"/>
      <c r="E110" s="637"/>
      <c r="F110"/>
      <c r="G110" s="45" t="s">
        <v>0</v>
      </c>
      <c r="H110" s="111">
        <f ca="1">AH110</f>
        <v>42009</v>
      </c>
      <c r="I110" s="532" t="s">
        <v>0</v>
      </c>
      <c r="J110"/>
      <c r="K110"/>
      <c r="L110"/>
      <c r="M110"/>
      <c r="N110"/>
      <c r="O110"/>
      <c r="P110"/>
      <c r="Q110"/>
      <c r="R110"/>
      <c r="S110"/>
      <c r="T110"/>
      <c r="U110"/>
      <c r="X110"/>
      <c r="Y110" s="960"/>
      <c r="AB110" s="934" t="str">
        <f>S.Staff.Program.Mgr.FirstName&amp;", "&amp;S.Staff.Subject.Expert.FirstName&amp;" &amp; "&amp;S.Staff.RG.Lead.FirstName&amp;" decide whether to expand team    'Y' to expand &gt;"</f>
        <v>ProgMgr, ProgLead &amp; RGLead decide whether to expand team    'Y' to expand &gt;</v>
      </c>
      <c r="AC110" s="232">
        <f>IF(S.Planning.ExpandTeam="N",0,IF(S.Planning.DecisionToAddToPlan="A",1,0))</f>
        <v>1</v>
      </c>
      <c r="AD110" s="19"/>
      <c r="AE110" s="19"/>
      <c r="AF110" s="19"/>
      <c r="AG110" s="23"/>
      <c r="AH110" s="25">
        <f ca="1">S.Planning.AddConceptToPlanDate</f>
        <v>42009</v>
      </c>
      <c r="AI110" s="24"/>
      <c r="AJ110" s="27"/>
      <c r="AK110" s="34"/>
      <c r="AL110" s="364"/>
      <c r="AM110" s="34"/>
    </row>
    <row r="111" spans="1:39" s="6" customFormat="1" ht="13.5" hidden="1" customHeight="1" outlineLevel="2" x14ac:dyDescent="0.25">
      <c r="A111" s="85"/>
      <c r="B111" s="220" t="str">
        <f>AB111</f>
        <v>ProgMgr is responsible for:</v>
      </c>
      <c r="C111" s="117"/>
      <c r="D111" s="500"/>
      <c r="E111" s="500"/>
      <c r="F111"/>
      <c r="G111" s="113"/>
      <c r="H111" s="114"/>
      <c r="I111" s="532"/>
      <c r="J111"/>
      <c r="K111"/>
      <c r="L111"/>
      <c r="M111"/>
      <c r="N111"/>
      <c r="O111"/>
      <c r="P111"/>
      <c r="Q111"/>
      <c r="R111"/>
      <c r="S111"/>
      <c r="T111"/>
      <c r="U111"/>
      <c r="X111"/>
      <c r="Y111" s="960"/>
      <c r="AB111" s="934" t="str">
        <f>S.Staff.Program.Mgr.FirstName&amp;" is responsible for:"</f>
        <v>ProgMgr is responsible for:</v>
      </c>
      <c r="AC111" s="232">
        <f>IF(S.Planning.ExpandTeam="N",0,IF(S.Planning.DecisionToAddToPlan="A",1,0))</f>
        <v>1</v>
      </c>
      <c r="AD111" s="19"/>
      <c r="AE111" s="19"/>
      <c r="AF111" s="19"/>
      <c r="AG111" s="23"/>
      <c r="AH111" s="23"/>
      <c r="AI111" s="24"/>
      <c r="AJ111" s="15"/>
      <c r="AK111" s="34"/>
      <c r="AL111" s="364"/>
      <c r="AM111" s="34"/>
    </row>
    <row r="112" spans="1:39" s="6" customFormat="1" ht="13.5" hidden="1" customHeight="1" outlineLevel="2" x14ac:dyDescent="0.25">
      <c r="A112" s="85"/>
      <c r="B112" s="152" t="s">
        <v>312</v>
      </c>
      <c r="C112" s="120"/>
      <c r="D112" s="109"/>
      <c r="F112"/>
      <c r="G112" s="113"/>
      <c r="H112" s="113"/>
      <c r="I112" s="532"/>
      <c r="J112"/>
      <c r="K112"/>
      <c r="L112"/>
      <c r="M112"/>
      <c r="N112"/>
      <c r="O112"/>
      <c r="P112"/>
      <c r="Q112"/>
      <c r="R112"/>
      <c r="S112"/>
      <c r="T112"/>
      <c r="U112"/>
      <c r="X112"/>
      <c r="Y112" s="960"/>
      <c r="AB112" s="751"/>
      <c r="AC112" s="232">
        <f>IF(S.Planning.ExpandTeam="N",0,IF(S.Planning.DecisionToAddToPlan="A",1,0))</f>
        <v>1</v>
      </c>
      <c r="AD112" s="19"/>
      <c r="AE112" s="19"/>
      <c r="AF112" s="19"/>
      <c r="AG112" s="23"/>
      <c r="AH112" s="23"/>
      <c r="AI112" s="24"/>
      <c r="AJ112" s="27"/>
      <c r="AK112" s="34"/>
      <c r="AL112" s="364"/>
      <c r="AM112" s="34"/>
    </row>
    <row r="113" spans="1:39" s="6" customFormat="1" ht="13.5" hidden="1" customHeight="1" outlineLevel="2" x14ac:dyDescent="0.25">
      <c r="A113" s="85"/>
      <c r="B113" s="152" t="s">
        <v>311</v>
      </c>
      <c r="C113" s="120"/>
      <c r="D113" s="109"/>
      <c r="F113"/>
      <c r="G113" s="113"/>
      <c r="H113" s="113"/>
      <c r="I113" s="532"/>
      <c r="J113"/>
      <c r="K113"/>
      <c r="L113"/>
      <c r="M113"/>
      <c r="N113"/>
      <c r="O113"/>
      <c r="P113"/>
      <c r="Q113"/>
      <c r="R113"/>
      <c r="S113"/>
      <c r="T113"/>
      <c r="U113"/>
      <c r="X113"/>
      <c r="Y113" s="960"/>
      <c r="AB113" s="751"/>
      <c r="AC113" s="232">
        <f>IF(S.Planning.ExpandTeam="N",0,IF(S.Planning.DecisionToAddToPlan="A",1,0))</f>
        <v>1</v>
      </c>
      <c r="AD113" s="19"/>
      <c r="AE113" s="19"/>
      <c r="AF113" s="19"/>
      <c r="AG113" s="23"/>
      <c r="AH113" s="23"/>
      <c r="AI113" s="24"/>
      <c r="AJ113" s="27"/>
      <c r="AK113" s="34"/>
      <c r="AL113" s="364"/>
      <c r="AM113" s="34"/>
    </row>
    <row r="114" spans="1:39" s="6" customFormat="1" ht="13.5" hidden="1" customHeight="1" outlineLevel="2" x14ac:dyDescent="0.2">
      <c r="A114" s="85"/>
      <c r="B114" s="150" t="str">
        <f>AB114</f>
        <v>ProgMgr works with BudgetAnalyst to get unique Q-Time number(s)</v>
      </c>
      <c r="C114" s="120"/>
      <c r="D114" s="109"/>
      <c r="E114" s="637"/>
      <c r="F114"/>
      <c r="G114" s="45" t="s">
        <v>0</v>
      </c>
      <c r="H114" s="111">
        <f ca="1">AH114</f>
        <v>42009</v>
      </c>
      <c r="I114" s="532"/>
      <c r="J114"/>
      <c r="K114"/>
      <c r="L114"/>
      <c r="M114"/>
      <c r="N114"/>
      <c r="O114"/>
      <c r="P114"/>
      <c r="Q114"/>
      <c r="R114"/>
      <c r="S114"/>
      <c r="T114"/>
      <c r="U114"/>
      <c r="X114"/>
      <c r="Y114" s="960"/>
      <c r="AB114" s="932" t="str">
        <f>S.Staff.Program.Mgr.FirstName&amp;" works with "&amp;S.Staff.Budget&amp;" to get unique Q-Time number(s)"</f>
        <v>ProgMgr works with BudgetAnalyst to get unique Q-Time number(s)</v>
      </c>
      <c r="AC114" s="232">
        <f>IF(S.Planning.DecisionToAddToPlan="A",1,0)</f>
        <v>1</v>
      </c>
      <c r="AD114" s="19"/>
      <c r="AE114" s="19"/>
      <c r="AF114" s="19"/>
      <c r="AG114" s="23"/>
      <c r="AH114" s="25">
        <f ca="1">S.Planning.AddConceptToPlanDate</f>
        <v>42009</v>
      </c>
      <c r="AI114" s="24"/>
      <c r="AJ114" s="27"/>
      <c r="AK114" s="34"/>
      <c r="AL114" s="364"/>
      <c r="AM114" s="34"/>
    </row>
    <row r="115" spans="1:39" s="6" customFormat="1" ht="13.5" hidden="1" customHeight="1" outlineLevel="2" x14ac:dyDescent="0.25">
      <c r="A115" s="85"/>
      <c r="B115" s="311" t="str">
        <f>AB115</f>
        <v>for this rulemaking from RobertB</v>
      </c>
      <c r="C115" s="117"/>
      <c r="D115" s="500"/>
      <c r="E115" s="500"/>
      <c r="F115"/>
      <c r="G115" s="113"/>
      <c r="H115" s="114"/>
      <c r="I115" s="532"/>
      <c r="Y115" s="960"/>
      <c r="AB115" s="942" t="str">
        <f>"for this rulemaking from "&amp;S.Staff.TimeAccounting</f>
        <v>for this rulemaking from RobertB</v>
      </c>
      <c r="AC115" s="232">
        <f>IF(S.Planning.DecisionToAddToPlan="A",1,0)</f>
        <v>1</v>
      </c>
      <c r="AD115" s="19"/>
      <c r="AE115" s="19"/>
      <c r="AF115" s="19"/>
      <c r="AG115" s="23"/>
      <c r="AH115" s="23"/>
      <c r="AI115" s="24"/>
      <c r="AJ115" s="15"/>
      <c r="AK115" s="34"/>
      <c r="AL115" s="364"/>
      <c r="AM115" s="34"/>
    </row>
    <row r="116" spans="1:39" s="6" customFormat="1" ht="14.1" hidden="1" customHeight="1" outlineLevel="2" x14ac:dyDescent="0.25">
      <c r="A116" s="85"/>
      <c r="B116" s="150" t="str">
        <f>AB116</f>
        <v>RGLead drafts SCHEDULE:</v>
      </c>
      <c r="C116" s="116" t="s">
        <v>0</v>
      </c>
      <c r="D116" s="109"/>
      <c r="E116" s="637"/>
      <c r="F116"/>
      <c r="G116" s="45" t="s">
        <v>0</v>
      </c>
      <c r="H116" s="111">
        <f ca="1">AH116</f>
        <v>42009</v>
      </c>
      <c r="I116" s="532"/>
      <c r="Y116" s="960"/>
      <c r="AB116" s="932" t="str">
        <f>S.Staff.RG.Lead.FirstName&amp;" drafts SCHEDULE:"</f>
        <v>RGLead drafts SCHEDULE:</v>
      </c>
      <c r="AC116" s="232">
        <f t="shared" ref="AC116:AC127" si="6">IF(S.Planning.DecisionToAddToPlan="A",1,0)</f>
        <v>1</v>
      </c>
      <c r="AD116" s="19"/>
      <c r="AE116" s="19"/>
      <c r="AF116" s="19"/>
      <c r="AG116" s="23"/>
      <c r="AH116" s="25">
        <f ca="1">S.Planning.AddConceptToPlanDate</f>
        <v>42009</v>
      </c>
      <c r="AI116" s="24"/>
      <c r="AJ116" s="15"/>
      <c r="AK116" s="34"/>
      <c r="AL116" s="364"/>
      <c r="AM116" s="34"/>
    </row>
    <row r="117" spans="1:39" s="6" customFormat="1" ht="14.1" hidden="1" customHeight="1" outlineLevel="2" x14ac:dyDescent="0.25">
      <c r="A117" s="85"/>
      <c r="B117" s="150" t="str">
        <f>AB117</f>
        <v>ProgLead &amp; RGLead refine &amp; agree on draft schedule:</v>
      </c>
      <c r="C117" s="116" t="s">
        <v>0</v>
      </c>
      <c r="D117" s="109"/>
      <c r="E117" s="637"/>
      <c r="F117"/>
      <c r="G117" s="45" t="s">
        <v>0</v>
      </c>
      <c r="H117" s="111">
        <f ca="1">AH117</f>
        <v>42009</v>
      </c>
      <c r="I117" s="532"/>
      <c r="Y117" s="960"/>
      <c r="AB117" s="932" t="str">
        <f>S.Staff.Subject.Expert.FirstName&amp;" &amp; "&amp;S.Staff.RG.Lead.FirstName&amp;" refine &amp; agree on draft schedule:"</f>
        <v>ProgLead &amp; RGLead refine &amp; agree on draft schedule:</v>
      </c>
      <c r="AC117" s="232">
        <f t="shared" si="6"/>
        <v>1</v>
      </c>
      <c r="AD117" s="19"/>
      <c r="AE117" s="19"/>
      <c r="AF117" s="19"/>
      <c r="AG117" s="23"/>
      <c r="AH117" s="25">
        <f ca="1">S.Planning.AddConceptToPlanDate</f>
        <v>42009</v>
      </c>
      <c r="AI117" s="24"/>
      <c r="AJ117" s="15"/>
      <c r="AK117" s="34"/>
      <c r="AL117" s="364"/>
      <c r="AM117" s="34"/>
    </row>
    <row r="118" spans="1:39" s="6" customFormat="1" ht="14.1" hidden="1" customHeight="1" outlineLevel="2" x14ac:dyDescent="0.25">
      <c r="A118" s="85"/>
      <c r="B118" s="150" t="str">
        <f>AB118</f>
        <v>ProgLead schedules/holds team meeting(s) for consensus on:</v>
      </c>
      <c r="C118" s="116" t="s">
        <v>0</v>
      </c>
      <c r="D118" s="109"/>
      <c r="E118" s="637"/>
      <c r="F118"/>
      <c r="G118" s="111">
        <f ca="1">AG118</f>
        <v>42009</v>
      </c>
      <c r="H118" s="111">
        <f ca="1">AH118</f>
        <v>42009</v>
      </c>
      <c r="I118" s="532"/>
      <c r="J118"/>
      <c r="K118"/>
      <c r="L118"/>
      <c r="M118"/>
      <c r="N118"/>
      <c r="O118"/>
      <c r="P118"/>
      <c r="Q118"/>
      <c r="R118"/>
      <c r="S118"/>
      <c r="T118"/>
      <c r="U118"/>
      <c r="X118"/>
      <c r="Y118" s="960"/>
      <c r="AB118" s="932" t="str">
        <f>S.Staff.Subject.Expert.FirstName&amp;" schedules/holds team meeting(s) for consensus on:"</f>
        <v>ProgLead schedules/holds team meeting(s) for consensus on:</v>
      </c>
      <c r="AC118" s="232">
        <f t="shared" si="6"/>
        <v>1</v>
      </c>
      <c r="AD118" s="19"/>
      <c r="AE118" s="19"/>
      <c r="AF118" s="19"/>
      <c r="AG118" s="25">
        <f ca="1">S.Planning.AddConceptToPlanDate</f>
        <v>42009</v>
      </c>
      <c r="AH118" s="25">
        <f ca="1">G118</f>
        <v>42009</v>
      </c>
      <c r="AI118" s="24"/>
      <c r="AJ118" s="15"/>
      <c r="AK118" s="34"/>
      <c r="AL118" s="364"/>
      <c r="AM118" s="34"/>
    </row>
    <row r="119" spans="1:39" s="6" customFormat="1" ht="14.1" hidden="1" customHeight="1" outlineLevel="2" x14ac:dyDescent="0.25">
      <c r="A119" s="85"/>
      <c r="B119" s="184" t="s">
        <v>305</v>
      </c>
      <c r="C119" s="371"/>
      <c r="D119" s="500"/>
      <c r="E119" s="500"/>
      <c r="F119" s="44"/>
      <c r="G119" s="45" t="s">
        <v>0</v>
      </c>
      <c r="H119" s="45"/>
      <c r="I119" s="532"/>
      <c r="J119"/>
      <c r="K119"/>
      <c r="L119"/>
      <c r="M119"/>
      <c r="N119"/>
      <c r="O119"/>
      <c r="P119"/>
      <c r="Q119"/>
      <c r="R119"/>
      <c r="S119"/>
      <c r="T119"/>
      <c r="U119"/>
      <c r="X119"/>
      <c r="Y119" s="960"/>
      <c r="AB119" s="940" t="s">
        <v>0</v>
      </c>
      <c r="AC119" s="232">
        <f t="shared" si="6"/>
        <v>1</v>
      </c>
      <c r="AD119" s="19"/>
      <c r="AE119" s="19"/>
      <c r="AF119" s="19"/>
      <c r="AG119" s="23"/>
      <c r="AH119" s="23"/>
      <c r="AI119" s="24"/>
      <c r="AJ119" s="27"/>
      <c r="AK119" s="34"/>
      <c r="AL119" s="364"/>
      <c r="AM119" s="34"/>
    </row>
    <row r="120" spans="1:39" s="6" customFormat="1" ht="14.1" hidden="1" customHeight="1" outlineLevel="2" x14ac:dyDescent="0.25">
      <c r="A120" s="85"/>
      <c r="B120" s="184" t="s">
        <v>307</v>
      </c>
      <c r="C120" s="371"/>
      <c r="D120" s="500"/>
      <c r="E120" s="500"/>
      <c r="F120" s="44"/>
      <c r="G120" s="45" t="s">
        <v>0</v>
      </c>
      <c r="H120" s="45"/>
      <c r="I120" s="532"/>
      <c r="J120"/>
      <c r="K120"/>
      <c r="L120"/>
      <c r="M120"/>
      <c r="N120"/>
      <c r="O120"/>
      <c r="P120"/>
      <c r="Q120"/>
      <c r="R120"/>
      <c r="S120"/>
      <c r="T120"/>
      <c r="U120"/>
      <c r="X120"/>
      <c r="Y120" s="960"/>
      <c r="AB120" s="940" t="s">
        <v>0</v>
      </c>
      <c r="AC120" s="232">
        <f t="shared" si="6"/>
        <v>1</v>
      </c>
      <c r="AD120" s="19"/>
      <c r="AE120" s="19"/>
      <c r="AF120" s="19"/>
      <c r="AG120" s="23"/>
      <c r="AH120" s="23"/>
      <c r="AI120" s="24"/>
      <c r="AJ120" s="27"/>
      <c r="AK120" s="34"/>
      <c r="AL120" s="364"/>
      <c r="AM120" s="34"/>
    </row>
    <row r="121" spans="1:39" s="6" customFormat="1" ht="14.1" hidden="1" customHeight="1" outlineLevel="2" x14ac:dyDescent="0.25">
      <c r="A121" s="85" t="s">
        <v>0</v>
      </c>
      <c r="B121" s="184" t="s">
        <v>306</v>
      </c>
      <c r="C121" s="371"/>
      <c r="D121" s="500"/>
      <c r="E121" s="500"/>
      <c r="F121" s="44"/>
      <c r="G121" s="45" t="s">
        <v>0</v>
      </c>
      <c r="H121" s="45"/>
      <c r="I121" s="532"/>
      <c r="J121"/>
      <c r="K121"/>
      <c r="L121"/>
      <c r="M121"/>
      <c r="N121"/>
      <c r="O121"/>
      <c r="P121"/>
      <c r="Q121"/>
      <c r="R121"/>
      <c r="S121"/>
      <c r="T121"/>
      <c r="U121"/>
      <c r="X121"/>
      <c r="Y121" s="960"/>
      <c r="AB121" s="940" t="s">
        <v>0</v>
      </c>
      <c r="AC121" s="232">
        <f t="shared" si="6"/>
        <v>1</v>
      </c>
      <c r="AD121" s="19"/>
      <c r="AE121" s="19"/>
      <c r="AF121" s="19"/>
      <c r="AG121" s="23"/>
      <c r="AH121" s="23"/>
      <c r="AI121" s="24"/>
      <c r="AJ121" s="27"/>
      <c r="AK121" s="34"/>
      <c r="AL121" s="364"/>
      <c r="AM121" s="34"/>
    </row>
    <row r="122" spans="1:39" s="6" customFormat="1" ht="14.1" hidden="1" customHeight="1" outlineLevel="2" x14ac:dyDescent="0.25">
      <c r="A122" s="85" t="s">
        <v>0</v>
      </c>
      <c r="B122" s="184" t="s">
        <v>313</v>
      </c>
      <c r="C122" s="371"/>
      <c r="D122" s="500"/>
      <c r="E122" s="500"/>
      <c r="F122" s="44"/>
      <c r="G122" s="45" t="s">
        <v>0</v>
      </c>
      <c r="H122" s="45"/>
      <c r="I122" s="532"/>
      <c r="J122"/>
      <c r="K122"/>
      <c r="L122"/>
      <c r="M122"/>
      <c r="N122"/>
      <c r="O122"/>
      <c r="P122"/>
      <c r="Q122"/>
      <c r="R122"/>
      <c r="S122"/>
      <c r="T122"/>
      <c r="U122"/>
      <c r="X122"/>
      <c r="Y122" s="960"/>
      <c r="AB122" s="940" t="s">
        <v>0</v>
      </c>
      <c r="AC122" s="232">
        <f t="shared" si="6"/>
        <v>1</v>
      </c>
      <c r="AD122" s="19"/>
      <c r="AE122" s="19"/>
      <c r="AF122" s="19"/>
      <c r="AG122" s="23"/>
      <c r="AH122" s="23"/>
      <c r="AI122" s="24"/>
      <c r="AJ122" s="27"/>
      <c r="AK122" s="34"/>
      <c r="AL122" s="364"/>
      <c r="AM122" s="34"/>
    </row>
    <row r="123" spans="1:39" s="743" customFormat="1" ht="14.1" hidden="1" customHeight="1" outlineLevel="2" x14ac:dyDescent="0.25">
      <c r="A123" s="85"/>
      <c r="B123" s="220" t="str">
        <f>AB123</f>
        <v>ProgMgr ensures program staff meets agreed upon dates in SCHEDULE</v>
      </c>
      <c r="C123" s="117"/>
      <c r="D123" s="500"/>
      <c r="E123" s="500"/>
      <c r="G123" s="113"/>
      <c r="H123" s="114"/>
      <c r="I123" s="532"/>
      <c r="Y123" s="960"/>
      <c r="AB123" s="934" t="str">
        <f>S.Staff.Program.Mgr.FirstName&amp;" ensures program staff meets agreed upon dates in SCHEDULE"</f>
        <v>ProgMgr ensures program staff meets agreed upon dates in SCHEDULE</v>
      </c>
      <c r="AC123" s="232">
        <f t="shared" si="6"/>
        <v>1</v>
      </c>
      <c r="AD123" s="19"/>
      <c r="AE123" s="19"/>
      <c r="AF123" s="19"/>
      <c r="AG123" s="23"/>
      <c r="AH123" s="23"/>
      <c r="AI123" s="24"/>
      <c r="AJ123" s="15"/>
      <c r="AK123" s="34"/>
      <c r="AL123" s="364"/>
      <c r="AM123" s="34"/>
    </row>
    <row r="124" spans="1:39" s="6" customFormat="1" ht="14.25" hidden="1" customHeight="1" outlineLevel="1" collapsed="1" x14ac:dyDescent="0.2">
      <c r="A124" s="85"/>
      <c r="B124" s="208"/>
      <c r="C124" s="208"/>
      <c r="D124" s="487"/>
      <c r="E124" s="487"/>
      <c r="F124" s="567"/>
      <c r="G124" s="168"/>
      <c r="H124" s="210"/>
      <c r="I124" s="12"/>
      <c r="Y124" s="960"/>
      <c r="AB124" s="933"/>
      <c r="AC124" s="232" t="s">
        <v>0</v>
      </c>
      <c r="AD124" s="19"/>
      <c r="AE124" s="19"/>
      <c r="AF124" s="19"/>
      <c r="AG124" s="35"/>
      <c r="AH124" s="35"/>
      <c r="AI124" s="61" t="s">
        <v>86</v>
      </c>
      <c r="AJ124" s="221"/>
      <c r="AK124" s="34"/>
      <c r="AL124" s="364"/>
      <c r="AM124" s="34"/>
    </row>
    <row r="125" spans="1:39" s="6" customFormat="1" ht="19.5" hidden="1" customHeight="1" outlineLevel="1" x14ac:dyDescent="0.2">
      <c r="A125" s="85"/>
      <c r="B125" s="566" t="s">
        <v>119</v>
      </c>
      <c r="C125" s="45"/>
      <c r="D125" s="81"/>
      <c r="E125" s="81"/>
      <c r="F125" s="44"/>
      <c r="G125" s="45" t="s">
        <v>0</v>
      </c>
      <c r="H125" s="45"/>
      <c r="I125" s="532"/>
      <c r="J125"/>
      <c r="K125"/>
      <c r="L125"/>
      <c r="M125"/>
      <c r="N125"/>
      <c r="O125"/>
      <c r="P125"/>
      <c r="Q125"/>
      <c r="R125"/>
      <c r="S125"/>
      <c r="T125"/>
      <c r="U125"/>
      <c r="X125"/>
      <c r="Y125" s="960"/>
      <c r="AB125" s="941" t="s">
        <v>0</v>
      </c>
      <c r="AC125" s="232">
        <f t="shared" si="6"/>
        <v>1</v>
      </c>
      <c r="AD125" s="19"/>
      <c r="AE125" s="19"/>
      <c r="AF125" s="19"/>
      <c r="AG125" s="23"/>
      <c r="AH125" s="23"/>
      <c r="AI125" s="24"/>
      <c r="AJ125" s="15"/>
      <c r="AK125" s="34"/>
      <c r="AL125" s="364"/>
      <c r="AM125" s="34"/>
    </row>
    <row r="126" spans="1:39" s="6" customFormat="1" ht="13.5" hidden="1" customHeight="1" outlineLevel="2" x14ac:dyDescent="0.2">
      <c r="A126" s="85"/>
      <c r="B126" s="185" t="str">
        <f>AB126</f>
        <v>ProgLead schedules/facilitates meeting with team, including ProgMgr, RGLead,</v>
      </c>
      <c r="C126" s="339"/>
      <c r="D126" s="340" t="s">
        <v>0</v>
      </c>
      <c r="E126" s="638"/>
      <c r="F126"/>
      <c r="G126" s="111">
        <f ca="1">AG126</f>
        <v>42009</v>
      </c>
      <c r="H126" s="111">
        <f ca="1">AH126</f>
        <v>42009</v>
      </c>
      <c r="I126" s="532"/>
      <c r="J126"/>
      <c r="K126"/>
      <c r="L126"/>
      <c r="M126"/>
      <c r="N126"/>
      <c r="O126"/>
      <c r="P126"/>
      <c r="Q126"/>
      <c r="R126"/>
      <c r="S126"/>
      <c r="T126"/>
      <c r="U126"/>
      <c r="X126"/>
      <c r="Y126" s="960"/>
      <c r="AB126" s="934" t="str">
        <f>S.Staff.Subject.Expert.FirstName&amp;" schedules/facilitates meeting with team, including "&amp;S.Staff.Program.Mgr.FirstName&amp;", "&amp;S.Staff.RG.Lead.FirstName&amp;","</f>
        <v>ProgLead schedules/facilitates meeting with team, including ProgMgr, RGLead,</v>
      </c>
      <c r="AC126" s="232">
        <f t="shared" si="6"/>
        <v>1</v>
      </c>
      <c r="AD126" s="19"/>
      <c r="AE126" s="19"/>
      <c r="AF126" s="19"/>
      <c r="AG126" s="25">
        <f ca="1">S.Planning.AddConceptToPlanDate</f>
        <v>42009</v>
      </c>
      <c r="AH126" s="25">
        <f ca="1">G126</f>
        <v>42009</v>
      </c>
      <c r="AI126" s="24"/>
      <c r="AJ126" s="27"/>
      <c r="AK126" s="34"/>
      <c r="AL126" s="364"/>
      <c r="AM126" s="34"/>
    </row>
    <row r="127" spans="1:39" s="6" customFormat="1" ht="13.5" hidden="1" customHeight="1" outlineLevel="2" thickBot="1" x14ac:dyDescent="0.25">
      <c r="A127" s="85" t="s">
        <v>0</v>
      </c>
      <c r="B127" s="325" t="str">
        <f>AB127</f>
        <v>BrianW, AndreaG and Meyer to discuss/determine need for:</v>
      </c>
      <c r="C127" s="120"/>
      <c r="D127" s="499"/>
      <c r="E127" s="499"/>
      <c r="F127"/>
      <c r="G127"/>
      <c r="H127"/>
      <c r="I127" s="532"/>
      <c r="J127"/>
      <c r="K127"/>
      <c r="L127"/>
      <c r="M127"/>
      <c r="N127"/>
      <c r="O127"/>
      <c r="P127"/>
      <c r="Q127"/>
      <c r="R127"/>
      <c r="S127"/>
      <c r="T127"/>
      <c r="U127"/>
      <c r="X127"/>
      <c r="Y127" s="960"/>
      <c r="AB127" s="943" t="str">
        <f>S.Staff.PublicAffairsOfficer&amp;", "&amp;IF(S.SIP.Involved="Y",S.Staff.SIPCo,"")&amp;" and "&amp;S.Staff.AgencyRulesCoordinator&amp;" to discuss/determine need for:"</f>
        <v>BrianW, AndreaG and Meyer to discuss/determine need for:</v>
      </c>
      <c r="AC127" s="232">
        <f t="shared" si="6"/>
        <v>1</v>
      </c>
      <c r="AD127" s="19"/>
      <c r="AE127" s="19"/>
      <c r="AF127" s="19"/>
      <c r="AG127" s="24"/>
      <c r="AH127" s="24"/>
      <c r="AI127" s="24"/>
      <c r="AJ127" s="27"/>
      <c r="AK127" s="34"/>
      <c r="AL127" s="364"/>
      <c r="AM127" s="34"/>
    </row>
    <row r="128" spans="1:39" s="6" customFormat="1" ht="13.5" hidden="1" customHeight="1" outlineLevel="2" thickBot="1" x14ac:dyDescent="0.25">
      <c r="A128" s="85"/>
      <c r="B128" s="520" t="s">
        <v>141</v>
      </c>
      <c r="C128" s="351" t="s">
        <v>12</v>
      </c>
      <c r="D128" s="499"/>
      <c r="E128" s="499"/>
      <c r="F128"/>
      <c r="G128"/>
      <c r="H128"/>
      <c r="I128" s="532"/>
      <c r="J128"/>
      <c r="K128"/>
      <c r="L128"/>
      <c r="M128"/>
      <c r="N128"/>
      <c r="O128"/>
      <c r="P128"/>
      <c r="Q128"/>
      <c r="R128"/>
      <c r="S128"/>
      <c r="T128"/>
      <c r="U128"/>
      <c r="X128"/>
      <c r="Y128" s="960"/>
      <c r="AB128" s="944" t="s">
        <v>0</v>
      </c>
      <c r="AC128" s="232">
        <f>IF(AND(S.Planning.DecisionToAddToPlan="A",S.Planning.CommunicationsPlan="Y"),1,0)</f>
        <v>1</v>
      </c>
      <c r="AD128" s="19"/>
      <c r="AE128" s="19"/>
      <c r="AF128" s="19"/>
      <c r="AG128" s="24"/>
      <c r="AH128" s="24"/>
      <c r="AI128" s="661" t="str">
        <f>IF(AND(S.Planning.CommunicationsPlan="Y",S.Planning.MessageMap="Y",S.Notice.NewsRelease="Y"),"Y","N")</f>
        <v>Y</v>
      </c>
      <c r="AJ128" s="27"/>
      <c r="AK128" s="34"/>
      <c r="AL128" s="364"/>
      <c r="AM128" s="34"/>
    </row>
    <row r="129" spans="1:39" s="6" customFormat="1" ht="13.5" hidden="1" customHeight="1" outlineLevel="2" thickBot="1" x14ac:dyDescent="0.25">
      <c r="A129" s="85"/>
      <c r="B129" s="520" t="s">
        <v>142</v>
      </c>
      <c r="C129" s="350" t="s">
        <v>12</v>
      </c>
      <c r="D129" s="499"/>
      <c r="E129" s="499"/>
      <c r="F129"/>
      <c r="G129"/>
      <c r="H129"/>
      <c r="I129" s="532"/>
      <c r="J129"/>
      <c r="K129"/>
      <c r="L129"/>
      <c r="M129"/>
      <c r="N129"/>
      <c r="O129"/>
      <c r="P129"/>
      <c r="Q129"/>
      <c r="R129"/>
      <c r="S129"/>
      <c r="T129"/>
      <c r="U129"/>
      <c r="X129"/>
      <c r="Y129" s="960"/>
      <c r="AB129" s="944"/>
      <c r="AC129" s="232">
        <f>IF(AND(S.Planning.DecisionToAddToPlan="A",S.Planning.MessageMap="Y"),1,0)</f>
        <v>1</v>
      </c>
      <c r="AD129" s="19"/>
      <c r="AE129" s="19"/>
      <c r="AF129" s="19"/>
      <c r="AG129" s="24"/>
      <c r="AH129" s="24"/>
      <c r="AI129" s="24"/>
      <c r="AJ129" s="27"/>
      <c r="AK129" s="34"/>
      <c r="AL129" s="364"/>
      <c r="AM129" s="34"/>
    </row>
    <row r="130" spans="1:39" s="6" customFormat="1" ht="13.5" hidden="1" customHeight="1" outlineLevel="2" thickBot="1" x14ac:dyDescent="0.25">
      <c r="A130" s="85"/>
      <c r="B130" s="520" t="s">
        <v>327</v>
      </c>
      <c r="C130" s="350" t="s">
        <v>12</v>
      </c>
      <c r="D130" s="499"/>
      <c r="E130" s="499"/>
      <c r="F130" s="141" t="s">
        <v>0</v>
      </c>
      <c r="G130" s="142"/>
      <c r="H130" s="142"/>
      <c r="I130" s="532"/>
      <c r="Y130" s="960"/>
      <c r="AB130" s="944"/>
      <c r="AC130" s="232">
        <f>IF(AND(S.Planning.DecisionToAddToPlan="A",S.Notice.AD.Involved="Y"),1,0)</f>
        <v>1</v>
      </c>
      <c r="AD130" s="19"/>
      <c r="AE130" s="19"/>
      <c r="AF130" s="19"/>
      <c r="AG130" s="23" t="s">
        <v>0</v>
      </c>
      <c r="AH130" s="23"/>
      <c r="AI130" s="23"/>
      <c r="AJ130" s="29"/>
      <c r="AK130" s="34"/>
      <c r="AL130" s="364"/>
      <c r="AM130" s="34"/>
    </row>
    <row r="131" spans="1:39" s="6" customFormat="1" ht="13.5" hidden="1" customHeight="1" outlineLevel="2" thickBot="1" x14ac:dyDescent="0.25">
      <c r="A131" s="85"/>
      <c r="B131" s="520" t="s">
        <v>346</v>
      </c>
      <c r="C131" s="350" t="s">
        <v>12</v>
      </c>
      <c r="D131" s="499"/>
      <c r="E131" s="499"/>
      <c r="F131" s="141" t="s">
        <v>0</v>
      </c>
      <c r="G131" s="142"/>
      <c r="H131" s="142"/>
      <c r="I131" s="532"/>
      <c r="Y131" s="960"/>
      <c r="AB131" s="944"/>
      <c r="AC131" s="232">
        <f>IF(AND(S.Planning.DecisionToAddToPlan="A",S.Notice.NewsRelease="Y"),1,0)</f>
        <v>1</v>
      </c>
      <c r="AD131" s="19"/>
      <c r="AE131" s="19"/>
      <c r="AF131" s="19"/>
      <c r="AG131" s="23" t="s">
        <v>0</v>
      </c>
      <c r="AH131" s="23"/>
      <c r="AI131" s="23"/>
      <c r="AJ131" s="29"/>
      <c r="AK131" s="34"/>
      <c r="AL131" s="364"/>
      <c r="AM131" s="34"/>
    </row>
    <row r="132" spans="1:39" s="6" customFormat="1" ht="13.5" hidden="1" customHeight="1" outlineLevel="2" thickBot="1" x14ac:dyDescent="0.25">
      <c r="A132" s="85"/>
      <c r="B132" s="520" t="s">
        <v>143</v>
      </c>
      <c r="C132" s="350" t="s">
        <v>12</v>
      </c>
      <c r="D132" s="499"/>
      <c r="E132" s="499"/>
      <c r="F132" s="141" t="s">
        <v>0</v>
      </c>
      <c r="G132" s="142"/>
      <c r="H132" s="142"/>
      <c r="I132" s="532"/>
      <c r="J132"/>
      <c r="K132"/>
      <c r="L132"/>
      <c r="M132"/>
      <c r="N132"/>
      <c r="O132"/>
      <c r="P132"/>
      <c r="Q132"/>
      <c r="R132"/>
      <c r="S132"/>
      <c r="T132"/>
      <c r="U132"/>
      <c r="X132"/>
      <c r="Y132" s="960"/>
      <c r="AB132" s="944"/>
      <c r="AC132" s="232">
        <f>IF(AND(S.Planning.DecisionToAddToPlan="A",S.Planning.ProgramWebPage="Y"),1,0)</f>
        <v>1</v>
      </c>
      <c r="AD132" s="19"/>
      <c r="AE132" s="19"/>
      <c r="AF132" s="19"/>
      <c r="AG132" s="23" t="s">
        <v>0</v>
      </c>
      <c r="AH132" s="23"/>
      <c r="AI132" s="23"/>
      <c r="AJ132" s="29"/>
      <c r="AK132" s="34"/>
      <c r="AL132" s="364"/>
      <c r="AM132" s="34"/>
    </row>
    <row r="133" spans="1:39" s="6" customFormat="1" ht="13.5" hidden="1" customHeight="1" outlineLevel="2" thickBot="1" x14ac:dyDescent="0.25">
      <c r="A133" s="85"/>
      <c r="B133" s="524" t="s">
        <v>144</v>
      </c>
      <c r="C133" s="350" t="s">
        <v>12</v>
      </c>
      <c r="D133" s="499"/>
      <c r="E133" s="499"/>
      <c r="F133" s="145"/>
      <c r="G133" s="142" t="s">
        <v>0</v>
      </c>
      <c r="H133" s="142"/>
      <c r="I133" s="532"/>
      <c r="J133"/>
      <c r="K133"/>
      <c r="L133"/>
      <c r="M133"/>
      <c r="N133"/>
      <c r="O133"/>
      <c r="P133"/>
      <c r="Q133"/>
      <c r="R133"/>
      <c r="S133"/>
      <c r="T133"/>
      <c r="U133"/>
      <c r="X133"/>
      <c r="Y133" s="960"/>
      <c r="AB133" s="939"/>
      <c r="AC133" s="232">
        <f>IF(AND(S.Planning.DecisionToAddToPlan="A",S.Notice.InformationMeeting="Y"),1,0)</f>
        <v>1</v>
      </c>
      <c r="AD133" s="19"/>
      <c r="AE133" s="19"/>
      <c r="AF133" s="19"/>
      <c r="AG133" s="23"/>
      <c r="AH133" s="23"/>
      <c r="AI133" s="24"/>
      <c r="AJ133" s="15"/>
      <c r="AK133" s="34"/>
      <c r="AL133" s="364"/>
      <c r="AM133" s="34"/>
    </row>
    <row r="134" spans="1:39" s="6" customFormat="1" ht="13.5" hidden="1" customHeight="1" outlineLevel="2" x14ac:dyDescent="0.25">
      <c r="A134" s="85"/>
      <c r="B134" s="150" t="str">
        <f>AB134</f>
        <v>ProgLead leads communication option review and approval loops for:</v>
      </c>
      <c r="C134" s="116" t="s">
        <v>0</v>
      </c>
      <c r="D134"/>
      <c r="F134"/>
      <c r="G134" s="521"/>
      <c r="H134"/>
      <c r="I134" s="532"/>
      <c r="J134"/>
      <c r="K134"/>
      <c r="L134"/>
      <c r="M134"/>
      <c r="N134"/>
      <c r="O134"/>
      <c r="P134"/>
      <c r="Q134"/>
      <c r="R134"/>
      <c r="S134"/>
      <c r="T134"/>
      <c r="U134"/>
      <c r="X134"/>
      <c r="Y134" s="960"/>
      <c r="AB134" s="932" t="str">
        <f>S.Staff.Subject.Expert.FirstName&amp;" leads communication option review and approval loops for:"</f>
        <v>ProgLead leads communication option review and approval loops for:</v>
      </c>
      <c r="AC134" s="232">
        <f>IF(OR(S.Planning.CommunicationsPlan="Y",S.Planning.MessageMap="Y",S.Planning.ProgramWebPage="Y"),1,0)</f>
        <v>1</v>
      </c>
      <c r="AD134" s="19"/>
      <c r="AE134" s="19"/>
      <c r="AF134" s="19"/>
      <c r="AG134" s="23"/>
      <c r="AH134" s="23"/>
      <c r="AI134" s="24"/>
      <c r="AJ134" s="15"/>
      <c r="AK134" s="34"/>
      <c r="AL134" s="364"/>
      <c r="AM134" s="34"/>
    </row>
    <row r="135" spans="1:39" s="6" customFormat="1" ht="13.5" hidden="1" customHeight="1" outlineLevel="2" x14ac:dyDescent="0.2">
      <c r="A135" s="85"/>
      <c r="B135" s="152" t="str">
        <f>AB135</f>
        <v>* drafting COMMUNICATION.PLAN with BrianW using information</v>
      </c>
      <c r="C135" s="328" t="str">
        <f>HYPERLINK("http://deq05/intranet/communication/publicinvolvement/index.htm","i")</f>
        <v>i</v>
      </c>
      <c r="D135" s="109"/>
      <c r="E135" s="637"/>
      <c r="F135"/>
      <c r="G135" s="143">
        <f ca="1">AG135</f>
        <v>42009</v>
      </c>
      <c r="H135" s="140">
        <f ca="1">AH135</f>
        <v>42009</v>
      </c>
      <c r="I135" s="532"/>
      <c r="J135"/>
      <c r="K135"/>
      <c r="L135"/>
      <c r="M135"/>
      <c r="N135"/>
      <c r="O135"/>
      <c r="P135"/>
      <c r="Q135"/>
      <c r="R135"/>
      <c r="S135"/>
      <c r="T135"/>
      <c r="U135"/>
      <c r="X135"/>
      <c r="Y135" s="960"/>
      <c r="AB135" s="934" t="str">
        <f>"* drafting COMMUNICATION.PLAN with "&amp;S.Staff.PublicAffairsOfficer&amp;" using information"</f>
        <v>* drafting COMMUNICATION.PLAN with BrianW using information</v>
      </c>
      <c r="AC135" s="232">
        <f>IF(S.Planning.CommunicationsPlan="Y",1,0)</f>
        <v>1</v>
      </c>
      <c r="AD135" s="19"/>
      <c r="AE135" s="19"/>
      <c r="AF135" s="19"/>
      <c r="AG135" s="25">
        <f ca="1">S.Planning.CommunicationMeeting</f>
        <v>42009</v>
      </c>
      <c r="AH135" s="25">
        <f ca="1">G135</f>
        <v>42009</v>
      </c>
      <c r="AI135" s="24"/>
      <c r="AJ135" s="27"/>
      <c r="AK135" s="34"/>
      <c r="AL135" s="364"/>
      <c r="AM135" s="34"/>
    </row>
    <row r="136" spans="1:39" s="6" customFormat="1" ht="13.5" hidden="1" customHeight="1" outlineLevel="2" x14ac:dyDescent="0.2">
      <c r="A136" s="85"/>
      <c r="B136" s="763" t="s">
        <v>308</v>
      </c>
      <c r="C136" s="522" t="s">
        <v>0</v>
      </c>
      <c r="D136" s="1007"/>
      <c r="E136" s="639"/>
      <c r="F136"/>
      <c r="G136" s="147" t="s">
        <v>0</v>
      </c>
      <c r="I136" s="532"/>
      <c r="Y136" s="960"/>
      <c r="AB136" s="944"/>
      <c r="AC136" s="232">
        <f>IF(S.Planning.CommunicationsPlan="Y",1,0)</f>
        <v>1</v>
      </c>
      <c r="AD136" s="19"/>
      <c r="AE136" s="19"/>
      <c r="AF136" s="19"/>
      <c r="AG136" s="23" t="s">
        <v>0</v>
      </c>
      <c r="AH136" s="23"/>
      <c r="AI136" s="18"/>
      <c r="AJ136" s="16"/>
      <c r="AK136" s="34"/>
      <c r="AL136" s="364"/>
      <c r="AM136" s="34"/>
    </row>
    <row r="137" spans="1:39" ht="13.5" hidden="1" customHeight="1" outlineLevel="2" x14ac:dyDescent="0.2">
      <c r="A137" s="85"/>
      <c r="B137" s="197" t="str">
        <f>AB137</f>
        <v>* drafting MESSAGE.MAP with BrianW</v>
      </c>
      <c r="C137" s="328" t="str">
        <f>HYPERLINK("http://deq05/intranet/communication/index.htm","i")</f>
        <v>i</v>
      </c>
      <c r="D137" s="109"/>
      <c r="E137" s="637"/>
      <c r="F137"/>
      <c r="G137" s="140">
        <f ca="1">AG137</f>
        <v>42009</v>
      </c>
      <c r="H137" s="140">
        <f ca="1">AH137</f>
        <v>42009</v>
      </c>
      <c r="I137" s="532"/>
      <c r="AB137" s="934" t="str">
        <f>"* drafting MESSAGE.MAP with "&amp;S.Staff.PublicAffairsOfficer</f>
        <v>* drafting MESSAGE.MAP with BrianW</v>
      </c>
      <c r="AC137" s="233">
        <f>IF(S.Planning.MessageMap="Y",1,0)</f>
        <v>1</v>
      </c>
      <c r="AD137" s="19"/>
      <c r="AE137" s="19"/>
      <c r="AF137" s="19"/>
      <c r="AG137" s="25">
        <f ca="1">S.Planning.CommunicationMeeting</f>
        <v>42009</v>
      </c>
      <c r="AH137" s="25">
        <f ca="1">G137</f>
        <v>42009</v>
      </c>
      <c r="AI137" s="24"/>
      <c r="AJ137" s="24"/>
      <c r="AK137" s="34"/>
      <c r="AL137" s="364"/>
      <c r="AM137" s="34"/>
    </row>
    <row r="138" spans="1:39" s="6" customFormat="1" ht="13.5" hidden="1" customHeight="1" outlineLevel="2" x14ac:dyDescent="0.2">
      <c r="A138" s="85"/>
      <c r="B138" s="197" t="str">
        <f>AB138</f>
        <v>* drafting  PROGRAM.WEB.PAGE content with team and WebRep</v>
      </c>
      <c r="C138" s="151"/>
      <c r="D138" s="109"/>
      <c r="E138" s="637"/>
      <c r="F138"/>
      <c r="G138" s="143">
        <f ca="1">AG138</f>
        <v>42009</v>
      </c>
      <c r="H138" s="140">
        <f ca="1">AH138</f>
        <v>42009</v>
      </c>
      <c r="I138" s="532"/>
      <c r="J138"/>
      <c r="K138"/>
      <c r="L138"/>
      <c r="M138"/>
      <c r="N138"/>
      <c r="O138"/>
      <c r="P138"/>
      <c r="Q138"/>
      <c r="R138"/>
      <c r="S138"/>
      <c r="T138"/>
      <c r="U138"/>
      <c r="X138"/>
      <c r="Y138" s="960"/>
      <c r="AB138" s="934" t="str">
        <f>"* drafting  PROGRAM.WEB.PAGE content with team and "&amp;S.Staff.WebMaster</f>
        <v>* drafting  PROGRAM.WEB.PAGE content with team and WebRep</v>
      </c>
      <c r="AC138" s="233">
        <f>IF(S.Planning.ProgramWebPage="Y",1,0)</f>
        <v>1</v>
      </c>
      <c r="AD138" s="19"/>
      <c r="AE138" s="19"/>
      <c r="AF138" s="19"/>
      <c r="AG138" s="25">
        <f ca="1">S.Planning.CommunicationMeeting</f>
        <v>42009</v>
      </c>
      <c r="AH138" s="25">
        <f ca="1">G138</f>
        <v>42009</v>
      </c>
      <c r="AI138" s="23"/>
      <c r="AJ138" s="16"/>
      <c r="AK138" s="34"/>
      <c r="AL138" s="364"/>
      <c r="AM138" s="34"/>
    </row>
    <row r="139" spans="1:39" s="6" customFormat="1" ht="13.5" hidden="1" customHeight="1" outlineLevel="2" x14ac:dyDescent="0.25">
      <c r="A139" s="85"/>
      <c r="B139" s="150" t="str">
        <f>AB139</f>
        <v>ProgMgr shares information with DA.Program</v>
      </c>
      <c r="C139" s="116" t="s">
        <v>0</v>
      </c>
      <c r="D139" s="118"/>
      <c r="E139" s="636"/>
      <c r="F139"/>
      <c r="G139" s="226"/>
      <c r="H139" s="226"/>
      <c r="I139" s="532"/>
      <c r="J139"/>
      <c r="K139"/>
      <c r="L139"/>
      <c r="M139"/>
      <c r="N139"/>
      <c r="O139"/>
      <c r="P139"/>
      <c r="Q139"/>
      <c r="R139"/>
      <c r="S139"/>
      <c r="T139"/>
      <c r="U139"/>
      <c r="X139"/>
      <c r="Y139" s="960"/>
      <c r="AB139" s="932" t="str">
        <f>S.Staff.Program.Mgr.FirstName&amp;" shares information with "&amp;S.Staff.DA.ForProgram.FirstName</f>
        <v>ProgMgr shares information with DA.Program</v>
      </c>
      <c r="AC139" s="232">
        <f>IF(OR(S.Planning.CommunicationsPlan="Y",S.Planning.MessageMap="Y",S.Planning.ProgramWebPage="Y"),1,0)</f>
        <v>1</v>
      </c>
      <c r="AD139" s="19"/>
      <c r="AE139" s="19"/>
      <c r="AF139" s="19"/>
      <c r="AG139" s="18"/>
      <c r="AH139" s="18"/>
      <c r="AI139" s="24"/>
      <c r="AJ139" s="15"/>
      <c r="AK139" s="34"/>
      <c r="AL139" s="364"/>
      <c r="AM139" s="34"/>
    </row>
    <row r="140" spans="1:39" s="6" customFormat="1" ht="13.5" hidden="1" customHeight="1" outlineLevel="2" x14ac:dyDescent="0.25">
      <c r="A140" s="85"/>
      <c r="B140" s="150" t="str">
        <f>AB140</f>
        <v>ProgLead:</v>
      </c>
      <c r="C140" s="116" t="s">
        <v>0</v>
      </c>
      <c r="D140" s="163"/>
      <c r="E140" s="639"/>
      <c r="F140"/>
      <c r="G140" s="143">
        <f t="shared" ref="G140" ca="1" si="7">AG140</f>
        <v>42009</v>
      </c>
      <c r="H140" s="140">
        <f ca="1">AH140</f>
        <v>42009</v>
      </c>
      <c r="I140" s="532"/>
      <c r="J140"/>
      <c r="K140"/>
      <c r="L140"/>
      <c r="M140"/>
      <c r="N140"/>
      <c r="O140"/>
      <c r="P140"/>
      <c r="Q140"/>
      <c r="R140"/>
      <c r="S140"/>
      <c r="T140"/>
      <c r="U140"/>
      <c r="X140"/>
      <c r="Y140" s="960"/>
      <c r="AB140" s="932" t="str">
        <f>S.Staff.Subject.Expert.FirstName&amp;":"</f>
        <v>ProgLead:</v>
      </c>
      <c r="AC140" s="232">
        <f>IF(S.Planning.ProgramWebPage="Y",1,0)</f>
        <v>1</v>
      </c>
      <c r="AD140" s="19"/>
      <c r="AE140" s="19"/>
      <c r="AF140" s="19"/>
      <c r="AG140" s="25">
        <f ca="1">G138</f>
        <v>42009</v>
      </c>
      <c r="AH140" s="25">
        <f ca="1">G140</f>
        <v>42009</v>
      </c>
      <c r="AI140" s="24"/>
      <c r="AJ140" s="15"/>
      <c r="AK140" s="34"/>
      <c r="AL140" s="364"/>
      <c r="AM140" s="34"/>
    </row>
    <row r="141" spans="1:39" s="6" customFormat="1" ht="13.5" hidden="1" customHeight="1" outlineLevel="2" x14ac:dyDescent="0.2">
      <c r="A141" s="85"/>
      <c r="B141" s="197" t="s">
        <v>309</v>
      </c>
      <c r="C141" s="164" t="s">
        <v>0</v>
      </c>
      <c r="D141" s="163"/>
      <c r="E141" s="639"/>
      <c r="F141"/>
      <c r="G141"/>
      <c r="H141"/>
      <c r="I141" s="532"/>
      <c r="J141"/>
      <c r="K141"/>
      <c r="L141"/>
      <c r="M141"/>
      <c r="N141"/>
      <c r="O141"/>
      <c r="P141"/>
      <c r="Q141"/>
      <c r="R141"/>
      <c r="S141"/>
      <c r="T141"/>
      <c r="U141"/>
      <c r="X141"/>
      <c r="Y141" s="960"/>
      <c r="AB141" s="940"/>
      <c r="AC141" s="232">
        <f>IF(S.Planning.ProgramWebPage="Y",1,0)</f>
        <v>1</v>
      </c>
      <c r="AD141" s="19"/>
      <c r="AE141" s="19"/>
      <c r="AF141" s="19"/>
      <c r="AG141" s="24"/>
      <c r="AH141" s="24"/>
      <c r="AI141" s="18"/>
      <c r="AJ141" s="16"/>
      <c r="AK141" s="34"/>
      <c r="AL141" s="364"/>
      <c r="AM141" s="34"/>
    </row>
    <row r="142" spans="1:39" s="6" customFormat="1" ht="13.5" hidden="1" customHeight="1" outlineLevel="2" x14ac:dyDescent="0.2">
      <c r="A142" s="85" t="s">
        <v>0</v>
      </c>
      <c r="B142" s="197" t="s">
        <v>111</v>
      </c>
      <c r="C142" s="164" t="s">
        <v>0</v>
      </c>
      <c r="D142" s="163"/>
      <c r="E142" s="639"/>
      <c r="F142"/>
      <c r="G142"/>
      <c r="H142"/>
      <c r="I142" s="532"/>
      <c r="J142"/>
      <c r="K142"/>
      <c r="L142"/>
      <c r="M142"/>
      <c r="N142"/>
      <c r="O142"/>
      <c r="P142"/>
      <c r="Q142"/>
      <c r="R142"/>
      <c r="S142"/>
      <c r="T142"/>
      <c r="U142"/>
      <c r="X142"/>
      <c r="Y142" s="960"/>
      <c r="AB142" s="940"/>
      <c r="AC142" s="232">
        <f>IF(S.Planning.ProgramWebPage="Y",1,0)</f>
        <v>1</v>
      </c>
      <c r="AD142" s="19"/>
      <c r="AE142" s="19"/>
      <c r="AF142" s="19"/>
      <c r="AG142" s="24"/>
      <c r="AH142" s="24"/>
      <c r="AI142" s="18"/>
      <c r="AJ142" s="16"/>
      <c r="AK142" s="34"/>
      <c r="AL142" s="364"/>
      <c r="AM142" s="34"/>
    </row>
    <row r="143" spans="1:39" s="6" customFormat="1" ht="13.5" hidden="1" customHeight="1" outlineLevel="2" x14ac:dyDescent="0.2">
      <c r="A143" s="85"/>
      <c r="B143" s="152" t="str">
        <f>AB143</f>
        <v>* works with WebRep to make adjustments</v>
      </c>
      <c r="C143" s="164" t="s">
        <v>0</v>
      </c>
      <c r="D143" s="163"/>
      <c r="E143" s="639"/>
      <c r="F143"/>
      <c r="G143"/>
      <c r="H143"/>
      <c r="I143" s="532"/>
      <c r="J143"/>
      <c r="K143"/>
      <c r="L143"/>
      <c r="M143"/>
      <c r="N143"/>
      <c r="O143"/>
      <c r="P143"/>
      <c r="Q143"/>
      <c r="R143"/>
      <c r="S143"/>
      <c r="T143"/>
      <c r="U143"/>
      <c r="X143"/>
      <c r="Y143" s="960"/>
      <c r="AB143" s="934" t="str">
        <f>"* works with "&amp;S.Staff.WebMaster&amp;" to make adjustments"</f>
        <v>* works with WebRep to make adjustments</v>
      </c>
      <c r="AC143" s="232">
        <f>IF(S.Planning.ProgramWebPage="Y",1,0)</f>
        <v>1</v>
      </c>
      <c r="AD143" s="19"/>
      <c r="AE143" s="19"/>
      <c r="AF143" s="19"/>
      <c r="AG143" s="24"/>
      <c r="AH143" s="24"/>
      <c r="AI143" s="18"/>
      <c r="AJ143" s="16"/>
      <c r="AK143" s="34"/>
      <c r="AL143" s="364"/>
      <c r="AM143" s="34"/>
    </row>
    <row r="144" spans="1:39" ht="15" hidden="1" customHeight="1" outlineLevel="2" x14ac:dyDescent="0.2">
      <c r="A144" s="85"/>
      <c r="C144" s="359"/>
      <c r="D144" s="165"/>
      <c r="E144" s="536"/>
      <c r="F144"/>
      <c r="G144" s="140">
        <f ca="1">AG144</f>
        <v>42009</v>
      </c>
      <c r="H144" s="140">
        <f t="shared" ref="H144:H162" si="8">AH144</f>
        <v>42171</v>
      </c>
      <c r="I144" s="532"/>
      <c r="AB144" s="934" t="str">
        <f>S.Staff.Subject.Expert.FirstName&amp;":"</f>
        <v>ProgLead:</v>
      </c>
      <c r="AC144" s="232">
        <f>IF(AND(S.Notice.Involved="Y",S.Notice.AD.Involved="Y"),1,0)</f>
        <v>1</v>
      </c>
      <c r="AD144" s="19"/>
      <c r="AE144" s="19"/>
      <c r="AF144" s="19"/>
      <c r="AG144" s="25">
        <f ca="1">IF(AC144=0,,IF(S.Notice.AD.Involved="N",,S.1Planning.BEGIN))</f>
        <v>42009</v>
      </c>
      <c r="AH144" s="25">
        <f>IF(AC144=0,,IF(S.Notice.AD.Involved="N",,S.Notice.OpenComment))</f>
        <v>42171</v>
      </c>
      <c r="AI144" s="24"/>
      <c r="AJ144" s="24"/>
      <c r="AK144" s="34"/>
      <c r="AL144" s="364"/>
      <c r="AM144" s="34"/>
    </row>
    <row r="145" spans="1:39" s="6" customFormat="1" ht="2.25" hidden="1" customHeight="1" outlineLevel="2" x14ac:dyDescent="0.2">
      <c r="A145" s="85"/>
      <c r="B145" s="135" t="s">
        <v>0</v>
      </c>
      <c r="C145" s="359"/>
      <c r="D145" s="205"/>
      <c r="E145" s="205"/>
      <c r="F145" s="141"/>
      <c r="G145" s="695"/>
      <c r="H145" s="695"/>
      <c r="I145" s="532"/>
      <c r="Y145" s="960"/>
      <c r="AB145" s="944"/>
      <c r="AC145" s="232">
        <f>IF(AND(S.Notice.Involved="Y",S.Notice.AD.Involved="Y"),1,0)</f>
        <v>1</v>
      </c>
      <c r="AD145" s="19"/>
      <c r="AE145" s="19"/>
      <c r="AF145" s="19"/>
      <c r="AG145" s="24"/>
      <c r="AH145" s="24"/>
      <c r="AI145" s="24"/>
      <c r="AJ145" s="24"/>
      <c r="AK145" s="34"/>
      <c r="AL145" s="364"/>
      <c r="AM145" s="34"/>
    </row>
    <row r="146" spans="1:39" s="6" customFormat="1" ht="15" hidden="1" customHeight="1" outlineLevel="2" thickBot="1" x14ac:dyDescent="0.25">
      <c r="A146" s="85"/>
      <c r="B146" s="538" t="str">
        <f>AB144</f>
        <v>ProgLead:</v>
      </c>
      <c r="C146" s="1051" t="s">
        <v>333</v>
      </c>
      <c r="D146" s="1051"/>
      <c r="E146" s="1051"/>
      <c r="F146" s="1051"/>
      <c r="G146" s="1051"/>
      <c r="H146" s="1051"/>
      <c r="I146" s="532"/>
      <c r="Y146" s="960"/>
      <c r="AB146" s="944"/>
      <c r="AC146" s="232">
        <f>IF(AND(S.Notice.Involved="Y",S.Notice.AD.Involved="Y"),1,0)</f>
        <v>1</v>
      </c>
      <c r="AD146" s="19"/>
      <c r="AE146" s="19"/>
      <c r="AF146" s="19"/>
      <c r="AG146" s="24"/>
      <c r="AH146" s="24"/>
      <c r="AI146" s="24"/>
      <c r="AJ146" s="24"/>
      <c r="AK146" s="34"/>
      <c r="AL146" s="364"/>
      <c r="AM146" s="34"/>
    </row>
    <row r="147" spans="1:39" s="6" customFormat="1" ht="15" hidden="1" customHeight="1" outlineLevel="2" thickTop="1" x14ac:dyDescent="0.2">
      <c r="A147" s="85"/>
      <c r="B147" s="135" t="s">
        <v>518</v>
      </c>
      <c r="C147" s="550" t="s">
        <v>324</v>
      </c>
      <c r="D147" s="551" t="s">
        <v>202</v>
      </c>
      <c r="E147" s="551"/>
      <c r="F147" s="551"/>
      <c r="G147" s="551"/>
      <c r="H147" s="552" t="s">
        <v>343</v>
      </c>
      <c r="I147" s="532"/>
      <c r="Y147" s="960"/>
      <c r="AB147" s="944"/>
      <c r="AC147" s="232">
        <f>IF(AND(S.Notice.Involved="Y",S.Notice.AD.Involved="Y"),1,0)</f>
        <v>1</v>
      </c>
      <c r="AD147" s="19"/>
      <c r="AE147" s="19"/>
      <c r="AF147" s="19"/>
      <c r="AG147" s="24"/>
      <c r="AH147" s="24"/>
      <c r="AI147" s="24"/>
      <c r="AJ147" s="24"/>
      <c r="AK147" s="34"/>
      <c r="AL147" s="364"/>
      <c r="AM147" s="34"/>
    </row>
    <row r="148" spans="1:39" s="6" customFormat="1" ht="15" hidden="1" customHeight="1" outlineLevel="2" x14ac:dyDescent="0.2">
      <c r="A148" s="85"/>
      <c r="B148" s="539" t="str">
        <f t="shared" ref="B148:B155" si="9">AB148</f>
        <v>NOTICE.AD1Oregonian</v>
      </c>
      <c r="C148" s="696">
        <v>1</v>
      </c>
      <c r="D148" s="1048" t="s">
        <v>335</v>
      </c>
      <c r="E148" s="1049"/>
      <c r="F148" s="1049"/>
      <c r="G148" s="1050"/>
      <c r="H148" s="548">
        <f t="shared" si="8"/>
        <v>42171</v>
      </c>
      <c r="I148" s="532"/>
      <c r="J148"/>
      <c r="K148"/>
      <c r="L148"/>
      <c r="M148"/>
      <c r="N148"/>
      <c r="O148"/>
      <c r="P148"/>
      <c r="Q148"/>
      <c r="R148"/>
      <c r="S148"/>
      <c r="T148"/>
      <c r="U148"/>
      <c r="X148"/>
      <c r="Y148" s="960"/>
      <c r="AB148" s="934" t="str">
        <f t="shared" ref="AB148:AB155" si="10">"NOTICE.AD"&amp;C148&amp;D148</f>
        <v>NOTICE.AD1Oregonian</v>
      </c>
      <c r="AC148" s="232">
        <f t="shared" ref="AC148:AC155" si="11">IF(AND(S.Notice.Involved="Y",S.Notice.AD.Involved="Y",C148&gt;0),1,0)</f>
        <v>1</v>
      </c>
      <c r="AD148" s="19"/>
      <c r="AE148" s="19"/>
      <c r="AF148" s="19"/>
      <c r="AG148" s="24"/>
      <c r="AH148" s="25">
        <f t="shared" ref="AH148:AH155" si="12">IF(AC148=0,,IF(S.Notice.AD.Involved="N",,S.Notice.OpenComment))</f>
        <v>42171</v>
      </c>
      <c r="AI148" s="24" t="s">
        <v>0</v>
      </c>
      <c r="AJ148" s="24"/>
      <c r="AK148" s="34"/>
      <c r="AL148" s="364"/>
      <c r="AM148" s="34"/>
    </row>
    <row r="149" spans="1:39" s="6" customFormat="1" ht="15" hidden="1" customHeight="1" outlineLevel="2" x14ac:dyDescent="0.2">
      <c r="A149" s="85"/>
      <c r="B149" s="539" t="str">
        <f t="shared" si="9"/>
        <v>NOTICE.AD2None</v>
      </c>
      <c r="C149" s="696">
        <v>2</v>
      </c>
      <c r="D149" s="1048" t="s">
        <v>342</v>
      </c>
      <c r="E149" s="1049"/>
      <c r="F149" s="1049"/>
      <c r="G149" s="1050"/>
      <c r="H149" s="548">
        <f t="shared" si="8"/>
        <v>42171</v>
      </c>
      <c r="I149" s="532"/>
      <c r="J149"/>
      <c r="K149"/>
      <c r="L149"/>
      <c r="M149"/>
      <c r="N149"/>
      <c r="O149"/>
      <c r="P149"/>
      <c r="Q149"/>
      <c r="R149"/>
      <c r="S149"/>
      <c r="T149"/>
      <c r="U149"/>
      <c r="X149"/>
      <c r="Y149" s="960"/>
      <c r="AB149" s="934" t="str">
        <f t="shared" si="10"/>
        <v>NOTICE.AD2None</v>
      </c>
      <c r="AC149" s="232">
        <f t="shared" si="11"/>
        <v>1</v>
      </c>
      <c r="AD149" s="19"/>
      <c r="AE149" s="19"/>
      <c r="AF149" s="19"/>
      <c r="AG149" s="24"/>
      <c r="AH149" s="25">
        <f t="shared" si="12"/>
        <v>42171</v>
      </c>
      <c r="AI149" s="24"/>
      <c r="AJ149" s="24"/>
      <c r="AK149" s="34"/>
      <c r="AL149" s="364"/>
      <c r="AM149" s="34"/>
    </row>
    <row r="150" spans="1:39" s="6" customFormat="1" ht="15" hidden="1" customHeight="1" outlineLevel="2" x14ac:dyDescent="0.2">
      <c r="A150" s="85"/>
      <c r="B150" s="539" t="str">
        <f t="shared" si="9"/>
        <v>NOTICE.AD3None</v>
      </c>
      <c r="C150" s="696">
        <v>3</v>
      </c>
      <c r="D150" s="1048" t="s">
        <v>342</v>
      </c>
      <c r="E150" s="1049"/>
      <c r="F150" s="1049"/>
      <c r="G150" s="1050"/>
      <c r="H150" s="548">
        <f t="shared" si="8"/>
        <v>42171</v>
      </c>
      <c r="I150" s="532"/>
      <c r="J150"/>
      <c r="K150"/>
      <c r="L150"/>
      <c r="M150"/>
      <c r="N150"/>
      <c r="O150"/>
      <c r="P150"/>
      <c r="Q150"/>
      <c r="R150"/>
      <c r="S150"/>
      <c r="T150"/>
      <c r="U150"/>
      <c r="X150"/>
      <c r="Y150" s="960"/>
      <c r="AB150" s="934" t="str">
        <f t="shared" si="10"/>
        <v>NOTICE.AD3None</v>
      </c>
      <c r="AC150" s="232">
        <f t="shared" si="11"/>
        <v>1</v>
      </c>
      <c r="AD150" s="19"/>
      <c r="AE150" s="19"/>
      <c r="AF150" s="19"/>
      <c r="AG150" s="24"/>
      <c r="AH150" s="25">
        <f t="shared" si="12"/>
        <v>42171</v>
      </c>
      <c r="AI150" s="24"/>
      <c r="AJ150" s="24"/>
      <c r="AK150" s="34"/>
      <c r="AL150" s="364"/>
      <c r="AM150" s="34"/>
    </row>
    <row r="151" spans="1:39" s="6" customFormat="1" ht="15" hidden="1" customHeight="1" outlineLevel="2" x14ac:dyDescent="0.2">
      <c r="A151" s="85"/>
      <c r="B151" s="539" t="str">
        <f t="shared" si="9"/>
        <v>NOTICE.AD4None</v>
      </c>
      <c r="C151" s="696">
        <v>4</v>
      </c>
      <c r="D151" s="1048" t="s">
        <v>342</v>
      </c>
      <c r="E151" s="1049"/>
      <c r="F151" s="1049"/>
      <c r="G151" s="1050"/>
      <c r="H151" s="548">
        <f t="shared" si="8"/>
        <v>42171</v>
      </c>
      <c r="I151" s="532"/>
      <c r="J151"/>
      <c r="K151"/>
      <c r="L151"/>
      <c r="M151"/>
      <c r="N151"/>
      <c r="O151"/>
      <c r="P151"/>
      <c r="Q151"/>
      <c r="R151"/>
      <c r="S151"/>
      <c r="T151"/>
      <c r="U151"/>
      <c r="X151"/>
      <c r="Y151" s="960"/>
      <c r="AB151" s="934" t="str">
        <f t="shared" si="10"/>
        <v>NOTICE.AD4None</v>
      </c>
      <c r="AC151" s="232">
        <f t="shared" si="11"/>
        <v>1</v>
      </c>
      <c r="AD151" s="19"/>
      <c r="AE151" s="19"/>
      <c r="AF151" s="19"/>
      <c r="AG151" s="24"/>
      <c r="AH151" s="25">
        <f t="shared" si="12"/>
        <v>42171</v>
      </c>
      <c r="AI151" s="24"/>
      <c r="AJ151" s="24"/>
      <c r="AK151" s="34"/>
      <c r="AL151" s="364"/>
      <c r="AM151" s="34"/>
    </row>
    <row r="152" spans="1:39" s="6" customFormat="1" ht="15" hidden="1" customHeight="1" outlineLevel="2" x14ac:dyDescent="0.2">
      <c r="A152" s="85"/>
      <c r="B152" s="539" t="str">
        <f t="shared" si="9"/>
        <v>NOTICE.AD5None</v>
      </c>
      <c r="C152" s="696">
        <v>5</v>
      </c>
      <c r="D152" s="1048" t="s">
        <v>342</v>
      </c>
      <c r="E152" s="1049"/>
      <c r="F152" s="1049"/>
      <c r="G152" s="1050"/>
      <c r="H152" s="548">
        <f t="shared" si="8"/>
        <v>42171</v>
      </c>
      <c r="I152" s="532"/>
      <c r="J152"/>
      <c r="K152"/>
      <c r="L152"/>
      <c r="M152"/>
      <c r="N152"/>
      <c r="O152"/>
      <c r="P152"/>
      <c r="Q152"/>
      <c r="R152"/>
      <c r="S152"/>
      <c r="T152"/>
      <c r="U152"/>
      <c r="X152"/>
      <c r="Y152" s="960"/>
      <c r="AB152" s="934" t="str">
        <f t="shared" si="10"/>
        <v>NOTICE.AD5None</v>
      </c>
      <c r="AC152" s="232">
        <f t="shared" si="11"/>
        <v>1</v>
      </c>
      <c r="AD152" s="19"/>
      <c r="AE152" s="19"/>
      <c r="AF152" s="19"/>
      <c r="AG152" s="24"/>
      <c r="AH152" s="25">
        <f t="shared" si="12"/>
        <v>42171</v>
      </c>
      <c r="AI152" s="24"/>
      <c r="AJ152" s="24"/>
      <c r="AK152" s="34"/>
      <c r="AL152" s="364"/>
      <c r="AM152" s="34"/>
    </row>
    <row r="153" spans="1:39" s="6" customFormat="1" ht="15" hidden="1" customHeight="1" outlineLevel="2" x14ac:dyDescent="0.2">
      <c r="A153" s="85"/>
      <c r="B153" s="539" t="str">
        <f t="shared" si="9"/>
        <v>NOTICE.AD6None</v>
      </c>
      <c r="C153" s="696">
        <v>6</v>
      </c>
      <c r="D153" s="1048" t="s">
        <v>342</v>
      </c>
      <c r="E153" s="1049"/>
      <c r="F153" s="1049"/>
      <c r="G153" s="1050"/>
      <c r="H153" s="548">
        <f t="shared" si="8"/>
        <v>42171</v>
      </c>
      <c r="I153" s="532"/>
      <c r="J153"/>
      <c r="K153"/>
      <c r="L153"/>
      <c r="M153"/>
      <c r="N153"/>
      <c r="O153"/>
      <c r="P153"/>
      <c r="Q153"/>
      <c r="R153"/>
      <c r="S153"/>
      <c r="T153"/>
      <c r="U153"/>
      <c r="X153"/>
      <c r="Y153" s="960"/>
      <c r="AB153" s="934" t="str">
        <f t="shared" si="10"/>
        <v>NOTICE.AD6None</v>
      </c>
      <c r="AC153" s="232">
        <f t="shared" si="11"/>
        <v>1</v>
      </c>
      <c r="AD153" s="19"/>
      <c r="AE153" s="19"/>
      <c r="AF153" s="19"/>
      <c r="AG153" s="24"/>
      <c r="AH153" s="25">
        <f t="shared" si="12"/>
        <v>42171</v>
      </c>
      <c r="AI153" s="24"/>
      <c r="AJ153" s="24"/>
      <c r="AK153" s="34"/>
      <c r="AL153" s="364"/>
      <c r="AM153" s="34"/>
    </row>
    <row r="154" spans="1:39" s="6" customFormat="1" ht="15" hidden="1" customHeight="1" outlineLevel="2" x14ac:dyDescent="0.2">
      <c r="A154" s="85"/>
      <c r="B154" s="539" t="str">
        <f t="shared" si="9"/>
        <v>NOTICE.AD7None</v>
      </c>
      <c r="C154" s="696">
        <v>7</v>
      </c>
      <c r="D154" s="1048" t="s">
        <v>342</v>
      </c>
      <c r="E154" s="1049"/>
      <c r="F154" s="1049"/>
      <c r="G154" s="1050"/>
      <c r="H154" s="548">
        <f t="shared" si="8"/>
        <v>42171</v>
      </c>
      <c r="I154" s="532"/>
      <c r="J154"/>
      <c r="K154"/>
      <c r="L154"/>
      <c r="M154"/>
      <c r="N154"/>
      <c r="O154"/>
      <c r="P154"/>
      <c r="Q154"/>
      <c r="R154"/>
      <c r="S154"/>
      <c r="T154"/>
      <c r="U154"/>
      <c r="X154"/>
      <c r="Y154" s="960"/>
      <c r="AB154" s="934" t="str">
        <f t="shared" si="10"/>
        <v>NOTICE.AD7None</v>
      </c>
      <c r="AC154" s="232">
        <f t="shared" si="11"/>
        <v>1</v>
      </c>
      <c r="AD154" s="19"/>
      <c r="AE154" s="19"/>
      <c r="AF154" s="19"/>
      <c r="AG154" s="24"/>
      <c r="AH154" s="25">
        <f t="shared" si="12"/>
        <v>42171</v>
      </c>
      <c r="AI154" s="24"/>
      <c r="AJ154" s="24"/>
      <c r="AK154" s="34"/>
      <c r="AL154" s="364"/>
      <c r="AM154" s="34"/>
    </row>
    <row r="155" spans="1:39" s="6" customFormat="1" ht="15" hidden="1" customHeight="1" outlineLevel="2" thickBot="1" x14ac:dyDescent="0.25">
      <c r="A155" s="85"/>
      <c r="B155" s="539" t="str">
        <f t="shared" si="9"/>
        <v>NOTICE.AD8None</v>
      </c>
      <c r="C155" s="697">
        <v>8</v>
      </c>
      <c r="D155" s="1078" t="s">
        <v>342</v>
      </c>
      <c r="E155" s="1078"/>
      <c r="F155" s="1078"/>
      <c r="G155" s="1079"/>
      <c r="H155" s="549">
        <f t="shared" si="8"/>
        <v>42171</v>
      </c>
      <c r="I155" s="532"/>
      <c r="J155"/>
      <c r="K155"/>
      <c r="L155"/>
      <c r="M155"/>
      <c r="N155"/>
      <c r="O155"/>
      <c r="P155"/>
      <c r="Q155"/>
      <c r="R155"/>
      <c r="S155"/>
      <c r="T155"/>
      <c r="U155"/>
      <c r="X155"/>
      <c r="Y155" s="960"/>
      <c r="AB155" s="934" t="str">
        <f t="shared" si="10"/>
        <v>NOTICE.AD8None</v>
      </c>
      <c r="AC155" s="232">
        <f t="shared" si="11"/>
        <v>1</v>
      </c>
      <c r="AD155" s="19"/>
      <c r="AE155" s="19"/>
      <c r="AF155" s="19"/>
      <c r="AG155" s="24"/>
      <c r="AH155" s="25">
        <f t="shared" si="12"/>
        <v>42171</v>
      </c>
      <c r="AI155" s="24"/>
      <c r="AJ155" s="24"/>
      <c r="AK155" s="34"/>
      <c r="AL155" s="364"/>
      <c r="AM155" s="34"/>
    </row>
    <row r="156" spans="1:39" s="6" customFormat="1" ht="9.75" hidden="1" customHeight="1" outlineLevel="2" thickTop="1" x14ac:dyDescent="0.2">
      <c r="A156" s="85"/>
      <c r="B156" s="127"/>
      <c r="C156" s="540"/>
      <c r="D156" s="698"/>
      <c r="E156" s="698"/>
      <c r="F156" s="698"/>
      <c r="G156" s="698"/>
      <c r="H156" s="695"/>
      <c r="I156" s="532"/>
      <c r="Y156" s="960"/>
      <c r="AB156" s="944"/>
      <c r="AC156" s="232" t="s">
        <v>0</v>
      </c>
      <c r="AD156" s="19"/>
      <c r="AE156" s="19"/>
      <c r="AF156" s="19"/>
      <c r="AG156" s="24"/>
      <c r="AH156" s="25"/>
      <c r="AI156" s="24"/>
      <c r="AJ156" s="24"/>
      <c r="AK156" s="34"/>
      <c r="AL156" s="364"/>
      <c r="AM156" s="34"/>
    </row>
    <row r="157" spans="1:39" s="6" customFormat="1" ht="15" hidden="1" customHeight="1" outlineLevel="2" x14ac:dyDescent="0.2">
      <c r="A157" s="85" t="s">
        <v>0</v>
      </c>
      <c r="B157" s="136" t="s">
        <v>328</v>
      </c>
      <c r="C157" s="735" t="str">
        <f>HYPERLINK("\\deqhq1\Rule_Resources\i\AD.STANDARD.docx","e")</f>
        <v>e</v>
      </c>
      <c r="D157" s="165"/>
      <c r="E157" s="536"/>
      <c r="F157"/>
      <c r="G157"/>
      <c r="H157"/>
      <c r="I157" s="532"/>
      <c r="J157"/>
      <c r="K157"/>
      <c r="L157"/>
      <c r="M157"/>
      <c r="N157"/>
      <c r="O157"/>
      <c r="P157"/>
      <c r="Q157"/>
      <c r="R157"/>
      <c r="S157"/>
      <c r="T157"/>
      <c r="U157"/>
      <c r="X157"/>
      <c r="Y157" s="960"/>
      <c r="AB157" s="944" t="s">
        <v>0</v>
      </c>
      <c r="AC157" s="232">
        <f t="shared" ref="AC157:AC162" si="13">IF(AND(S.Notice.Involved="Y",S.Notice.AD.Involved="Y"),1,0)</f>
        <v>1</v>
      </c>
      <c r="AD157" s="19"/>
      <c r="AE157" s="19"/>
      <c r="AF157" s="19"/>
      <c r="AG157" s="24"/>
      <c r="AH157" s="24"/>
      <c r="AI157" s="24"/>
      <c r="AJ157" s="24"/>
      <c r="AK157" s="34"/>
      <c r="AL157" s="364"/>
      <c r="AM157" s="34"/>
    </row>
    <row r="158" spans="1:39" s="6" customFormat="1" ht="15" hidden="1" customHeight="1" outlineLevel="2" x14ac:dyDescent="0.2">
      <c r="A158" s="85" t="s">
        <v>0</v>
      </c>
      <c r="B158" s="136" t="s">
        <v>329</v>
      </c>
      <c r="C158" s="735" t="str">
        <f>HYPERLINK("\\deqhq1\Rule_Resources\i\AD.LEGAL.docx","t")</f>
        <v>t</v>
      </c>
      <c r="D158" s="165"/>
      <c r="E158" s="536"/>
      <c r="F158"/>
      <c r="G158" s="13"/>
      <c r="H158"/>
      <c r="I158" s="532"/>
      <c r="J158"/>
      <c r="K158"/>
      <c r="L158"/>
      <c r="M158"/>
      <c r="N158"/>
      <c r="O158"/>
      <c r="P158"/>
      <c r="Q158"/>
      <c r="R158"/>
      <c r="S158"/>
      <c r="T158"/>
      <c r="U158"/>
      <c r="X158"/>
      <c r="Y158" s="960"/>
      <c r="AB158" s="944"/>
      <c r="AC158" s="232">
        <f t="shared" si="13"/>
        <v>1</v>
      </c>
      <c r="AD158" s="19"/>
      <c r="AE158" s="19"/>
      <c r="AF158" s="19"/>
      <c r="AG158" s="24"/>
      <c r="AH158" s="24"/>
      <c r="AI158" s="24"/>
      <c r="AJ158" s="24"/>
      <c r="AK158" s="34"/>
      <c r="AL158" s="364"/>
      <c r="AM158" s="34"/>
    </row>
    <row r="159" spans="1:39" s="6" customFormat="1" ht="15" hidden="1" customHeight="1" outlineLevel="2" x14ac:dyDescent="0.2">
      <c r="A159" s="85" t="s">
        <v>0</v>
      </c>
      <c r="B159" s="136" t="s">
        <v>330</v>
      </c>
      <c r="C159" s="353"/>
      <c r="D159" s="165"/>
      <c r="E159" s="536"/>
      <c r="F159"/>
      <c r="G159" s="13"/>
      <c r="H159"/>
      <c r="I159" s="532"/>
      <c r="J159"/>
      <c r="K159"/>
      <c r="L159"/>
      <c r="M159"/>
      <c r="N159"/>
      <c r="O159"/>
      <c r="P159"/>
      <c r="Q159"/>
      <c r="R159"/>
      <c r="S159"/>
      <c r="T159"/>
      <c r="U159"/>
      <c r="X159"/>
      <c r="Y159" s="960"/>
      <c r="AB159" s="944"/>
      <c r="AC159" s="232">
        <f t="shared" si="13"/>
        <v>1</v>
      </c>
      <c r="AD159" s="19"/>
      <c r="AE159" s="19"/>
      <c r="AF159" s="19"/>
      <c r="AG159" s="24"/>
      <c r="AH159" s="24"/>
      <c r="AI159" s="24"/>
      <c r="AJ159" s="24"/>
      <c r="AK159" s="34"/>
      <c r="AL159" s="364"/>
      <c r="AM159" s="34"/>
    </row>
    <row r="160" spans="1:39" s="6" customFormat="1" ht="15" hidden="1" customHeight="1" outlineLevel="2" x14ac:dyDescent="0.2">
      <c r="A160" s="85"/>
      <c r="B160" s="136" t="s">
        <v>331</v>
      </c>
      <c r="C160" s="1052" t="s">
        <v>517</v>
      </c>
      <c r="D160" s="1052"/>
      <c r="E160" s="1052"/>
      <c r="F160" s="1052"/>
      <c r="G160" s="1053"/>
      <c r="H160" s="140">
        <f t="shared" si="8"/>
        <v>42191</v>
      </c>
      <c r="I160" s="532"/>
      <c r="J160"/>
      <c r="K160"/>
      <c r="L160"/>
      <c r="M160"/>
      <c r="N160"/>
      <c r="O160"/>
      <c r="P160"/>
      <c r="Q160"/>
      <c r="R160"/>
      <c r="S160"/>
      <c r="T160"/>
      <c r="U160"/>
      <c r="X160"/>
      <c r="Y160" s="960"/>
      <c r="AB160" s="945"/>
      <c r="AC160" s="232">
        <f t="shared" si="13"/>
        <v>1</v>
      </c>
      <c r="AD160" s="19"/>
      <c r="AE160" s="19"/>
      <c r="AF160" s="19"/>
      <c r="AG160" s="19"/>
      <c r="AH160" s="25">
        <f>IF(AC160=0,,IF(S.Notice.AD.Involved="N",,WORKDAY(S.Hearing.1stDate-9,-1,S.DDL_DEQClosed)))</f>
        <v>42191</v>
      </c>
      <c r="AI160" s="24"/>
      <c r="AJ160" s="24"/>
      <c r="AK160" s="34"/>
      <c r="AL160" s="364"/>
      <c r="AM160" s="34"/>
    </row>
    <row r="161" spans="1:39" s="6" customFormat="1" ht="15" hidden="1" customHeight="1" outlineLevel="2" x14ac:dyDescent="0.2">
      <c r="A161" s="85" t="s">
        <v>0</v>
      </c>
      <c r="B161" s="538" t="str">
        <f>AB161</f>
        <v>* shares contents of HearingAndAdDates TAB with ProgMgr</v>
      </c>
      <c r="C161" s="331" t="s">
        <v>24</v>
      </c>
      <c r="D161" s="228" t="s">
        <v>0</v>
      </c>
      <c r="E161" s="536"/>
      <c r="F161"/>
      <c r="G161" s="111">
        <f ca="1">AG161</f>
        <v>42009</v>
      </c>
      <c r="H161" s="140">
        <f t="shared" si="8"/>
        <v>42171</v>
      </c>
      <c r="I161" s="532"/>
      <c r="J161"/>
      <c r="K161"/>
      <c r="L161"/>
      <c r="M161"/>
      <c r="N161"/>
      <c r="O161"/>
      <c r="P161"/>
      <c r="Q161"/>
      <c r="R161"/>
      <c r="S161"/>
      <c r="T161"/>
      <c r="U161"/>
      <c r="X161"/>
      <c r="Y161" s="960"/>
      <c r="AB161" s="934" t="str">
        <f>"* shares contents of HearingAndAdDates TAB with "&amp;S.Staff.Program.Mgr.FirstName</f>
        <v>* shares contents of HearingAndAdDates TAB with ProgMgr</v>
      </c>
      <c r="AC161" s="232">
        <f t="shared" si="13"/>
        <v>1</v>
      </c>
      <c r="AD161" s="19"/>
      <c r="AE161" s="19"/>
      <c r="AF161" s="19"/>
      <c r="AG161" s="25">
        <f ca="1">S.Planning.AddConceptToPlanDate</f>
        <v>42009</v>
      </c>
      <c r="AH161" s="25">
        <f>IF(AC161=0,,IF(S.Notice.AD.Involved="N",,S.Notice.OpenComment))</f>
        <v>42171</v>
      </c>
      <c r="AI161" s="24" t="s">
        <v>0</v>
      </c>
      <c r="AJ161" s="24"/>
      <c r="AK161" s="34"/>
      <c r="AL161" s="364"/>
      <c r="AM161" s="34"/>
    </row>
    <row r="162" spans="1:39" s="6" customFormat="1" ht="15" hidden="1" customHeight="1" outlineLevel="2" x14ac:dyDescent="0.2">
      <c r="A162" s="85" t="s">
        <v>0</v>
      </c>
      <c r="B162" s="538" t="str">
        <f>AB162</f>
        <v>* obtains ProgMgr's email approval</v>
      </c>
      <c r="C162" s="164"/>
      <c r="D162" s="165" t="s">
        <v>0</v>
      </c>
      <c r="E162" s="536"/>
      <c r="F162"/>
      <c r="G162" s="111">
        <f ca="1">AG162</f>
        <v>42009</v>
      </c>
      <c r="H162" s="140">
        <f t="shared" si="8"/>
        <v>42171</v>
      </c>
      <c r="I162" s="532"/>
      <c r="J162"/>
      <c r="K162"/>
      <c r="L162"/>
      <c r="M162"/>
      <c r="N162"/>
      <c r="O162"/>
      <c r="P162"/>
      <c r="Q162"/>
      <c r="R162"/>
      <c r="S162"/>
      <c r="T162"/>
      <c r="U162"/>
      <c r="X162"/>
      <c r="Y162" s="960"/>
      <c r="AB162" s="934" t="str">
        <f>"* obtains "&amp;S.Staff.Program.Mgr.FirstName&amp;"'s email approval"</f>
        <v>* obtains ProgMgr's email approval</v>
      </c>
      <c r="AC162" s="232">
        <f t="shared" si="13"/>
        <v>1</v>
      </c>
      <c r="AD162" s="19"/>
      <c r="AE162" s="19"/>
      <c r="AF162" s="19"/>
      <c r="AG162" s="25">
        <f ca="1">S.Planning.AddConceptToPlanDate</f>
        <v>42009</v>
      </c>
      <c r="AH162" s="25">
        <f>IF(AC162=0,,IF(S.Notice.AD.Involved="N",,S.Notice.OpenComment))</f>
        <v>42171</v>
      </c>
      <c r="AI162" s="24"/>
      <c r="AJ162" s="24"/>
      <c r="AK162" s="34"/>
      <c r="AL162" s="364"/>
      <c r="AM162" s="34"/>
    </row>
    <row r="163" spans="1:39" s="6" customFormat="1" ht="13.5" hidden="1" customHeight="1" outlineLevel="1" collapsed="1" x14ac:dyDescent="0.2">
      <c r="A163" s="85"/>
      <c r="B163" s="208"/>
      <c r="C163" s="208"/>
      <c r="D163" s="487"/>
      <c r="E163" s="487"/>
      <c r="F163" s="567"/>
      <c r="G163" s="168"/>
      <c r="H163" s="210"/>
      <c r="I163" s="12"/>
      <c r="Y163" s="960"/>
      <c r="AB163" s="933"/>
      <c r="AC163" s="232" t="s">
        <v>0</v>
      </c>
      <c r="AD163" s="19"/>
      <c r="AE163" s="19"/>
      <c r="AF163" s="19"/>
      <c r="AG163" s="35"/>
      <c r="AH163" s="35"/>
      <c r="AI163" s="61" t="s">
        <v>86</v>
      </c>
      <c r="AJ163" s="221"/>
      <c r="AK163" s="34"/>
      <c r="AL163" s="364"/>
      <c r="AM163" s="34"/>
    </row>
    <row r="164" spans="1:39" s="6" customFormat="1" ht="20.25" hidden="1" customHeight="1" outlineLevel="1" x14ac:dyDescent="0.2">
      <c r="A164" s="85"/>
      <c r="B164" s="334" t="s">
        <v>319</v>
      </c>
      <c r="C164" s="38"/>
      <c r="D164" s="486"/>
      <c r="E164" s="486"/>
      <c r="F164" s="39"/>
      <c r="G164" s="38"/>
      <c r="H164" s="38"/>
      <c r="I164" s="532"/>
      <c r="Y164" s="960"/>
      <c r="AB164" s="929"/>
      <c r="AC164" s="232">
        <f>IF(S.Hearing.1stInvolve="Y",1,0)</f>
        <v>1</v>
      </c>
      <c r="AD164" s="19"/>
      <c r="AE164" s="19"/>
      <c r="AF164" s="19"/>
      <c r="AG164" s="18"/>
      <c r="AH164" s="18"/>
      <c r="AI164" s="31"/>
      <c r="AJ164" s="31"/>
      <c r="AK164" s="34"/>
      <c r="AL164" s="364"/>
      <c r="AM164" s="34"/>
    </row>
    <row r="165" spans="1:39" s="6" customFormat="1" ht="13.5" hidden="1" customHeight="1" outlineLevel="2" thickBot="1" x14ac:dyDescent="0.25">
      <c r="A165" s="85"/>
      <c r="C165" s="360"/>
      <c r="D165" s="1047" t="s">
        <v>325</v>
      </c>
      <c r="E165" s="1047"/>
      <c r="F165" s="1047"/>
      <c r="G165" s="1047"/>
      <c r="H165" s="1047"/>
      <c r="I165" s="532"/>
      <c r="Y165" s="960"/>
      <c r="AB165" s="932" t="str">
        <f>IF(S.Hearing.1stInvolve="Y","Team identifies hearing locations, dates and times","No hearings planned")</f>
        <v>Team identifies hearing locations, dates and times</v>
      </c>
      <c r="AC165" s="232">
        <f>$AC$164</f>
        <v>1</v>
      </c>
      <c r="AD165" s="19"/>
      <c r="AE165" s="19"/>
      <c r="AF165" s="19"/>
      <c r="AG165" s="24"/>
      <c r="AH165" s="24"/>
      <c r="AI165" s="24"/>
      <c r="AJ165" s="24"/>
      <c r="AK165" s="34"/>
      <c r="AL165" s="364"/>
      <c r="AM165" s="34"/>
    </row>
    <row r="166" spans="1:39" s="12" customFormat="1" ht="13.5" hidden="1" customHeight="1" outlineLevel="2" thickTop="1" thickBot="1" x14ac:dyDescent="0.25">
      <c r="A166" s="531"/>
      <c r="B166" s="150" t="str">
        <f>AB165</f>
        <v>Team identifies hearing locations, dates and times</v>
      </c>
      <c r="C166" s="544"/>
      <c r="D166" s="1071" t="s">
        <v>324</v>
      </c>
      <c r="E166" s="1072"/>
      <c r="F166" s="1072"/>
      <c r="G166" s="535" t="s">
        <v>315</v>
      </c>
      <c r="H166" s="545" t="s">
        <v>316</v>
      </c>
      <c r="I166" s="532"/>
      <c r="AB166" s="946" t="str">
        <f>IF(S.Hearing.1stInvolve="Y",S.Staff.Support&amp;" enters hearings locations, dates and times:","No hearings planned")</f>
        <v>Technical Lead enters hearings locations, dates and times:</v>
      </c>
      <c r="AC166" s="232">
        <f>IF(S.Hearing.1stInvolve="Y",1,0)</f>
        <v>1</v>
      </c>
      <c r="AD166" s="977"/>
      <c r="AE166" s="977"/>
      <c r="AF166" s="977"/>
      <c r="AG166" s="533"/>
      <c r="AH166" s="533"/>
      <c r="AI166" s="533"/>
      <c r="AJ166" s="533"/>
      <c r="AK166" s="454"/>
      <c r="AL166" s="987"/>
      <c r="AM166" s="454"/>
    </row>
    <row r="167" spans="1:39" s="6" customFormat="1" ht="13.5" hidden="1" customHeight="1" outlineLevel="2" thickTop="1" x14ac:dyDescent="0.2">
      <c r="A167" s="85"/>
      <c r="B167" s="1009" t="s">
        <v>301</v>
      </c>
      <c r="C167" s="691" t="s">
        <v>12</v>
      </c>
      <c r="D167" s="1035">
        <v>1</v>
      </c>
      <c r="E167" s="1036"/>
      <c r="F167" s="1036"/>
      <c r="G167" s="138">
        <f t="shared" ref="G167:G175" si="14">AG167</f>
        <v>42201</v>
      </c>
      <c r="H167" s="542" t="s">
        <v>135</v>
      </c>
      <c r="I167" s="1008"/>
      <c r="J167" s="353"/>
      <c r="K167" s="353"/>
      <c r="L167" s="353"/>
      <c r="M167" s="353"/>
      <c r="N167" s="353"/>
      <c r="O167" s="353"/>
      <c r="P167" s="353"/>
      <c r="Q167" s="353"/>
      <c r="R167" s="353"/>
      <c r="S167" s="353"/>
      <c r="T167" s="353"/>
      <c r="U167" s="353"/>
      <c r="V167" s="353"/>
      <c r="W167" s="353"/>
      <c r="X167" s="353"/>
      <c r="Y167" s="353"/>
      <c r="Z167" s="353"/>
      <c r="AA167" s="353"/>
      <c r="AB167" s="944"/>
      <c r="AC167" s="232">
        <f>IF(S.Hearing.1stInvolve="Y",1,0)</f>
        <v>1</v>
      </c>
      <c r="AD167" s="19"/>
      <c r="AE167" s="19"/>
      <c r="AF167" s="19"/>
      <c r="AG167" s="25">
        <f>S.Hearing.1stDate</f>
        <v>42201</v>
      </c>
      <c r="AH167" s="254" t="s">
        <v>29</v>
      </c>
      <c r="AI167" s="9"/>
      <c r="AJ167" s="15"/>
      <c r="AK167" s="34"/>
      <c r="AL167" s="364"/>
      <c r="AM167" s="34"/>
    </row>
    <row r="168" spans="1:39" s="6" customFormat="1" ht="13.5" hidden="1" customHeight="1" outlineLevel="3" x14ac:dyDescent="0.2">
      <c r="A168" s="85"/>
      <c r="B168" s="1009" t="str">
        <f t="shared" ref="B168:B174" si="15">"Enter city name"</f>
        <v>Enter city name</v>
      </c>
      <c r="C168" s="692" t="s">
        <v>77</v>
      </c>
      <c r="D168" s="1035">
        <v>2</v>
      </c>
      <c r="E168" s="1036"/>
      <c r="F168" s="1036"/>
      <c r="G168" s="138">
        <f t="shared" si="14"/>
        <v>0</v>
      </c>
      <c r="H168" s="542" t="str">
        <f t="shared" ref="H168:H174" si="16">AH168</f>
        <v>6 p.m.</v>
      </c>
      <c r="I168" s="1008"/>
      <c r="J168" s="353"/>
      <c r="K168" s="353"/>
      <c r="L168" s="353"/>
      <c r="M168" s="353"/>
      <c r="N168" s="353"/>
      <c r="O168" s="353"/>
      <c r="P168" s="353"/>
      <c r="Q168" s="353"/>
      <c r="R168" s="353"/>
      <c r="S168" s="353"/>
      <c r="T168" s="353"/>
      <c r="U168" s="353"/>
      <c r="V168" s="353"/>
      <c r="W168" s="353"/>
      <c r="X168" s="353"/>
      <c r="Y168" s="353"/>
      <c r="Z168" s="353"/>
      <c r="AA168" s="353"/>
      <c r="AB168" s="752"/>
      <c r="AC168" s="232">
        <f>IF(AND(S.Hearing.2ndInvolve="Y",S.Hearing.1stInvolve="Y"),1,)</f>
        <v>0</v>
      </c>
      <c r="AD168" s="19"/>
      <c r="AE168" s="19"/>
      <c r="AF168" s="19"/>
      <c r="AG168" s="25">
        <f>IF(S.Hearing.2ndInvolve="N",,S.Hearing.1stDate)</f>
        <v>0</v>
      </c>
      <c r="AH168" s="25" t="str">
        <f>H167</f>
        <v>6 p.m.</v>
      </c>
      <c r="AI168" s="24"/>
      <c r="AJ168" s="24"/>
      <c r="AK168" s="34"/>
      <c r="AL168" s="364"/>
      <c r="AM168" s="34"/>
    </row>
    <row r="169" spans="1:39" s="6" customFormat="1" ht="13.5" hidden="1" customHeight="1" outlineLevel="3" x14ac:dyDescent="0.2">
      <c r="A169" s="85"/>
      <c r="B169" s="1009" t="str">
        <f t="shared" si="15"/>
        <v>Enter city name</v>
      </c>
      <c r="C169" s="692" t="s">
        <v>77</v>
      </c>
      <c r="D169" s="1035">
        <v>3</v>
      </c>
      <c r="E169" s="1036"/>
      <c r="F169" s="1036" t="s">
        <v>0</v>
      </c>
      <c r="G169" s="138">
        <f t="shared" si="14"/>
        <v>0</v>
      </c>
      <c r="H169" s="542" t="str">
        <f t="shared" si="16"/>
        <v>6 p.m.</v>
      </c>
      <c r="I169" s="1008"/>
      <c r="J169" s="353"/>
      <c r="K169" s="353"/>
      <c r="L169" s="353"/>
      <c r="M169" s="353"/>
      <c r="N169" s="353"/>
      <c r="O169" s="353"/>
      <c r="P169" s="353"/>
      <c r="Q169" s="353"/>
      <c r="R169" s="353"/>
      <c r="S169" s="353"/>
      <c r="T169" s="353"/>
      <c r="U169" s="353"/>
      <c r="V169" s="353"/>
      <c r="W169" s="353"/>
      <c r="X169" s="353"/>
      <c r="Y169" s="353"/>
      <c r="Z169" s="353"/>
      <c r="AA169" s="353"/>
      <c r="AB169" s="947"/>
      <c r="AC169" s="232">
        <f>IF(AND(S.Hearing.3rdInvolve="Y",S.Hearing.1stInvolve="Y"),1,)</f>
        <v>0</v>
      </c>
      <c r="AD169" s="19"/>
      <c r="AE169" s="19"/>
      <c r="AF169" s="19"/>
      <c r="AG169" s="25">
        <f>IF(S.Hearing.3rdInvolve="N",,S.Hearing.2ndDate)</f>
        <v>0</v>
      </c>
      <c r="AH169" s="25" t="str">
        <f>H167</f>
        <v>6 p.m.</v>
      </c>
      <c r="AI169" s="24"/>
      <c r="AJ169" s="16"/>
      <c r="AK169" s="34"/>
      <c r="AL169" s="364"/>
      <c r="AM169" s="34"/>
    </row>
    <row r="170" spans="1:39" s="6" customFormat="1" ht="13.5" hidden="1" customHeight="1" outlineLevel="3" x14ac:dyDescent="0.2">
      <c r="A170" s="85"/>
      <c r="B170" s="1009" t="str">
        <f t="shared" si="15"/>
        <v>Enter city name</v>
      </c>
      <c r="C170" s="693" t="s">
        <v>77</v>
      </c>
      <c r="D170" s="1035">
        <v>4</v>
      </c>
      <c r="E170" s="1036"/>
      <c r="F170" s="1036" t="s">
        <v>0</v>
      </c>
      <c r="G170" s="138">
        <f t="shared" si="14"/>
        <v>0</v>
      </c>
      <c r="H170" s="542" t="str">
        <f t="shared" si="16"/>
        <v>6 p.m.</v>
      </c>
      <c r="I170" s="1008"/>
      <c r="J170" s="353"/>
      <c r="K170" s="353"/>
      <c r="L170" s="353"/>
      <c r="M170" s="353"/>
      <c r="N170" s="353"/>
      <c r="O170" s="353"/>
      <c r="P170" s="353"/>
      <c r="Q170" s="353"/>
      <c r="R170" s="353"/>
      <c r="S170" s="353"/>
      <c r="T170" s="353"/>
      <c r="U170" s="353"/>
      <c r="V170" s="353"/>
      <c r="W170" s="353"/>
      <c r="X170" s="353"/>
      <c r="Y170" s="353"/>
      <c r="Z170" s="353"/>
      <c r="AA170" s="353"/>
      <c r="AB170" s="947"/>
      <c r="AC170" s="232">
        <f>IF(AND(S.Hearing.4thInvolve="Y",S.Hearing.1stInvolve="Y"),1,)</f>
        <v>0</v>
      </c>
      <c r="AD170" s="19"/>
      <c r="AE170" s="19"/>
      <c r="AF170" s="19"/>
      <c r="AG170" s="25">
        <f>IF(S.Hearing.4thInvolve="N",,S.Hearing.3rdDate)</f>
        <v>0</v>
      </c>
      <c r="AH170" s="25" t="str">
        <f>H167</f>
        <v>6 p.m.</v>
      </c>
      <c r="AI170" s="24"/>
      <c r="AJ170" s="16"/>
      <c r="AK170" s="34"/>
      <c r="AL170" s="364"/>
      <c r="AM170" s="34"/>
    </row>
    <row r="171" spans="1:39" s="6" customFormat="1" ht="13.5" hidden="1" customHeight="1" outlineLevel="3" x14ac:dyDescent="0.2">
      <c r="A171" s="85"/>
      <c r="B171" s="1009" t="str">
        <f t="shared" si="15"/>
        <v>Enter city name</v>
      </c>
      <c r="C171" s="692" t="s">
        <v>77</v>
      </c>
      <c r="D171" s="1035">
        <v>5</v>
      </c>
      <c r="E171" s="1036"/>
      <c r="F171" s="1036" t="s">
        <v>0</v>
      </c>
      <c r="G171" s="138">
        <f t="shared" si="14"/>
        <v>0</v>
      </c>
      <c r="H171" s="542" t="str">
        <f t="shared" si="16"/>
        <v>6 p.m.</v>
      </c>
      <c r="I171" s="1008"/>
      <c r="J171" s="353"/>
      <c r="K171" s="353"/>
      <c r="L171" s="353"/>
      <c r="M171" s="353"/>
      <c r="N171" s="353"/>
      <c r="O171" s="353"/>
      <c r="P171" s="353"/>
      <c r="Q171" s="353"/>
      <c r="R171" s="353"/>
      <c r="S171" s="353"/>
      <c r="T171" s="353"/>
      <c r="U171" s="353"/>
      <c r="V171" s="353"/>
      <c r="W171" s="353"/>
      <c r="X171" s="353"/>
      <c r="Y171" s="353"/>
      <c r="Z171" s="353"/>
      <c r="AA171" s="353"/>
      <c r="AB171" s="947"/>
      <c r="AC171" s="232">
        <f>IF(AND(S.Hearing.5thInvolve="Y",S.Hearing.1stInvolve="Y"),1,)</f>
        <v>0</v>
      </c>
      <c r="AD171" s="19"/>
      <c r="AE171" s="19"/>
      <c r="AF171" s="19"/>
      <c r="AG171" s="25">
        <f>IF(S.Hearing.5thInvolve="N",,S.Hearing.4thDate)</f>
        <v>0</v>
      </c>
      <c r="AH171" s="25" t="str">
        <f>H167</f>
        <v>6 p.m.</v>
      </c>
      <c r="AI171" s="24"/>
      <c r="AJ171" s="16"/>
      <c r="AK171" s="34"/>
      <c r="AL171" s="364"/>
      <c r="AM171" s="34"/>
    </row>
    <row r="172" spans="1:39" s="6" customFormat="1" ht="13.5" hidden="1" customHeight="1" outlineLevel="3" x14ac:dyDescent="0.2">
      <c r="A172" s="85"/>
      <c r="B172" s="1009" t="str">
        <f t="shared" si="15"/>
        <v>Enter city name</v>
      </c>
      <c r="C172" s="692" t="s">
        <v>77</v>
      </c>
      <c r="D172" s="1035">
        <v>6</v>
      </c>
      <c r="E172" s="1036"/>
      <c r="F172" s="1036" t="s">
        <v>0</v>
      </c>
      <c r="G172" s="138">
        <f t="shared" si="14"/>
        <v>0</v>
      </c>
      <c r="H172" s="542" t="str">
        <f t="shared" si="16"/>
        <v>6 p.m.</v>
      </c>
      <c r="I172" s="1008"/>
      <c r="J172" s="353"/>
      <c r="K172" s="353"/>
      <c r="L172" s="353"/>
      <c r="M172" s="353"/>
      <c r="N172" s="353"/>
      <c r="O172" s="353"/>
      <c r="P172" s="353"/>
      <c r="Q172" s="353"/>
      <c r="R172" s="353"/>
      <c r="S172" s="353"/>
      <c r="T172" s="353"/>
      <c r="U172" s="353"/>
      <c r="V172" s="353"/>
      <c r="W172" s="353"/>
      <c r="X172" s="353"/>
      <c r="Y172" s="353"/>
      <c r="Z172" s="353"/>
      <c r="AA172" s="353"/>
      <c r="AB172" s="947"/>
      <c r="AC172" s="232">
        <f>IF(AND(S.Hearing.6thInvolve="Y",S.Hearing.1stInvolve="Y"),1,)</f>
        <v>0</v>
      </c>
      <c r="AD172" s="19"/>
      <c r="AE172" s="19"/>
      <c r="AF172" s="19"/>
      <c r="AG172" s="25">
        <f>IF(S.Hearing.6thInvolve="N",,S.Hearing.5thDate)</f>
        <v>0</v>
      </c>
      <c r="AH172" s="25" t="str">
        <f>H167</f>
        <v>6 p.m.</v>
      </c>
      <c r="AI172" s="24"/>
      <c r="AJ172" s="16"/>
      <c r="AK172" s="34"/>
      <c r="AL172" s="364"/>
      <c r="AM172" s="34"/>
    </row>
    <row r="173" spans="1:39" s="6" customFormat="1" ht="13.5" hidden="1" customHeight="1" outlineLevel="3" x14ac:dyDescent="0.2">
      <c r="A173" s="85"/>
      <c r="B173" s="1009" t="str">
        <f t="shared" si="15"/>
        <v>Enter city name</v>
      </c>
      <c r="C173" s="692" t="s">
        <v>77</v>
      </c>
      <c r="D173" s="1035">
        <v>7</v>
      </c>
      <c r="E173" s="1036"/>
      <c r="F173" s="1036" t="s">
        <v>0</v>
      </c>
      <c r="G173" s="138">
        <f t="shared" si="14"/>
        <v>0</v>
      </c>
      <c r="H173" s="542" t="str">
        <f t="shared" si="16"/>
        <v>6 p.m.</v>
      </c>
      <c r="I173" s="1008"/>
      <c r="J173" s="353"/>
      <c r="K173" s="353"/>
      <c r="L173" s="353"/>
      <c r="M173" s="353"/>
      <c r="N173" s="353"/>
      <c r="O173" s="353"/>
      <c r="P173" s="353"/>
      <c r="Q173" s="353"/>
      <c r="R173" s="353"/>
      <c r="S173" s="353"/>
      <c r="T173" s="353"/>
      <c r="U173" s="353"/>
      <c r="V173" s="353"/>
      <c r="W173" s="353"/>
      <c r="X173" s="353"/>
      <c r="Y173" s="353"/>
      <c r="Z173" s="353"/>
      <c r="AA173" s="353"/>
      <c r="AB173" s="947"/>
      <c r="AC173" s="232">
        <f>IF(AND(S.Hearing.7thInvolve="Y",S.Hearing.1stInvolve="Y"),1,)</f>
        <v>0</v>
      </c>
      <c r="AD173" s="19"/>
      <c r="AE173" s="19"/>
      <c r="AF173" s="19"/>
      <c r="AG173" s="25">
        <f>IF(S.Hearing.7thInvolve="N",,S.Hearing.6thDate)</f>
        <v>0</v>
      </c>
      <c r="AH173" s="25" t="str">
        <f>H167</f>
        <v>6 p.m.</v>
      </c>
      <c r="AI173" s="24"/>
      <c r="AJ173" s="16"/>
      <c r="AK173" s="34"/>
      <c r="AL173" s="364"/>
      <c r="AM173" s="34"/>
    </row>
    <row r="174" spans="1:39" s="6" customFormat="1" ht="13.5" hidden="1" customHeight="1" outlineLevel="3" thickBot="1" x14ac:dyDescent="0.25">
      <c r="A174" s="85"/>
      <c r="B174" s="1009" t="str">
        <f t="shared" si="15"/>
        <v>Enter city name</v>
      </c>
      <c r="C174" s="694" t="s">
        <v>77</v>
      </c>
      <c r="D174" s="1035" t="s">
        <v>0</v>
      </c>
      <c r="E174" s="1036"/>
      <c r="F174" s="1036" t="s">
        <v>0</v>
      </c>
      <c r="G174" s="138">
        <f t="shared" si="14"/>
        <v>0</v>
      </c>
      <c r="H174" s="542" t="str">
        <f t="shared" si="16"/>
        <v>6 p.m.</v>
      </c>
      <c r="I174" s="1008"/>
      <c r="J174" s="353"/>
      <c r="K174" s="353"/>
      <c r="L174" s="353"/>
      <c r="M174" s="353"/>
      <c r="N174" s="353"/>
      <c r="O174" s="353"/>
      <c r="P174" s="353"/>
      <c r="Q174" s="353"/>
      <c r="R174" s="353"/>
      <c r="S174" s="353"/>
      <c r="T174" s="353"/>
      <c r="U174" s="353"/>
      <c r="V174" s="353"/>
      <c r="W174" s="353"/>
      <c r="X174" s="353"/>
      <c r="Y174" s="353"/>
      <c r="Z174" s="353"/>
      <c r="AA174" s="353"/>
      <c r="AB174" s="947"/>
      <c r="AC174" s="232">
        <f>IF(AND(S.Hearing.8thtInvolve="Y",S.Hearing.1stInvolve="Y"),1,0)</f>
        <v>0</v>
      </c>
      <c r="AD174" s="19"/>
      <c r="AE174" s="19"/>
      <c r="AF174" s="19"/>
      <c r="AG174" s="25">
        <f>IF(S.Hearing.8thtInvolve="N",,S.Hearing.7thDate)</f>
        <v>0</v>
      </c>
      <c r="AH174" s="25" t="str">
        <f>H167</f>
        <v>6 p.m.</v>
      </c>
      <c r="AI174" s="24"/>
      <c r="AJ174" s="16"/>
      <c r="AK174" s="34"/>
      <c r="AL174" s="364"/>
      <c r="AM174" s="34"/>
    </row>
    <row r="175" spans="1:39" s="6" customFormat="1" ht="13.5" hidden="1" customHeight="1" outlineLevel="2" collapsed="1" thickTop="1" thickBot="1" x14ac:dyDescent="0.25">
      <c r="A175" s="85"/>
      <c r="B175" s="525" t="s">
        <v>317</v>
      </c>
      <c r="C175" s="541"/>
      <c r="D175" s="547"/>
      <c r="E175" s="640"/>
      <c r="F175" s="584" t="s">
        <v>0</v>
      </c>
      <c r="G175" s="546">
        <f t="shared" si="14"/>
        <v>42201</v>
      </c>
      <c r="H175" s="543"/>
      <c r="I175" s="1008"/>
      <c r="J175" s="353"/>
      <c r="K175" s="353"/>
      <c r="L175" s="353"/>
      <c r="M175" s="353"/>
      <c r="N175" s="353"/>
      <c r="O175" s="353"/>
      <c r="P175" s="353"/>
      <c r="Q175" s="353"/>
      <c r="R175" s="353"/>
      <c r="S175" s="353"/>
      <c r="T175" s="353"/>
      <c r="U175" s="353"/>
      <c r="V175" s="353"/>
      <c r="W175" s="353"/>
      <c r="X175" s="353"/>
      <c r="Y175" s="353"/>
      <c r="Z175" s="353"/>
      <c r="AA175" s="353"/>
      <c r="AB175" s="947"/>
      <c r="AC175" s="232">
        <f>IF(S.Hearing.1stInvolve="Y",1,0)</f>
        <v>1</v>
      </c>
      <c r="AD175" s="19"/>
      <c r="AE175" s="19"/>
      <c r="AF175" s="19"/>
      <c r="AG175" s="25">
        <f>IF(AC175=0,,MAX(G167:G174))</f>
        <v>42201</v>
      </c>
      <c r="AH175" s="23"/>
      <c r="AI175" s="23"/>
      <c r="AJ175" s="16"/>
      <c r="AK175" s="34"/>
      <c r="AL175" s="364"/>
      <c r="AM175" s="34"/>
    </row>
    <row r="176" spans="1:39" s="6" customFormat="1" ht="14.25" hidden="1" customHeight="1" outlineLevel="2" thickTop="1" x14ac:dyDescent="0.2">
      <c r="A176" s="85"/>
      <c r="B176" s="525"/>
      <c r="C176" s="151"/>
      <c r="D176" s="151"/>
      <c r="E176" s="151"/>
      <c r="F176"/>
      <c r="G176" s="534"/>
      <c r="H176" s="526"/>
      <c r="I176" s="532"/>
      <c r="Y176" s="960"/>
      <c r="AB176" s="947"/>
      <c r="AC176" s="232">
        <f>$AC$164</f>
        <v>1</v>
      </c>
      <c r="AD176" s="19"/>
      <c r="AE176" s="19"/>
      <c r="AF176" s="19"/>
      <c r="AG176" s="25"/>
      <c r="AH176" s="23"/>
      <c r="AI176" s="23"/>
      <c r="AJ176" s="16"/>
      <c r="AK176" s="34"/>
      <c r="AL176" s="364"/>
      <c r="AM176" s="34"/>
    </row>
    <row r="177" spans="1:39" s="6" customFormat="1" ht="15" hidden="1" customHeight="1" outlineLevel="2" x14ac:dyDescent="0.2">
      <c r="A177" s="85"/>
      <c r="B177" s="136" t="str">
        <f>AB177</f>
        <v>Technical Lead reserves venues/equipment for hearings</v>
      </c>
      <c r="C177" s="356" t="s">
        <v>0</v>
      </c>
      <c r="D177" s="165"/>
      <c r="E177" s="536"/>
      <c r="F177"/>
      <c r="G177" s="140">
        <f ca="1">AG177</f>
        <v>42009</v>
      </c>
      <c r="H177" s="140">
        <f>AH177</f>
        <v>42201</v>
      </c>
      <c r="I177" s="532"/>
      <c r="J177"/>
      <c r="K177"/>
      <c r="L177"/>
      <c r="M177"/>
      <c r="N177"/>
      <c r="O177"/>
      <c r="P177"/>
      <c r="Q177"/>
      <c r="R177"/>
      <c r="S177"/>
      <c r="T177"/>
      <c r="U177"/>
      <c r="X177"/>
      <c r="Y177" s="960"/>
      <c r="AB177" s="934" t="str">
        <f>S.Staff.Support&amp;" reserves venues/equipment for hearings"</f>
        <v>Technical Lead reserves venues/equipment for hearings</v>
      </c>
      <c r="AC177" s="232">
        <f>$AC$164</f>
        <v>1</v>
      </c>
      <c r="AD177" s="19"/>
      <c r="AE177" s="19"/>
      <c r="AF177" s="19"/>
      <c r="AG177" s="25">
        <f ca="1">IF(AC177=0,,S.1Planning.BEGIN)</f>
        <v>42009</v>
      </c>
      <c r="AH177" s="25">
        <f>IF(AC177=0,,S.Notice.LastHearingDate)</f>
        <v>42201</v>
      </c>
      <c r="AI177" s="18"/>
      <c r="AJ177" s="16"/>
      <c r="AK177" s="34"/>
      <c r="AL177" s="364"/>
      <c r="AM177" s="34"/>
    </row>
    <row r="178" spans="1:39" ht="15" hidden="1" customHeight="1" outlineLevel="2" x14ac:dyDescent="0.2">
      <c r="A178" s="85"/>
      <c r="B178" s="136" t="str">
        <f>AB178</f>
        <v>RGLead adds hearings officer(s) on HearingAndAdDates TAB</v>
      </c>
      <c r="C178" s="537" t="s">
        <v>24</v>
      </c>
      <c r="D178" s="165"/>
      <c r="E178" s="536"/>
      <c r="F178"/>
      <c r="G178"/>
      <c r="H178"/>
      <c r="I178" s="532"/>
      <c r="AB178" s="934" t="str">
        <f>S.Staff.RG.Lead.FirstName&amp;" adds hearings officer(s) on HearingAndAdDates TAB"</f>
        <v>RGLead adds hearings officer(s) on HearingAndAdDates TAB</v>
      </c>
      <c r="AC178" s="232">
        <f>$AC$164</f>
        <v>1</v>
      </c>
      <c r="AD178" s="19"/>
      <c r="AE178" s="19"/>
      <c r="AF178" s="19"/>
      <c r="AG178" s="24"/>
      <c r="AH178" s="24"/>
      <c r="AI178" s="24"/>
      <c r="AJ178" s="24"/>
      <c r="AK178" s="34"/>
      <c r="AL178" s="364"/>
      <c r="AM178" s="34"/>
    </row>
    <row r="179" spans="1:39" s="6" customFormat="1" ht="13.5" hidden="1" customHeight="1" outlineLevel="1" collapsed="1" x14ac:dyDescent="0.2">
      <c r="A179" s="85"/>
      <c r="B179" s="525"/>
      <c r="C179" s="151"/>
      <c r="D179" s="151"/>
      <c r="E179" s="151"/>
      <c r="F179"/>
      <c r="G179"/>
      <c r="H179"/>
      <c r="I179" s="532"/>
      <c r="Y179" s="960"/>
      <c r="AB179" s="947"/>
      <c r="AC179" s="232" t="s">
        <v>0</v>
      </c>
      <c r="AD179" s="19"/>
      <c r="AE179" s="19"/>
      <c r="AF179" s="19"/>
      <c r="AG179" s="24"/>
      <c r="AH179" s="23"/>
      <c r="AI179" s="23"/>
      <c r="AJ179" s="16"/>
      <c r="AK179" s="34"/>
      <c r="AL179" s="364"/>
      <c r="AM179" s="34"/>
    </row>
    <row r="180" spans="1:39" s="6" customFormat="1" ht="13.5" hidden="1" customHeight="1" outlineLevel="1" x14ac:dyDescent="0.2">
      <c r="A180" s="85"/>
      <c r="B180" s="334" t="s">
        <v>326</v>
      </c>
      <c r="D180" s="499"/>
      <c r="E180" s="499"/>
      <c r="F180"/>
      <c r="I180" s="532"/>
      <c r="Y180" s="960"/>
      <c r="AB180" s="751"/>
      <c r="AC180" s="232">
        <f>IF(AND(S.Hearing.1stInvolve="Y",S.EQC.FacHearing="Y"),1,0)</f>
        <v>0</v>
      </c>
      <c r="AD180" s="19"/>
      <c r="AE180" s="19"/>
      <c r="AF180" s="19"/>
      <c r="AG180" s="24"/>
      <c r="AH180" s="24"/>
      <c r="AI180" s="24"/>
      <c r="AJ180" s="27"/>
      <c r="AK180" s="34"/>
      <c r="AL180" s="364"/>
      <c r="AM180" s="34"/>
    </row>
    <row r="181" spans="1:39" s="6" customFormat="1" ht="13.5" hidden="1" customHeight="1" outlineLevel="2" x14ac:dyDescent="0.25">
      <c r="A181" s="85"/>
      <c r="B181" s="136" t="str">
        <f>AB181</f>
        <v>ProgLead:</v>
      </c>
      <c r="C181" s="356" t="s">
        <v>0</v>
      </c>
      <c r="D181" s="500"/>
      <c r="E181" s="536"/>
      <c r="F181"/>
      <c r="G181" s="113"/>
      <c r="H181" s="114"/>
      <c r="I181" s="532"/>
      <c r="Y181" s="960"/>
      <c r="AB181" s="934" t="str">
        <f>S.Staff.Subject.Expert.FirstName&amp;":"</f>
        <v>ProgLead:</v>
      </c>
      <c r="AC181" s="232">
        <f t="shared" ref="AC181:AC188" si="17">IF(AND(S.Hearing.1stInvolve="Y",S.EQC.FacHearing="Y",C181="Y"),1,0)</f>
        <v>0</v>
      </c>
      <c r="AD181" s="19"/>
      <c r="AE181" s="19"/>
      <c r="AF181" s="19"/>
      <c r="AG181" s="23"/>
      <c r="AH181" s="23"/>
      <c r="AI181" s="18"/>
      <c r="AJ181" s="16"/>
      <c r="AK181" s="34"/>
      <c r="AL181" s="364"/>
      <c r="AM181" s="34"/>
    </row>
    <row r="182" spans="1:39" s="6" customFormat="1" ht="15.75" hidden="1" customHeight="1" outlineLevel="2" x14ac:dyDescent="0.25">
      <c r="A182" s="85"/>
      <c r="B182" s="200" t="s">
        <v>318</v>
      </c>
      <c r="C182" s="537" t="str">
        <f>HYPERLINK("http://www.oregonlaws.org/ors/192.630","i")</f>
        <v>i</v>
      </c>
      <c r="D182" s="165"/>
      <c r="E182" s="536"/>
      <c r="F182" s="112"/>
      <c r="G182" s="113"/>
      <c r="H182" s="114"/>
      <c r="I182" s="532"/>
      <c r="J182"/>
      <c r="K182"/>
      <c r="L182"/>
      <c r="M182"/>
      <c r="N182"/>
      <c r="O182"/>
      <c r="P182"/>
      <c r="Q182"/>
      <c r="R182"/>
      <c r="S182"/>
      <c r="T182"/>
      <c r="U182"/>
      <c r="X182"/>
      <c r="Y182" s="960"/>
      <c r="AB182" s="944"/>
      <c r="AC182" s="232">
        <f t="shared" si="17"/>
        <v>0</v>
      </c>
      <c r="AD182" s="19"/>
      <c r="AE182" s="19"/>
      <c r="AF182" s="19"/>
      <c r="AG182" s="23"/>
      <c r="AH182" s="23"/>
      <c r="AI182" s="24"/>
      <c r="AJ182" s="15"/>
      <c r="AK182" s="34"/>
      <c r="AL182" s="364"/>
      <c r="AM182" s="34"/>
    </row>
    <row r="183" spans="1:39" s="6" customFormat="1" ht="15.75" hidden="1" customHeight="1" outlineLevel="2" thickBot="1" x14ac:dyDescent="0.3">
      <c r="A183" s="85"/>
      <c r="B183" s="199" t="s">
        <v>322</v>
      </c>
      <c r="C183" s="117"/>
      <c r="D183" s="500"/>
      <c r="E183" s="500"/>
      <c r="F183" s="112"/>
      <c r="G183" s="113"/>
      <c r="H183" s="114"/>
      <c r="I183" s="532"/>
      <c r="J183"/>
      <c r="K183"/>
      <c r="L183"/>
      <c r="M183"/>
      <c r="N183"/>
      <c r="O183"/>
      <c r="P183"/>
      <c r="Q183"/>
      <c r="R183"/>
      <c r="S183"/>
      <c r="T183"/>
      <c r="U183"/>
      <c r="X183"/>
      <c r="Y183" s="960"/>
      <c r="AB183" s="944"/>
      <c r="AC183" s="232">
        <f t="shared" si="17"/>
        <v>0</v>
      </c>
      <c r="AD183" s="19"/>
      <c r="AE183" s="19"/>
      <c r="AF183" s="19"/>
      <c r="AG183" s="23"/>
      <c r="AH183" s="23"/>
      <c r="AI183" s="24"/>
      <c r="AJ183" s="15"/>
      <c r="AK183" s="34"/>
      <c r="AL183" s="364"/>
      <c r="AM183" s="34"/>
    </row>
    <row r="184" spans="1:39" s="6" customFormat="1" ht="15.75" hidden="1" customHeight="1" outlineLevel="2" thickBot="1" x14ac:dyDescent="0.3">
      <c r="A184" s="85"/>
      <c r="B184" s="527" t="s">
        <v>154</v>
      </c>
      <c r="C184" s="308" t="s">
        <v>77</v>
      </c>
      <c r="D184" s="500"/>
      <c r="E184" s="641"/>
      <c r="F184" s="1038" t="str">
        <f>AB186</f>
        <v/>
      </c>
      <c r="G184" s="1039"/>
      <c r="H184" s="140">
        <v>42324</v>
      </c>
      <c r="I184" s="532"/>
      <c r="J184"/>
      <c r="K184"/>
      <c r="L184"/>
      <c r="M184"/>
      <c r="N184"/>
      <c r="O184"/>
      <c r="P184"/>
      <c r="Q184"/>
      <c r="R184"/>
      <c r="S184"/>
      <c r="T184"/>
      <c r="U184"/>
      <c r="X184"/>
      <c r="Y184" s="960"/>
      <c r="AB184" s="944"/>
      <c r="AC184" s="232">
        <f t="shared" si="17"/>
        <v>0</v>
      </c>
      <c r="AD184" s="19"/>
      <c r="AE184" s="19"/>
      <c r="AF184" s="19"/>
      <c r="AG184" s="23" t="s">
        <v>706</v>
      </c>
      <c r="AH184" s="25">
        <f>IF(AC184=0,,IF(S.Notice.AD.Involved="N",,WORKDAY(MIN(S.Notice.OpenComment,S.Notice.SubmitToSOS),-2,S.DDL_DEQClosed)))</f>
        <v>0</v>
      </c>
      <c r="AI184" s="18"/>
      <c r="AJ184" s="16"/>
      <c r="AK184" s="34"/>
      <c r="AL184" s="364"/>
      <c r="AM184" s="34"/>
    </row>
    <row r="185" spans="1:39" s="6" customFormat="1" ht="15.75" hidden="1" customHeight="1" outlineLevel="2" thickBot="1" x14ac:dyDescent="0.3">
      <c r="A185" s="85"/>
      <c r="B185" s="527" t="s">
        <v>128</v>
      </c>
      <c r="C185" s="308" t="s">
        <v>77</v>
      </c>
      <c r="D185" s="500"/>
      <c r="E185" s="536"/>
      <c r="F185" s="1038"/>
      <c r="G185" s="1039"/>
      <c r="H185" s="140">
        <v>42324</v>
      </c>
      <c r="I185" s="532"/>
      <c r="J185"/>
      <c r="K185"/>
      <c r="L185"/>
      <c r="M185"/>
      <c r="N185"/>
      <c r="O185"/>
      <c r="P185"/>
      <c r="Q185"/>
      <c r="R185"/>
      <c r="S185"/>
      <c r="T185"/>
      <c r="U185"/>
      <c r="X185"/>
      <c r="Y185" s="960"/>
      <c r="AB185" s="944"/>
      <c r="AC185" s="232">
        <f t="shared" si="17"/>
        <v>0</v>
      </c>
      <c r="AD185" s="19"/>
      <c r="AE185" s="19"/>
      <c r="AF185" s="19"/>
      <c r="AG185" s="23" t="s">
        <v>706</v>
      </c>
      <c r="AH185" s="18"/>
      <c r="AI185" s="18"/>
      <c r="AJ185" s="16"/>
      <c r="AK185" s="34"/>
      <c r="AL185" s="364"/>
      <c r="AM185" s="34"/>
    </row>
    <row r="186" spans="1:39" s="6" customFormat="1" ht="15.75" hidden="1" customHeight="1" outlineLevel="2" thickBot="1" x14ac:dyDescent="0.3">
      <c r="A186" s="85"/>
      <c r="B186" s="527" t="s">
        <v>129</v>
      </c>
      <c r="C186" s="308" t="s">
        <v>77</v>
      </c>
      <c r="D186" s="500"/>
      <c r="E186" s="536"/>
      <c r="F186" s="1038"/>
      <c r="G186" s="1039"/>
      <c r="H186" s="140">
        <v>42324</v>
      </c>
      <c r="I186" s="532"/>
      <c r="J186"/>
      <c r="K186"/>
      <c r="L186"/>
      <c r="M186"/>
      <c r="N186"/>
      <c r="O186"/>
      <c r="P186"/>
      <c r="Q186"/>
      <c r="R186"/>
      <c r="S186"/>
      <c r="T186"/>
      <c r="U186"/>
      <c r="X186"/>
      <c r="Y186" s="960"/>
      <c r="AB186" s="934" t="str">
        <f>IF(SUM(AC184:AC188)&gt;2,"You may be convening an EQC quorum. Talk with "&amp;S.Staff.AgencyRulesCoordinator,"")</f>
        <v/>
      </c>
      <c r="AC186" s="232">
        <f t="shared" si="17"/>
        <v>0</v>
      </c>
      <c r="AD186" s="19"/>
      <c r="AE186" s="19"/>
      <c r="AF186" s="19"/>
      <c r="AG186" s="23" t="s">
        <v>706</v>
      </c>
      <c r="AH186" s="18"/>
      <c r="AI186" s="18"/>
      <c r="AJ186" s="16"/>
      <c r="AK186" s="34"/>
      <c r="AL186" s="364"/>
      <c r="AM186" s="34"/>
    </row>
    <row r="187" spans="1:39" s="6" customFormat="1" ht="15.75" hidden="1" customHeight="1" outlineLevel="2" thickBot="1" x14ac:dyDescent="0.3">
      <c r="A187" s="85"/>
      <c r="B187" s="527" t="s">
        <v>130</v>
      </c>
      <c r="C187" s="308" t="s">
        <v>77</v>
      </c>
      <c r="D187" s="500"/>
      <c r="E187" s="536"/>
      <c r="F187" s="1038"/>
      <c r="G187" s="1039"/>
      <c r="H187" s="140">
        <v>42324</v>
      </c>
      <c r="I187" s="532"/>
      <c r="J187"/>
      <c r="K187"/>
      <c r="L187"/>
      <c r="M187"/>
      <c r="N187"/>
      <c r="O187"/>
      <c r="P187"/>
      <c r="Q187"/>
      <c r="R187"/>
      <c r="S187"/>
      <c r="T187"/>
      <c r="U187"/>
      <c r="X187"/>
      <c r="Y187" s="960"/>
      <c r="AB187" s="944"/>
      <c r="AC187" s="232">
        <f t="shared" si="17"/>
        <v>0</v>
      </c>
      <c r="AD187" s="19"/>
      <c r="AE187" s="19"/>
      <c r="AF187" s="19"/>
      <c r="AG187" s="23" t="s">
        <v>706</v>
      </c>
      <c r="AH187" s="18"/>
      <c r="AI187" s="18"/>
      <c r="AJ187" s="16"/>
      <c r="AK187" s="34"/>
      <c r="AL187" s="364"/>
      <c r="AM187" s="34"/>
    </row>
    <row r="188" spans="1:39" s="6" customFormat="1" ht="15.75" hidden="1" customHeight="1" outlineLevel="2" thickBot="1" x14ac:dyDescent="0.3">
      <c r="A188" s="85"/>
      <c r="B188" s="528" t="s">
        <v>131</v>
      </c>
      <c r="C188" s="308" t="s">
        <v>77</v>
      </c>
      <c r="D188" s="500"/>
      <c r="E188" s="536"/>
      <c r="F188" s="1038"/>
      <c r="G188" s="1039"/>
      <c r="H188" s="140">
        <v>42324</v>
      </c>
      <c r="I188" s="532"/>
      <c r="Y188" s="960"/>
      <c r="AB188" s="944"/>
      <c r="AC188" s="232">
        <f t="shared" si="17"/>
        <v>0</v>
      </c>
      <c r="AD188" s="19"/>
      <c r="AE188" s="19"/>
      <c r="AF188" s="19"/>
      <c r="AG188" s="23" t="s">
        <v>706</v>
      </c>
      <c r="AH188" s="18"/>
      <c r="AI188" s="24"/>
      <c r="AJ188" s="16"/>
      <c r="AK188" s="34"/>
      <c r="AL188" s="364"/>
      <c r="AM188" s="34"/>
    </row>
    <row r="189" spans="1:39" s="6" customFormat="1" ht="13.5" hidden="1" customHeight="1" outlineLevel="1" collapsed="1" x14ac:dyDescent="0.2">
      <c r="A189" s="85"/>
      <c r="B189" s="208"/>
      <c r="C189" s="208"/>
      <c r="D189" s="487"/>
      <c r="E189" s="487"/>
      <c r="F189" s="567"/>
      <c r="G189" s="168"/>
      <c r="H189" s="210"/>
      <c r="I189" s="12"/>
      <c r="Y189" s="960"/>
      <c r="AB189" s="933"/>
      <c r="AC189" s="232" t="s">
        <v>0</v>
      </c>
      <c r="AD189" s="19"/>
      <c r="AE189" s="19"/>
      <c r="AF189" s="19"/>
      <c r="AG189" s="35"/>
      <c r="AH189" s="35"/>
      <c r="AI189" s="61" t="s">
        <v>86</v>
      </c>
      <c r="AJ189" s="221"/>
      <c r="AK189" s="34"/>
      <c r="AL189" s="364"/>
      <c r="AM189" s="34"/>
    </row>
    <row r="190" spans="1:39" s="6" customFormat="1" ht="12.75" hidden="1" customHeight="1" outlineLevel="2" x14ac:dyDescent="0.2">
      <c r="A190" s="85"/>
      <c r="B190" s="150" t="str">
        <f>AB190</f>
        <v>ProgLead gathers all planning emails for the Rule Record and saves as:</v>
      </c>
      <c r="C190" s="327" t="str">
        <f>HYPERLINK("\\deqhq1\Rule_Development\Currrent Plan","i")</f>
        <v>i</v>
      </c>
      <c r="D190" s="108"/>
      <c r="E190" s="642"/>
      <c r="F190"/>
      <c r="H190" s="111">
        <f>AH190</f>
        <v>0</v>
      </c>
      <c r="I190" s="532"/>
      <c r="J190"/>
      <c r="K190"/>
      <c r="L190"/>
      <c r="M190"/>
      <c r="N190"/>
      <c r="O190"/>
      <c r="P190"/>
      <c r="Q190"/>
      <c r="R190"/>
      <c r="S190"/>
      <c r="T190"/>
      <c r="U190"/>
      <c r="X190"/>
      <c r="Y190" s="960"/>
      <c r="AB190" s="934" t="str">
        <f>S.Staff.Subject.Expert.FirstName&amp;" gathers all planning emails for the Rule Record and saves as:"</f>
        <v>ProgLead gathers all planning emails for the Rule Record and saves as:</v>
      </c>
      <c r="AC190" s="232">
        <f>IF(S.Planning.DecisionToAddToPlan="A",1,0)</f>
        <v>1</v>
      </c>
      <c r="AD190" s="19"/>
      <c r="AE190" s="19"/>
      <c r="AF190" s="19"/>
      <c r="AG190" s="23"/>
      <c r="AH190" s="25">
        <f>S.1Planning.END</f>
        <v>0</v>
      </c>
      <c r="AI190" s="24"/>
      <c r="AJ190" s="24"/>
      <c r="AK190" s="34"/>
      <c r="AL190" s="364"/>
      <c r="AM190" s="34"/>
    </row>
    <row r="191" spans="1:39" s="6" customFormat="1" ht="12.75" hidden="1" customHeight="1" outlineLevel="2" x14ac:dyDescent="0.2">
      <c r="A191" s="85"/>
      <c r="B191" s="219" t="s">
        <v>51</v>
      </c>
      <c r="C191" s="51"/>
      <c r="D191" s="133"/>
      <c r="E191" s="133"/>
      <c r="F191"/>
      <c r="G191" s="80"/>
      <c r="H191" s="80"/>
      <c r="I191" s="532"/>
      <c r="J191"/>
      <c r="K191"/>
      <c r="L191"/>
      <c r="M191"/>
      <c r="N191"/>
      <c r="O191"/>
      <c r="P191"/>
      <c r="Q191"/>
      <c r="R191"/>
      <c r="S191"/>
      <c r="T191"/>
      <c r="U191"/>
      <c r="X191"/>
      <c r="Y191" s="960"/>
      <c r="AB191" s="926" t="s">
        <v>0</v>
      </c>
      <c r="AC191" s="232">
        <f>IF(S.Planning.DecisionToAddToPlan="A",1,0)</f>
        <v>1</v>
      </c>
      <c r="AD191" s="19"/>
      <c r="AE191" s="19"/>
      <c r="AF191" s="19"/>
      <c r="AG191" s="23"/>
      <c r="AH191" s="23"/>
      <c r="AI191" s="23"/>
      <c r="AJ191" s="16"/>
      <c r="AK191" s="34"/>
      <c r="AL191" s="364"/>
      <c r="AM191" s="34"/>
    </row>
    <row r="192" spans="1:39" ht="14.25" customHeight="1" collapsed="1" x14ac:dyDescent="0.2">
      <c r="AB192" s="948"/>
      <c r="AC192" s="232">
        <f>IF(S.Planning.DecisionToAddToPlan="A",1,0)</f>
        <v>1</v>
      </c>
      <c r="AD192" s="19"/>
      <c r="AE192" s="19"/>
      <c r="AF192" s="19"/>
      <c r="AG192" s="35"/>
      <c r="AH192" s="35"/>
      <c r="AI192" s="35"/>
      <c r="AJ192" s="35"/>
      <c r="AK192" s="34"/>
      <c r="AL192" s="364"/>
      <c r="AM192" s="34"/>
    </row>
    <row r="193" spans="1:39" s="765" customFormat="1" ht="20.25" customHeight="1" x14ac:dyDescent="0.3">
      <c r="A193" s="85"/>
      <c r="B193" s="882" t="s">
        <v>181</v>
      </c>
      <c r="C193" s="40"/>
      <c r="D193" s="98" t="s">
        <v>28</v>
      </c>
      <c r="E193" s="98"/>
      <c r="F193" s="583"/>
      <c r="G193" s="41" t="s">
        <v>0</v>
      </c>
      <c r="H193" s="41" t="s">
        <v>0</v>
      </c>
      <c r="I193" s="532"/>
      <c r="Y193" s="960"/>
      <c r="AB193" s="926" t="s">
        <v>0</v>
      </c>
      <c r="AC193" s="232" t="s">
        <v>0</v>
      </c>
      <c r="AD193" s="19"/>
      <c r="AE193" s="19"/>
      <c r="AF193" s="19"/>
      <c r="AG193" s="35"/>
      <c r="AH193" s="35"/>
      <c r="AI193" s="24"/>
      <c r="AJ193" s="30"/>
      <c r="AK193" s="34"/>
      <c r="AL193" s="364"/>
      <c r="AM193" s="34"/>
    </row>
    <row r="194" spans="1:39" s="244" customFormat="1" ht="14.1" hidden="1" customHeight="1" outlineLevel="1" x14ac:dyDescent="0.2">
      <c r="A194" s="241"/>
      <c r="B194" s="289" t="str">
        <f>S.General.CodeName</f>
        <v>CodeName</v>
      </c>
      <c r="C194" s="242" t="s">
        <v>0</v>
      </c>
      <c r="D194" s="242"/>
      <c r="E194" s="242"/>
      <c r="F194" s="249" t="s">
        <v>0</v>
      </c>
      <c r="G194" s="243" t="s">
        <v>26</v>
      </c>
      <c r="H194" s="243" t="s">
        <v>57</v>
      </c>
      <c r="I194" s="532"/>
      <c r="J194" s="765"/>
      <c r="K194" s="765"/>
      <c r="L194" s="765"/>
      <c r="M194" s="765"/>
      <c r="N194" s="765"/>
      <c r="O194" s="765"/>
      <c r="P194" s="765"/>
      <c r="Q194" s="765"/>
      <c r="R194" s="765"/>
      <c r="S194" s="765"/>
      <c r="T194" s="765"/>
      <c r="U194" s="765"/>
      <c r="V194" s="765"/>
      <c r="W194" s="765"/>
      <c r="X194" s="765"/>
      <c r="Y194" s="960"/>
      <c r="Z194" s="765"/>
      <c r="AA194" s="765"/>
      <c r="AB194" s="939"/>
      <c r="AC194" s="246" t="s">
        <v>0</v>
      </c>
      <c r="AD194" s="19"/>
      <c r="AE194" s="19"/>
      <c r="AF194" s="979"/>
      <c r="AG194" s="245"/>
      <c r="AH194" s="245"/>
      <c r="AI194" s="247"/>
      <c r="AJ194" s="248"/>
      <c r="AK194" s="470"/>
      <c r="AL194" s="985"/>
      <c r="AM194" s="470"/>
    </row>
    <row r="195" spans="1:39" s="765" customFormat="1" ht="14.1" hidden="1" customHeight="1" outlineLevel="1" x14ac:dyDescent="0.25">
      <c r="A195" s="85"/>
      <c r="B195" s="250"/>
      <c r="C195" s="252"/>
      <c r="D195" s="63"/>
      <c r="E195" s="63"/>
      <c r="F195" s="253"/>
      <c r="G195" s="122">
        <f ca="1">S.DIRECTOR.Approves.ForDEQRulemakingPlan</f>
        <v>42009</v>
      </c>
      <c r="H195" s="122">
        <f>S.6EQC.END</f>
        <v>0</v>
      </c>
      <c r="I195" s="532"/>
      <c r="Y195" s="960"/>
      <c r="AB195" s="926"/>
      <c r="AC195" s="232" t="s">
        <v>0</v>
      </c>
      <c r="AD195" s="19"/>
      <c r="AE195" s="19"/>
      <c r="AF195" s="19"/>
      <c r="AG195" s="245"/>
      <c r="AH195" s="245"/>
      <c r="AI195" s="247"/>
      <c r="AJ195" s="30"/>
      <c r="AK195" s="34"/>
      <c r="AL195" s="364"/>
      <c r="AM195" s="34"/>
    </row>
    <row r="196" spans="1:39" s="765" customFormat="1" ht="6" hidden="1" customHeight="1" outlineLevel="1" x14ac:dyDescent="0.2">
      <c r="A196" s="85"/>
      <c r="B196" s="60"/>
      <c r="C196" s="52"/>
      <c r="D196" s="485"/>
      <c r="E196" s="485"/>
      <c r="F196" s="53"/>
      <c r="G196" s="52"/>
      <c r="H196" s="52"/>
      <c r="I196" s="532"/>
      <c r="Y196" s="960"/>
      <c r="AB196" s="929"/>
      <c r="AC196" s="233" t="s">
        <v>0</v>
      </c>
      <c r="AD196" s="19"/>
      <c r="AE196" s="19"/>
      <c r="AF196" s="19"/>
      <c r="AG196" s="18"/>
      <c r="AH196" s="18"/>
      <c r="AI196" s="31"/>
      <c r="AJ196" s="31"/>
      <c r="AK196" s="34"/>
      <c r="AL196" s="364"/>
      <c r="AM196" s="34"/>
    </row>
    <row r="197" spans="1:39" s="883" customFormat="1" ht="15.75" hidden="1" customHeight="1" outlineLevel="1" x14ac:dyDescent="0.25">
      <c r="A197" s="85"/>
      <c r="B197" s="903" t="s">
        <v>653</v>
      </c>
      <c r="C197" s="38"/>
      <c r="D197" s="486"/>
      <c r="E197" s="486"/>
      <c r="F197" s="39"/>
      <c r="G197" s="38"/>
      <c r="H197" s="38"/>
      <c r="I197" s="532"/>
      <c r="Y197" s="960"/>
      <c r="AB197" s="929"/>
      <c r="AC197" s="232">
        <f t="shared" ref="AC197:AC198" si="18">IF(S.Planning.DecisionToAddToPlan="A",1,0)</f>
        <v>1</v>
      </c>
      <c r="AD197" s="19"/>
      <c r="AE197" s="19"/>
      <c r="AF197" s="19"/>
      <c r="AG197" s="18"/>
      <c r="AH197" s="18"/>
      <c r="AI197" s="31"/>
      <c r="AJ197" s="31"/>
      <c r="AK197" s="34"/>
      <c r="AL197" s="364"/>
      <c r="AM197" s="34"/>
    </row>
    <row r="198" spans="1:39" s="6" customFormat="1" ht="13.5" hidden="1" customHeight="1" outlineLevel="1" x14ac:dyDescent="0.25">
      <c r="A198" s="85"/>
      <c r="B198" s="220" t="str">
        <f>AB198</f>
        <v>ProgLead coordinates with Team to:</v>
      </c>
      <c r="C198" s="117"/>
      <c r="D198" s="109"/>
      <c r="E198" s="637"/>
      <c r="F198"/>
      <c r="G198" s="111">
        <f ca="1">AG198</f>
        <v>42009</v>
      </c>
      <c r="H198" s="140">
        <f ca="1">AH198</f>
        <v>42009</v>
      </c>
      <c r="I198" s="532"/>
      <c r="J198"/>
      <c r="K198"/>
      <c r="L198"/>
      <c r="M198"/>
      <c r="N198"/>
      <c r="O198"/>
      <c r="P198"/>
      <c r="Q198"/>
      <c r="R198"/>
      <c r="S198"/>
      <c r="T198"/>
      <c r="U198"/>
      <c r="X198"/>
      <c r="Y198" s="960"/>
      <c r="AB198" s="934" t="str">
        <f>S.Staff.Subject.Expert.FirstName&amp;" coordinates with Team to:"</f>
        <v>ProgLead coordinates with Team to:</v>
      </c>
      <c r="AC198" s="232">
        <f t="shared" si="18"/>
        <v>1</v>
      </c>
      <c r="AD198" s="19"/>
      <c r="AE198" s="19"/>
      <c r="AF198" s="19"/>
      <c r="AG198" s="25">
        <f ca="1">G195</f>
        <v>42009</v>
      </c>
      <c r="AH198" s="25">
        <f ca="1">G198</f>
        <v>42009</v>
      </c>
      <c r="AI198" s="24"/>
      <c r="AJ198" s="15"/>
      <c r="AK198" s="34"/>
      <c r="AL198" s="364"/>
      <c r="AM198" s="34"/>
    </row>
    <row r="199" spans="1:39" s="6" customFormat="1" ht="13.5" hidden="1" customHeight="1" outlineLevel="1" x14ac:dyDescent="0.25">
      <c r="A199" s="85"/>
      <c r="B199" s="152" t="s">
        <v>314</v>
      </c>
      <c r="C199" s="117"/>
      <c r="D199" s="500"/>
      <c r="E199" s="637"/>
      <c r="I199" s="532"/>
      <c r="Y199" s="960"/>
      <c r="AB199" s="926" t="s">
        <v>0</v>
      </c>
      <c r="AC199" s="232">
        <f t="shared" ref="AC199:AC229" si="19">$AC$198</f>
        <v>1</v>
      </c>
      <c r="AD199" s="19"/>
      <c r="AE199" s="19"/>
      <c r="AF199" s="19"/>
      <c r="AG199" s="24" t="s">
        <v>454</v>
      </c>
      <c r="AH199" s="24"/>
      <c r="AI199" s="24"/>
      <c r="AJ199" s="15"/>
      <c r="AK199" s="34"/>
      <c r="AL199" s="364"/>
      <c r="AM199" s="34"/>
    </row>
    <row r="200" spans="1:39" s="6" customFormat="1" ht="13.5" hidden="1" customHeight="1" outlineLevel="1" x14ac:dyDescent="0.25">
      <c r="A200" s="85"/>
      <c r="B200" s="152" t="s">
        <v>310</v>
      </c>
      <c r="C200" s="117"/>
      <c r="D200" s="500"/>
      <c r="E200" s="637"/>
      <c r="I200" s="532"/>
      <c r="Y200" s="960"/>
      <c r="AB200" s="926" t="s">
        <v>0</v>
      </c>
      <c r="AC200" s="232">
        <f t="shared" si="19"/>
        <v>1</v>
      </c>
      <c r="AD200" s="19"/>
      <c r="AE200" s="19"/>
      <c r="AF200" s="19"/>
      <c r="AG200" s="24"/>
      <c r="AH200" s="24"/>
      <c r="AI200" s="24"/>
      <c r="AJ200" s="15"/>
      <c r="AK200" s="34"/>
      <c r="AL200" s="364"/>
      <c r="AM200" s="34"/>
    </row>
    <row r="201" spans="1:39" s="6" customFormat="1" ht="13.5" hidden="1" customHeight="1" outlineLevel="1" x14ac:dyDescent="0.25">
      <c r="A201" s="85"/>
      <c r="B201" s="152" t="s">
        <v>589</v>
      </c>
      <c r="C201" s="117"/>
      <c r="D201" s="500"/>
      <c r="E201" s="637"/>
      <c r="I201" s="532"/>
      <c r="Y201" s="960"/>
      <c r="AB201" s="926" t="s">
        <v>0</v>
      </c>
      <c r="AC201" s="232">
        <f t="shared" si="19"/>
        <v>1</v>
      </c>
      <c r="AD201" s="19"/>
      <c r="AE201" s="19"/>
      <c r="AF201" s="19"/>
      <c r="AG201" s="24"/>
      <c r="AH201" s="24"/>
      <c r="AI201" s="24"/>
      <c r="AJ201" s="15"/>
      <c r="AK201" s="34"/>
      <c r="AL201" s="364"/>
      <c r="AM201" s="34"/>
    </row>
    <row r="202" spans="1:39" s="6" customFormat="1" ht="13.5" hidden="1" customHeight="1" outlineLevel="1" x14ac:dyDescent="0.2">
      <c r="A202" s="85"/>
      <c r="B202" s="152" t="s">
        <v>110</v>
      </c>
      <c r="C202" s="328" t="str">
        <f>HYPERLINK("http://arcweb.sos.state.or.us/pages/rules/oars_300/oar_340/340_018.html","i")</f>
        <v>i</v>
      </c>
      <c r="D202" s="227"/>
      <c r="E202" s="642"/>
      <c r="I202" s="532"/>
      <c r="Y202" s="960"/>
      <c r="AB202" s="926" t="s">
        <v>0</v>
      </c>
      <c r="AC202" s="232">
        <f t="shared" si="19"/>
        <v>1</v>
      </c>
      <c r="AD202" s="19"/>
      <c r="AE202" s="19"/>
      <c r="AF202" s="19"/>
      <c r="AG202" s="24"/>
      <c r="AH202" s="24"/>
      <c r="AI202" s="24"/>
      <c r="AJ202" s="15"/>
      <c r="AK202" s="34"/>
      <c r="AL202" s="364"/>
      <c r="AM202" s="34"/>
    </row>
    <row r="203" spans="1:39" s="6" customFormat="1" ht="13.5" hidden="1" customHeight="1" outlineLevel="1" x14ac:dyDescent="0.25">
      <c r="A203" s="85"/>
      <c r="B203" s="152" t="str">
        <f>AB203</f>
        <v>* identify SIP rules, talk with AndreaG if unclear</v>
      </c>
      <c r="C203" s="117"/>
      <c r="D203" s="500"/>
      <c r="E203" s="642"/>
      <c r="I203" s="532"/>
      <c r="Y203" s="960"/>
      <c r="AB203" s="949" t="str">
        <f>"* identify SIP rules, talk with "&amp;S.Staff.SIPCo&amp;" if unclear"</f>
        <v>* identify SIP rules, talk with AndreaG if unclear</v>
      </c>
      <c r="AC203" s="232">
        <f t="shared" si="19"/>
        <v>1</v>
      </c>
      <c r="AD203" s="19"/>
      <c r="AE203" s="19"/>
      <c r="AF203" s="19"/>
      <c r="AG203" s="24"/>
      <c r="AH203" s="24"/>
      <c r="AI203" s="24"/>
      <c r="AJ203" s="15"/>
      <c r="AK203" s="34"/>
      <c r="AL203" s="364"/>
      <c r="AM203" s="34"/>
    </row>
    <row r="204" spans="1:39" s="797" customFormat="1" ht="13.5" hidden="1" customHeight="1" outlineLevel="1" x14ac:dyDescent="0.25">
      <c r="A204" s="85"/>
      <c r="B204" s="220" t="str">
        <f>AB204</f>
        <v>ProgLead asks Meyer to:</v>
      </c>
      <c r="C204" s="117"/>
      <c r="D204" s="500"/>
      <c r="E204" s="637"/>
      <c r="F204" s="112"/>
      <c r="I204" s="532"/>
      <c r="Y204" s="960"/>
      <c r="AB204" s="934" t="str">
        <f>S.Staff.Subject.Expert.FirstName&amp;" asks "&amp;S.Staff.AgencyRulesCoordinator&amp;" to:"</f>
        <v>ProgLead asks Meyer to:</v>
      </c>
      <c r="AC204" s="232">
        <f t="shared" si="19"/>
        <v>1</v>
      </c>
      <c r="AD204" s="19"/>
      <c r="AE204" s="19"/>
      <c r="AF204" s="19"/>
      <c r="AG204" s="24"/>
      <c r="AH204" s="24"/>
      <c r="AI204" s="24"/>
      <c r="AJ204" s="15"/>
      <c r="AK204" s="34"/>
      <c r="AL204" s="364"/>
      <c r="AM204" s="34"/>
    </row>
    <row r="205" spans="1:39" s="6" customFormat="1" ht="13.5" hidden="1" customHeight="1" outlineLevel="1" x14ac:dyDescent="0.25">
      <c r="A205" s="85"/>
      <c r="B205" s="199" t="s">
        <v>588</v>
      </c>
      <c r="E205" s="637"/>
      <c r="F205" s="112"/>
      <c r="I205" s="532"/>
      <c r="Y205" s="960"/>
      <c r="AB205" s="934" t="str">
        <f>S.Staff.Subject.Expert.FirstName&amp;" asks "&amp;S.Staff.AgencyRulesCoordinator&amp;" to pull rules from SOS"</f>
        <v>ProgLead asks Meyer to pull rules from SOS</v>
      </c>
      <c r="AC205" s="232">
        <f t="shared" si="19"/>
        <v>1</v>
      </c>
      <c r="AD205" s="19"/>
      <c r="AE205" s="19"/>
      <c r="AF205" s="19"/>
      <c r="AG205" s="24"/>
      <c r="AH205" s="24"/>
      <c r="AI205" s="24"/>
      <c r="AJ205" s="15"/>
      <c r="AK205" s="34"/>
      <c r="AL205" s="364"/>
      <c r="AM205" s="34"/>
    </row>
    <row r="206" spans="1:39" s="797" customFormat="1" ht="13.5" hidden="1" customHeight="1" outlineLevel="1" x14ac:dyDescent="0.25">
      <c r="A206" s="85"/>
      <c r="B206" s="152" t="s">
        <v>604</v>
      </c>
      <c r="C206" s="107" t="s">
        <v>0</v>
      </c>
      <c r="D206" s="500"/>
      <c r="E206" s="642"/>
      <c r="F206" s="112"/>
      <c r="I206" s="532"/>
      <c r="Y206" s="960"/>
      <c r="AB206" s="934" t="str">
        <f>S.Staff.AgencyRulesCoordinator&amp;":"</f>
        <v>Meyer:</v>
      </c>
      <c r="AC206" s="232">
        <f t="shared" si="19"/>
        <v>1</v>
      </c>
      <c r="AD206" s="19"/>
      <c r="AE206" s="19"/>
      <c r="AF206" s="19"/>
      <c r="AG206" s="23"/>
      <c r="AH206" s="23"/>
      <c r="AI206" s="24"/>
      <c r="AJ206" s="20"/>
      <c r="AK206" s="34"/>
      <c r="AL206" s="364"/>
      <c r="AM206" s="34"/>
    </row>
    <row r="207" spans="1:39" s="790" customFormat="1" ht="13.5" hidden="1" customHeight="1" outlineLevel="1" x14ac:dyDescent="0.25">
      <c r="A207" s="85"/>
      <c r="B207" s="150" t="str">
        <f>AB207</f>
        <v>Meyer:</v>
      </c>
      <c r="C207" s="107" t="s">
        <v>0</v>
      </c>
      <c r="D207" s="500"/>
      <c r="E207" s="642"/>
      <c r="F207" s="112"/>
      <c r="I207" s="532"/>
      <c r="Y207" s="960"/>
      <c r="AB207" s="934" t="str">
        <f>S.Staff.AgencyRulesCoordinator&amp;":"</f>
        <v>Meyer:</v>
      </c>
      <c r="AC207" s="232">
        <f t="shared" si="19"/>
        <v>1</v>
      </c>
      <c r="AD207" s="19"/>
      <c r="AE207" s="19"/>
      <c r="AF207" s="19"/>
      <c r="AG207" s="23"/>
      <c r="AH207" s="23"/>
      <c r="AI207" s="24"/>
      <c r="AJ207" s="20"/>
      <c r="AK207" s="34"/>
      <c r="AL207" s="364"/>
      <c r="AM207" s="34"/>
    </row>
    <row r="208" spans="1:39" s="791" customFormat="1" ht="13.5" hidden="1" customHeight="1" outlineLevel="1" x14ac:dyDescent="0.25">
      <c r="A208" s="85" t="s">
        <v>0</v>
      </c>
      <c r="B208" s="152" t="s">
        <v>701</v>
      </c>
      <c r="C208" s="107" t="s">
        <v>0</v>
      </c>
      <c r="D208" s="108"/>
      <c r="E208" s="642"/>
      <c r="F208" s="112"/>
      <c r="G208" s="113"/>
      <c r="H208" s="114"/>
      <c r="I208" s="532"/>
      <c r="Y208" s="960"/>
      <c r="AB208" s="751"/>
      <c r="AC208" s="232">
        <f t="shared" si="19"/>
        <v>1</v>
      </c>
      <c r="AD208" s="19"/>
      <c r="AE208" s="19"/>
      <c r="AF208" s="19"/>
      <c r="AG208" s="23"/>
      <c r="AH208" s="23"/>
      <c r="AI208" s="24"/>
      <c r="AJ208" s="20"/>
      <c r="AK208" s="34"/>
      <c r="AL208" s="364"/>
      <c r="AM208" s="34"/>
    </row>
    <row r="209" spans="1:39" s="791" customFormat="1" ht="13.5" hidden="1" customHeight="1" outlineLevel="1" x14ac:dyDescent="0.25">
      <c r="A209" s="85" t="s">
        <v>0</v>
      </c>
      <c r="B209" s="152" t="s">
        <v>574</v>
      </c>
      <c r="C209" s="328" t="str">
        <f>HYPERLINK("http://arcweb.sos.state.or.us/pages/rules/oars_300/oar_340/340_tofc.html","i")</f>
        <v>i</v>
      </c>
      <c r="D209" s="109"/>
      <c r="E209" s="642"/>
      <c r="F209" s="112"/>
      <c r="G209" s="113"/>
      <c r="H209" s="111">
        <f ca="1">AG209</f>
        <v>42009</v>
      </c>
      <c r="I209" s="532"/>
      <c r="Y209" s="960"/>
      <c r="AB209" s="751"/>
      <c r="AC209" s="232">
        <f t="shared" si="19"/>
        <v>1</v>
      </c>
      <c r="AD209" s="19"/>
      <c r="AE209" s="19"/>
      <c r="AF209" s="19"/>
      <c r="AG209" s="25">
        <f ca="1">G195</f>
        <v>42009</v>
      </c>
      <c r="AH209" s="23"/>
      <c r="AI209" s="24"/>
      <c r="AJ209" s="20"/>
      <c r="AK209" s="34"/>
      <c r="AL209" s="364"/>
      <c r="AM209" s="34"/>
    </row>
    <row r="210" spans="1:39" s="797" customFormat="1" ht="13.5" hidden="1" customHeight="1" outlineLevel="1" x14ac:dyDescent="0.25">
      <c r="A210" s="85" t="s">
        <v>0</v>
      </c>
      <c r="B210" s="152" t="s">
        <v>590</v>
      </c>
      <c r="C210" s="107" t="s">
        <v>0</v>
      </c>
      <c r="D210" s="108" t="s">
        <v>0</v>
      </c>
      <c r="E210" s="642"/>
      <c r="F210" s="112"/>
      <c r="G210" s="113"/>
      <c r="H210" s="114"/>
      <c r="I210" s="532"/>
      <c r="Y210" s="960"/>
      <c r="AB210" s="751"/>
      <c r="AC210" s="232">
        <f t="shared" si="19"/>
        <v>1</v>
      </c>
      <c r="AD210" s="19"/>
      <c r="AE210" s="19"/>
      <c r="AF210" s="19"/>
      <c r="AG210" s="23"/>
      <c r="AH210" s="23"/>
      <c r="AI210" s="24"/>
      <c r="AJ210" s="20"/>
      <c r="AK210" s="34"/>
      <c r="AL210" s="364"/>
      <c r="AM210" s="34"/>
    </row>
    <row r="211" spans="1:39" s="790" customFormat="1" ht="13.5" hidden="1" customHeight="1" outlineLevel="1" x14ac:dyDescent="0.25">
      <c r="A211" s="85" t="s">
        <v>0</v>
      </c>
      <c r="B211" s="152" t="s">
        <v>591</v>
      </c>
      <c r="C211" s="107" t="s">
        <v>0</v>
      </c>
      <c r="D211" s="108"/>
      <c r="E211" s="642"/>
      <c r="F211" s="112"/>
      <c r="G211" s="113"/>
      <c r="H211" s="114"/>
      <c r="I211" s="532"/>
      <c r="Y211" s="960"/>
      <c r="AB211" s="751"/>
      <c r="AC211" s="232">
        <f t="shared" si="19"/>
        <v>1</v>
      </c>
      <c r="AD211" s="19"/>
      <c r="AE211" s="19"/>
      <c r="AF211" s="19"/>
      <c r="AG211" s="23"/>
      <c r="AH211" s="23"/>
      <c r="AI211" s="24"/>
      <c r="AJ211" s="20"/>
      <c r="AK211" s="34"/>
      <c r="AL211" s="364"/>
      <c r="AM211" s="34"/>
    </row>
    <row r="212" spans="1:39" s="797" customFormat="1" ht="13.5" hidden="1" customHeight="1" outlineLevel="1" x14ac:dyDescent="0.25">
      <c r="A212" s="85" t="s">
        <v>0</v>
      </c>
      <c r="B212" s="152" t="s">
        <v>702</v>
      </c>
      <c r="C212" s="107" t="s">
        <v>0</v>
      </c>
      <c r="D212" s="108"/>
      <c r="E212" s="642"/>
      <c r="F212" s="112"/>
      <c r="G212" s="113"/>
      <c r="H212" s="114"/>
      <c r="I212" s="532"/>
      <c r="Y212" s="960"/>
      <c r="AB212" s="751"/>
      <c r="AC212" s="232">
        <f t="shared" si="19"/>
        <v>1</v>
      </c>
      <c r="AD212" s="19"/>
      <c r="AE212" s="19"/>
      <c r="AF212" s="19"/>
      <c r="AG212" s="23"/>
      <c r="AH212" s="23"/>
      <c r="AI212" s="24"/>
      <c r="AJ212" s="20"/>
      <c r="AK212" s="34"/>
      <c r="AL212" s="364"/>
      <c r="AM212" s="34"/>
    </row>
    <row r="213" spans="1:39" s="6" customFormat="1" ht="13.5" hidden="1" customHeight="1" outlineLevel="1" x14ac:dyDescent="0.25">
      <c r="A213" s="85"/>
      <c r="B213" s="152" t="s">
        <v>592</v>
      </c>
      <c r="C213" s="107" t="s">
        <v>0</v>
      </c>
      <c r="D213" s="108"/>
      <c r="E213" s="642"/>
      <c r="F213" s="112"/>
      <c r="G213"/>
      <c r="H213" s="114"/>
      <c r="I213" s="532"/>
      <c r="J213"/>
      <c r="K213"/>
      <c r="L213"/>
      <c r="M213"/>
      <c r="N213"/>
      <c r="O213"/>
      <c r="P213"/>
      <c r="Q213"/>
      <c r="R213"/>
      <c r="S213"/>
      <c r="T213"/>
      <c r="U213"/>
      <c r="X213"/>
      <c r="Y213" s="960"/>
      <c r="AB213" s="934" t="str">
        <f>S.Staff.AgencyRulesCoordinator&amp;" obtains, verifies, provides previously unused numbers for new rules"</f>
        <v>Meyer obtains, verifies, provides previously unused numbers for new rules</v>
      </c>
      <c r="AC213" s="232">
        <f t="shared" si="19"/>
        <v>1</v>
      </c>
      <c r="AD213" s="19"/>
      <c r="AE213" s="19"/>
      <c r="AF213" s="19"/>
      <c r="AG213" s="23"/>
      <c r="AH213" s="23"/>
      <c r="AI213" s="24"/>
      <c r="AJ213" s="20"/>
      <c r="AK213" s="34"/>
      <c r="AL213" s="364"/>
      <c r="AM213" s="34"/>
    </row>
    <row r="214" spans="1:39" s="6" customFormat="1" ht="13.5" hidden="1" customHeight="1" outlineLevel="1" x14ac:dyDescent="0.25">
      <c r="A214" s="85"/>
      <c r="B214" s="152" t="s">
        <v>524</v>
      </c>
      <c r="C214" s="107" t="s">
        <v>0</v>
      </c>
      <c r="D214" s="108"/>
      <c r="E214" s="642"/>
      <c r="F214"/>
      <c r="H214" s="114"/>
      <c r="I214" s="532"/>
      <c r="J214"/>
      <c r="K214"/>
      <c r="L214"/>
      <c r="M214"/>
      <c r="N214"/>
      <c r="O214"/>
      <c r="P214"/>
      <c r="Q214"/>
      <c r="R214"/>
      <c r="S214"/>
      <c r="T214"/>
      <c r="U214"/>
      <c r="X214"/>
      <c r="Y214" s="960"/>
      <c r="AB214" s="934" t="str">
        <f>S.Staff.AgencyRulesCoordinator&amp;" identifies rules that may be involved in other rulemakings "</f>
        <v xml:space="preserve">Meyer identifies rules that may be involved in other rulemakings </v>
      </c>
      <c r="AC214" s="232">
        <f t="shared" si="19"/>
        <v>1</v>
      </c>
      <c r="AD214" s="19"/>
      <c r="AE214" s="19"/>
      <c r="AF214" s="19"/>
      <c r="AG214" s="23"/>
      <c r="AH214" s="23"/>
      <c r="AI214" s="24"/>
      <c r="AJ214" s="20"/>
      <c r="AK214" s="34"/>
      <c r="AL214" s="364"/>
      <c r="AM214" s="34"/>
    </row>
    <row r="215" spans="1:39" s="791" customFormat="1" ht="13.5" hidden="1" customHeight="1" outlineLevel="1" x14ac:dyDescent="0.25">
      <c r="A215" s="85"/>
      <c r="B215" s="150" t="str">
        <f>AB215</f>
        <v>Meyer or RGLead:</v>
      </c>
      <c r="C215" s="107" t="s">
        <v>0</v>
      </c>
      <c r="D215" s="500"/>
      <c r="E215" s="642"/>
      <c r="F215" s="112"/>
      <c r="I215" s="532"/>
      <c r="Y215" s="960"/>
      <c r="AB215" s="934" t="str">
        <f>S.Staff.AgencyRulesCoordinator&amp;" or "&amp;S.Staff.RG.Lead.FirstName&amp;":"</f>
        <v>Meyer or RGLead:</v>
      </c>
      <c r="AC215" s="232">
        <f t="shared" si="19"/>
        <v>1</v>
      </c>
      <c r="AD215" s="19"/>
      <c r="AE215" s="19"/>
      <c r="AF215" s="19"/>
      <c r="AG215" s="23"/>
      <c r="AH215" s="23"/>
      <c r="AI215" s="24"/>
      <c r="AJ215" s="20"/>
      <c r="AK215" s="34"/>
      <c r="AL215" s="364"/>
      <c r="AM215" s="34"/>
    </row>
    <row r="216" spans="1:39" s="767" customFormat="1" ht="13.5" hidden="1" customHeight="1" outlineLevel="1" x14ac:dyDescent="0.25">
      <c r="A216" s="85" t="s">
        <v>0</v>
      </c>
      <c r="B216" s="152" t="s">
        <v>593</v>
      </c>
      <c r="C216" s="107" t="s">
        <v>0</v>
      </c>
      <c r="D216" s="108"/>
      <c r="E216" s="642"/>
      <c r="F216" s="112"/>
      <c r="G216" s="113"/>
      <c r="H216" s="114"/>
      <c r="I216" s="532"/>
      <c r="Y216" s="960"/>
      <c r="AB216" s="950" t="str">
        <f>"* works with "&amp;S.Staff.RG.Lead.FirstName&amp;" to start initial plain language, style guide, rule style edits "</f>
        <v xml:space="preserve">* works with RGLead to start initial plain language, style guide, rule style edits </v>
      </c>
      <c r="AC216" s="232">
        <f t="shared" si="19"/>
        <v>1</v>
      </c>
      <c r="AD216" s="19"/>
      <c r="AE216" s="19"/>
      <c r="AF216" s="19"/>
      <c r="AG216" s="23"/>
      <c r="AH216" s="23"/>
      <c r="AI216" s="24"/>
      <c r="AJ216" s="20"/>
      <c r="AK216" s="34"/>
      <c r="AL216" s="364"/>
      <c r="AM216" s="34"/>
    </row>
    <row r="217" spans="1:39" s="791" customFormat="1" ht="13.5" hidden="1" customHeight="1" outlineLevel="1" x14ac:dyDescent="0.25">
      <c r="A217" s="85" t="s">
        <v>0</v>
      </c>
      <c r="B217" s="152" t="s">
        <v>594</v>
      </c>
      <c r="C217" s="107" t="s">
        <v>0</v>
      </c>
      <c r="D217" s="108"/>
      <c r="E217" s="642"/>
      <c r="F217" s="112"/>
      <c r="G217" s="113"/>
      <c r="H217" s="114"/>
      <c r="I217" s="532"/>
      <c r="Y217" s="960"/>
      <c r="AB217" s="751"/>
      <c r="AC217" s="232">
        <f t="shared" si="19"/>
        <v>1</v>
      </c>
      <c r="AD217" s="19"/>
      <c r="AE217" s="19"/>
      <c r="AF217" s="19"/>
      <c r="AG217" s="23"/>
      <c r="AH217" s="23"/>
      <c r="AI217" s="24"/>
      <c r="AJ217" s="20"/>
      <c r="AK217" s="34"/>
      <c r="AL217" s="364"/>
      <c r="AM217" s="34"/>
    </row>
    <row r="218" spans="1:39" s="6" customFormat="1" ht="14.1" hidden="1" customHeight="1" outlineLevel="1" x14ac:dyDescent="0.2">
      <c r="A218" s="85"/>
      <c r="B218" s="150" t="str">
        <f>AB218</f>
        <v>ProgLead leads rule writing on SharePoint PROPOSED.RULES to:</v>
      </c>
      <c r="C218" s="151"/>
      <c r="D218"/>
      <c r="F218"/>
      <c r="G218"/>
      <c r="H218"/>
      <c r="I218" s="532"/>
      <c r="J218"/>
      <c r="K218"/>
      <c r="L218"/>
      <c r="M218"/>
      <c r="N218"/>
      <c r="O218"/>
      <c r="P218"/>
      <c r="Q218"/>
      <c r="R218"/>
      <c r="S218"/>
      <c r="T218"/>
      <c r="U218"/>
      <c r="X218"/>
      <c r="Y218" s="960"/>
      <c r="AB218" s="934" t="str">
        <f>S.Staff.Subject.Expert.FirstName&amp;" leads rule writing on SharePoint PROPOSED.RULES to:"</f>
        <v>ProgLead leads rule writing on SharePoint PROPOSED.RULES to:</v>
      </c>
      <c r="AC218" s="232">
        <f t="shared" si="19"/>
        <v>1</v>
      </c>
      <c r="AD218" s="19"/>
      <c r="AE218" s="19"/>
      <c r="AF218" s="19"/>
      <c r="AG218" s="23"/>
      <c r="AH218" s="23"/>
      <c r="AI218" s="23"/>
      <c r="AJ218" s="16"/>
      <c r="AK218" s="34"/>
      <c r="AL218" s="364"/>
      <c r="AM218" s="34"/>
    </row>
    <row r="219" spans="1:39" s="6" customFormat="1" ht="14.1" hidden="1" customHeight="1" outlineLevel="1" x14ac:dyDescent="0.2">
      <c r="A219" s="85"/>
      <c r="B219" s="184" t="s">
        <v>525</v>
      </c>
      <c r="C219" s="353"/>
      <c r="D219" s="165"/>
      <c r="E219" s="536"/>
      <c r="F219"/>
      <c r="I219" s="532"/>
      <c r="Y219" s="960"/>
      <c r="AB219" s="944"/>
      <c r="AC219" s="232">
        <f t="shared" si="19"/>
        <v>1</v>
      </c>
      <c r="AD219" s="19"/>
      <c r="AE219" s="19"/>
      <c r="AF219" s="19"/>
      <c r="AG219" s="23"/>
      <c r="AH219" s="23"/>
      <c r="AI219" s="24"/>
      <c r="AJ219" s="24"/>
      <c r="AK219" s="34"/>
      <c r="AL219" s="364"/>
      <c r="AM219" s="34"/>
    </row>
    <row r="220" spans="1:39" s="6" customFormat="1" ht="14.1" hidden="1" customHeight="1" outlineLevel="1" x14ac:dyDescent="0.2">
      <c r="A220" s="85"/>
      <c r="B220" s="184" t="s">
        <v>598</v>
      </c>
      <c r="C220" s="353"/>
      <c r="D220" s="165"/>
      <c r="E220" s="536"/>
      <c r="F220"/>
      <c r="G220"/>
      <c r="H220"/>
      <c r="I220" s="532"/>
      <c r="J220"/>
      <c r="K220"/>
      <c r="L220"/>
      <c r="M220"/>
      <c r="N220"/>
      <c r="O220"/>
      <c r="P220"/>
      <c r="Q220"/>
      <c r="R220"/>
      <c r="S220"/>
      <c r="T220"/>
      <c r="U220"/>
      <c r="X220"/>
      <c r="Y220" s="960"/>
      <c r="AB220" s="944"/>
      <c r="AC220" s="232">
        <f t="shared" si="19"/>
        <v>1</v>
      </c>
      <c r="AD220" s="19"/>
      <c r="AE220" s="19"/>
      <c r="AF220" s="19"/>
      <c r="AG220" s="23"/>
      <c r="AH220" s="23"/>
      <c r="AI220" s="24"/>
      <c r="AJ220" s="24"/>
      <c r="AK220" s="34"/>
      <c r="AL220" s="364"/>
      <c r="AM220" s="34"/>
    </row>
    <row r="221" spans="1:39" s="711" customFormat="1" ht="14.1" hidden="1" customHeight="1" outlineLevel="1" x14ac:dyDescent="0.2">
      <c r="A221" s="85"/>
      <c r="B221" s="184" t="s">
        <v>597</v>
      </c>
      <c r="C221" s="353"/>
      <c r="D221" s="165"/>
      <c r="E221" s="536"/>
      <c r="I221" s="532"/>
      <c r="Y221" s="960"/>
      <c r="AB221" s="944"/>
      <c r="AC221" s="232">
        <f t="shared" si="19"/>
        <v>1</v>
      </c>
      <c r="AD221" s="19"/>
      <c r="AE221" s="19"/>
      <c r="AF221" s="19"/>
      <c r="AG221" s="23"/>
      <c r="AH221" s="23"/>
      <c r="AI221" s="24"/>
      <c r="AJ221" s="24"/>
      <c r="AK221" s="34"/>
      <c r="AL221" s="364"/>
      <c r="AM221" s="34"/>
    </row>
    <row r="222" spans="1:39" s="6" customFormat="1" ht="14.1" hidden="1" customHeight="1" outlineLevel="1" x14ac:dyDescent="0.2">
      <c r="A222" s="85"/>
      <c r="B222" s="184" t="s">
        <v>596</v>
      </c>
      <c r="C222" s="353"/>
      <c r="D222" s="165"/>
      <c r="E222" s="536"/>
      <c r="F222"/>
      <c r="G222"/>
      <c r="H222"/>
      <c r="I222" s="532"/>
      <c r="J222"/>
      <c r="K222"/>
      <c r="L222"/>
      <c r="M222"/>
      <c r="N222"/>
      <c r="O222"/>
      <c r="P222"/>
      <c r="Q222"/>
      <c r="R222"/>
      <c r="S222"/>
      <c r="T222"/>
      <c r="U222"/>
      <c r="X222"/>
      <c r="Y222" s="960"/>
      <c r="AB222" s="944"/>
      <c r="AC222" s="232">
        <f t="shared" si="19"/>
        <v>1</v>
      </c>
      <c r="AD222" s="19"/>
      <c r="AE222" s="19"/>
      <c r="AF222" s="19"/>
      <c r="AG222" s="23"/>
      <c r="AH222" s="23"/>
      <c r="AI222" s="24"/>
      <c r="AJ222" s="24"/>
      <c r="AK222" s="34"/>
      <c r="AL222" s="364"/>
      <c r="AM222" s="34"/>
    </row>
    <row r="223" spans="1:39" s="791" customFormat="1" ht="14.1" hidden="1" customHeight="1" outlineLevel="1" x14ac:dyDescent="0.2">
      <c r="A223" s="85"/>
      <c r="B223" s="184" t="s">
        <v>595</v>
      </c>
      <c r="C223" s="353"/>
      <c r="D223" s="165"/>
      <c r="E223" s="536"/>
      <c r="I223" s="532"/>
      <c r="Y223" s="960"/>
      <c r="AB223" s="944"/>
      <c r="AC223" s="232">
        <f t="shared" si="19"/>
        <v>1</v>
      </c>
      <c r="AD223" s="19"/>
      <c r="AE223" s="19"/>
      <c r="AF223" s="19"/>
      <c r="AG223" s="23"/>
      <c r="AH223" s="23"/>
      <c r="AI223" s="24"/>
      <c r="AJ223" s="24"/>
      <c r="AK223" s="34"/>
      <c r="AL223" s="364"/>
      <c r="AM223" s="34"/>
    </row>
    <row r="224" spans="1:39" s="767" customFormat="1" ht="14.1" hidden="1" customHeight="1" outlineLevel="1" x14ac:dyDescent="0.2">
      <c r="A224" s="85"/>
      <c r="B224" s="184" t="s">
        <v>599</v>
      </c>
      <c r="C224" s="353"/>
      <c r="D224" s="165"/>
      <c r="E224" s="536"/>
      <c r="I224" s="532"/>
      <c r="Y224" s="960"/>
      <c r="AB224" s="944"/>
      <c r="AC224" s="232">
        <f t="shared" si="19"/>
        <v>1</v>
      </c>
      <c r="AD224" s="19"/>
      <c r="AE224" s="19"/>
      <c r="AF224" s="19"/>
      <c r="AG224" s="23"/>
      <c r="AH224" s="23"/>
      <c r="AI224" s="24"/>
      <c r="AJ224" s="24"/>
      <c r="AK224" s="34"/>
      <c r="AL224" s="364"/>
      <c r="AM224" s="34"/>
    </row>
    <row r="225" spans="1:39" s="6" customFormat="1" ht="14.1" hidden="1" customHeight="1" outlineLevel="1" x14ac:dyDescent="0.2">
      <c r="A225" s="85"/>
      <c r="B225" s="184" t="s">
        <v>576</v>
      </c>
      <c r="C225" s="353"/>
      <c r="D225" s="165"/>
      <c r="E225" s="536"/>
      <c r="F225"/>
      <c r="G225"/>
      <c r="H225"/>
      <c r="I225" s="532"/>
      <c r="J225"/>
      <c r="K225"/>
      <c r="L225"/>
      <c r="M225"/>
      <c r="N225"/>
      <c r="O225"/>
      <c r="P225"/>
      <c r="Q225"/>
      <c r="R225"/>
      <c r="S225"/>
      <c r="T225"/>
      <c r="U225"/>
      <c r="X225"/>
      <c r="Y225" s="960"/>
      <c r="AB225" s="944"/>
      <c r="AC225" s="232">
        <f t="shared" si="19"/>
        <v>1</v>
      </c>
      <c r="AD225" s="19"/>
      <c r="AE225" s="19"/>
      <c r="AF225" s="19"/>
      <c r="AG225" s="23"/>
      <c r="AH225" s="23"/>
      <c r="AI225" s="24"/>
      <c r="AJ225" s="24"/>
      <c r="AK225" s="34"/>
      <c r="AL225" s="364"/>
      <c r="AM225" s="34"/>
    </row>
    <row r="226" spans="1:39" s="12" customFormat="1" ht="13.5" hidden="1" customHeight="1" outlineLevel="1" x14ac:dyDescent="0.25">
      <c r="A226" s="531"/>
      <c r="B226" s="769" t="s">
        <v>575</v>
      </c>
      <c r="C226" s="117"/>
      <c r="D226" s="770"/>
      <c r="E226" s="770"/>
      <c r="F226" s="771"/>
      <c r="G226" s="113"/>
      <c r="H226" s="114"/>
      <c r="I226" s="532"/>
      <c r="AB226" s="774"/>
      <c r="AC226" s="232">
        <f t="shared" si="19"/>
        <v>1</v>
      </c>
      <c r="AD226" s="977"/>
      <c r="AE226" s="977"/>
      <c r="AF226" s="977"/>
      <c r="AG226" s="772"/>
      <c r="AH226" s="772"/>
      <c r="AI226" s="533"/>
      <c r="AJ226" s="773"/>
      <c r="AK226" s="454"/>
      <c r="AL226" s="987"/>
      <c r="AM226" s="454"/>
    </row>
    <row r="227" spans="1:39" s="767" customFormat="1" ht="14.1" hidden="1" customHeight="1" outlineLevel="1" x14ac:dyDescent="0.2">
      <c r="A227" s="85"/>
      <c r="B227" s="150" t="str">
        <f>AB227</f>
        <v>ProgLead, before submitting Notice Packet and EQC Packet:</v>
      </c>
      <c r="C227" s="151"/>
      <c r="I227" s="532"/>
      <c r="Y227" s="960"/>
      <c r="AB227" s="934" t="str">
        <f>S.Staff.Subject.Expert.FirstName&amp;", before submitting Notice Packet and EQC Packet:"</f>
        <v>ProgLead, before submitting Notice Packet and EQC Packet:</v>
      </c>
      <c r="AC227" s="232">
        <f t="shared" si="19"/>
        <v>1</v>
      </c>
      <c r="AD227" s="19"/>
      <c r="AE227" s="19"/>
      <c r="AF227" s="19"/>
      <c r="AG227" s="23"/>
      <c r="AH227" s="23"/>
      <c r="AI227" s="23"/>
      <c r="AJ227" s="16"/>
      <c r="AK227" s="34"/>
      <c r="AL227" s="364"/>
      <c r="AM227" s="34"/>
    </row>
    <row r="228" spans="1:39" s="767" customFormat="1" ht="14.1" hidden="1" customHeight="1" outlineLevel="1" x14ac:dyDescent="0.2">
      <c r="A228" s="85"/>
      <c r="B228" s="184" t="s">
        <v>577</v>
      </c>
      <c r="C228" s="353"/>
      <c r="D228" s="165"/>
      <c r="E228" s="536"/>
      <c r="I228" s="532"/>
      <c r="Y228" s="960"/>
      <c r="AB228" s="944"/>
      <c r="AC228" s="232">
        <f t="shared" si="19"/>
        <v>1</v>
      </c>
      <c r="AD228" s="19"/>
      <c r="AE228" s="19"/>
      <c r="AF228" s="19"/>
      <c r="AG228" s="23"/>
      <c r="AH228" s="23"/>
      <c r="AI228" s="24"/>
      <c r="AJ228" s="24"/>
      <c r="AK228" s="34"/>
      <c r="AL228" s="364"/>
      <c r="AM228" s="34"/>
    </row>
    <row r="229" spans="1:39" s="767" customFormat="1" ht="14.1" hidden="1" customHeight="1" outlineLevel="1" x14ac:dyDescent="0.2">
      <c r="A229" s="85"/>
      <c r="B229" s="184" t="s">
        <v>578</v>
      </c>
      <c r="C229" s="353"/>
      <c r="D229" s="165"/>
      <c r="E229" s="536"/>
      <c r="I229" s="532"/>
      <c r="Y229" s="960"/>
      <c r="AB229" s="944"/>
      <c r="AC229" s="232">
        <f t="shared" si="19"/>
        <v>1</v>
      </c>
      <c r="AD229" s="19"/>
      <c r="AE229" s="19"/>
      <c r="AF229" s="19"/>
      <c r="AG229" s="23"/>
      <c r="AH229" s="23"/>
      <c r="AI229" s="24"/>
      <c r="AJ229" s="24"/>
      <c r="AK229" s="34"/>
      <c r="AL229" s="364"/>
      <c r="AM229" s="34"/>
    </row>
    <row r="230" spans="1:39" ht="14.25" customHeight="1" collapsed="1" x14ac:dyDescent="0.2">
      <c r="A230" s="85"/>
      <c r="B230" s="82"/>
      <c r="C230" s="46"/>
      <c r="D230" s="99"/>
      <c r="E230" s="99"/>
      <c r="F230" s="47"/>
      <c r="G230" s="46"/>
      <c r="H230" s="46"/>
      <c r="I230" s="532"/>
      <c r="AB230" s="751"/>
      <c r="AC230" s="232">
        <v>1</v>
      </c>
      <c r="AD230" s="19"/>
      <c r="AE230" s="19"/>
      <c r="AF230" s="19"/>
      <c r="AG230" s="23"/>
      <c r="AH230" s="23"/>
      <c r="AI230" s="24"/>
      <c r="AJ230" s="15"/>
      <c r="AK230" s="34"/>
      <c r="AL230" s="364"/>
      <c r="AM230" s="34"/>
    </row>
    <row r="231" spans="1:39" s="6" customFormat="1" ht="20.25" customHeight="1" x14ac:dyDescent="0.3">
      <c r="A231" s="85"/>
      <c r="B231" s="1045" t="str">
        <f>AB12</f>
        <v>Advisory Committee - not involved</v>
      </c>
      <c r="C231" s="1045"/>
      <c r="D231" s="1045"/>
      <c r="E231" s="1045"/>
      <c r="F231" s="1045"/>
      <c r="G231" s="1045"/>
      <c r="H231" s="1045"/>
      <c r="I231" s="532"/>
      <c r="J231"/>
      <c r="K231"/>
      <c r="L231"/>
      <c r="M231"/>
      <c r="N231"/>
      <c r="O231"/>
      <c r="P231"/>
      <c r="Q231"/>
      <c r="R231"/>
      <c r="S231"/>
      <c r="T231"/>
      <c r="U231"/>
      <c r="X231"/>
      <c r="Y231" s="960"/>
      <c r="AB231" s="751"/>
      <c r="AC231" s="232" t="s">
        <v>0</v>
      </c>
      <c r="AD231" s="19"/>
      <c r="AE231" s="19"/>
      <c r="AF231" s="19"/>
      <c r="AG231" s="35"/>
      <c r="AH231" s="35"/>
      <c r="AI231" s="24"/>
      <c r="AJ231" s="30"/>
      <c r="AK231" s="34"/>
      <c r="AL231" s="364"/>
      <c r="AM231" s="34"/>
    </row>
    <row r="232" spans="1:39" s="244" customFormat="1" ht="14.1" hidden="1" customHeight="1" outlineLevel="1" x14ac:dyDescent="0.2">
      <c r="A232" s="241"/>
      <c r="B232" s="289" t="str">
        <f>S.General.CodeName</f>
        <v>CodeName</v>
      </c>
      <c r="C232" s="242" t="s">
        <v>0</v>
      </c>
      <c r="D232" s="242"/>
      <c r="E232" s="242"/>
      <c r="F232" s="249" t="s">
        <v>0</v>
      </c>
      <c r="G232" s="243" t="s">
        <v>26</v>
      </c>
      <c r="H232" s="243" t="s">
        <v>57</v>
      </c>
      <c r="I232" s="532"/>
      <c r="J232"/>
      <c r="K232"/>
      <c r="L232"/>
      <c r="M232"/>
      <c r="N232"/>
      <c r="O232"/>
      <c r="P232"/>
      <c r="Q232"/>
      <c r="R232"/>
      <c r="S232"/>
      <c r="T232"/>
      <c r="U232"/>
      <c r="V232" s="6"/>
      <c r="W232" s="6"/>
      <c r="X232"/>
      <c r="Y232" s="960"/>
      <c r="Z232" s="6"/>
      <c r="AA232" s="6"/>
      <c r="AB232" s="939"/>
      <c r="AC232" s="246" t="s">
        <v>0</v>
      </c>
      <c r="AD232" s="19"/>
      <c r="AE232" s="19"/>
      <c r="AF232" s="979"/>
      <c r="AG232" s="245"/>
      <c r="AH232" s="245"/>
      <c r="AI232" s="247"/>
      <c r="AJ232" s="248"/>
      <c r="AK232" s="470"/>
      <c r="AL232" s="985"/>
      <c r="AM232" s="470"/>
    </row>
    <row r="233" spans="1:39" ht="14.1" hidden="1" customHeight="1" outlineLevel="1" x14ac:dyDescent="0.2">
      <c r="A233" s="85"/>
      <c r="B233" s="251" t="s">
        <v>0</v>
      </c>
      <c r="C233" s="65" t="s">
        <v>0</v>
      </c>
      <c r="D233" s="501"/>
      <c r="E233" s="501"/>
      <c r="F233" s="65"/>
      <c r="G233" s="119">
        <f>AG233</f>
        <v>0</v>
      </c>
      <c r="H233" s="119">
        <f>S.2AC.END</f>
        <v>0</v>
      </c>
      <c r="I233" s="532"/>
      <c r="AB233" s="751"/>
      <c r="AC233" s="232" t="s">
        <v>0</v>
      </c>
      <c r="AD233" s="19"/>
      <c r="AE233" s="19"/>
      <c r="AF233" s="19"/>
      <c r="AG233" s="25">
        <f>S.2AC.BEGIN</f>
        <v>0</v>
      </c>
      <c r="AH233" s="25">
        <f>S.2AC.END</f>
        <v>0</v>
      </c>
      <c r="AI233" s="18"/>
      <c r="AJ233" s="26"/>
      <c r="AK233" s="34"/>
      <c r="AL233" s="364"/>
      <c r="AM233" s="34"/>
    </row>
    <row r="234" spans="1:39" ht="6" hidden="1" customHeight="1" outlineLevel="1" x14ac:dyDescent="0.2">
      <c r="A234" s="85"/>
      <c r="B234" s="60"/>
      <c r="C234" s="52"/>
      <c r="D234" s="485"/>
      <c r="E234" s="485"/>
      <c r="F234" s="53"/>
      <c r="G234" s="52"/>
      <c r="H234" s="52"/>
      <c r="I234" s="532"/>
      <c r="AB234" s="751"/>
      <c r="AC234" s="233" t="s">
        <v>0</v>
      </c>
      <c r="AD234" s="19"/>
      <c r="AE234" s="19"/>
      <c r="AF234" s="19"/>
      <c r="AG234" s="18"/>
      <c r="AH234" s="18"/>
      <c r="AI234" s="18"/>
      <c r="AJ234" s="15"/>
      <c r="AK234" s="34"/>
      <c r="AL234" s="364"/>
      <c r="AM234" s="34"/>
    </row>
    <row r="235" spans="1:39" s="6" customFormat="1" ht="13.5" hidden="1" customHeight="1" outlineLevel="1" x14ac:dyDescent="0.2">
      <c r="A235" s="85"/>
      <c r="B235" s="349" t="s">
        <v>145</v>
      </c>
      <c r="C235" s="327" t="str">
        <f>HYPERLINK("\\deqhq1\Rule_Resources\i\0-VersionHistory.pdf","i")</f>
        <v>i</v>
      </c>
      <c r="D235" s="165"/>
      <c r="E235" s="536"/>
      <c r="F235"/>
      <c r="G235" s="38"/>
      <c r="H235" s="38"/>
      <c r="I235" s="532"/>
      <c r="J235"/>
      <c r="K235"/>
      <c r="L235"/>
      <c r="M235"/>
      <c r="N235"/>
      <c r="O235"/>
      <c r="P235"/>
      <c r="Q235"/>
      <c r="R235"/>
      <c r="S235"/>
      <c r="T235"/>
      <c r="U235"/>
      <c r="X235"/>
      <c r="Y235" s="960"/>
      <c r="AB235" s="929"/>
      <c r="AC235" s="233">
        <f t="shared" ref="AC235" si="20">IF(S.AC.CommitteeInvolved="Y",1,0)</f>
        <v>0</v>
      </c>
      <c r="AD235" s="19"/>
      <c r="AE235" s="19"/>
      <c r="AF235" s="19"/>
      <c r="AG235" s="18"/>
      <c r="AH235" s="18"/>
      <c r="AI235" s="31"/>
      <c r="AJ235" s="31"/>
      <c r="AK235" s="34"/>
      <c r="AL235" s="364"/>
      <c r="AM235" s="34"/>
    </row>
    <row r="236" spans="1:39" s="797" customFormat="1" ht="16.5" hidden="1" customHeight="1" outlineLevel="1" x14ac:dyDescent="0.2">
      <c r="A236" s="85"/>
      <c r="B236" s="789" t="s">
        <v>600</v>
      </c>
      <c r="C236" s="188"/>
      <c r="D236" s="515"/>
      <c r="E236" s="651"/>
      <c r="H236" s="142"/>
      <c r="I236" s="532"/>
      <c r="Y236" s="960"/>
      <c r="AB236" s="944"/>
      <c r="AC236" s="233">
        <f t="shared" ref="AC236:AC258" si="21">$AC$235</f>
        <v>0</v>
      </c>
      <c r="AD236" s="19"/>
      <c r="AE236" s="19"/>
      <c r="AF236" s="19"/>
      <c r="AG236" s="33"/>
      <c r="AH236" s="36"/>
      <c r="AI236" s="24"/>
      <c r="AJ236" s="26"/>
      <c r="AK236" s="34"/>
      <c r="AL236" s="364"/>
      <c r="AM236" s="34"/>
    </row>
    <row r="237" spans="1:39" s="797" customFormat="1" ht="16.5" hidden="1" customHeight="1" outlineLevel="1" x14ac:dyDescent="0.2">
      <c r="A237" s="85"/>
      <c r="B237" s="662" t="s">
        <v>601</v>
      </c>
      <c r="C237" s="188"/>
      <c r="D237" s="515"/>
      <c r="E237" s="651"/>
      <c r="H237" s="142"/>
      <c r="I237" s="532"/>
      <c r="Y237" s="960"/>
      <c r="AB237" s="944"/>
      <c r="AC237" s="233">
        <f t="shared" si="21"/>
        <v>0</v>
      </c>
      <c r="AD237" s="19"/>
      <c r="AE237" s="19"/>
      <c r="AF237" s="19"/>
      <c r="AG237" s="33"/>
      <c r="AH237" s="36"/>
      <c r="AI237" s="24"/>
      <c r="AJ237" s="26"/>
      <c r="AK237" s="34"/>
      <c r="AL237" s="364"/>
      <c r="AM237" s="34"/>
    </row>
    <row r="238" spans="1:39" s="749" customFormat="1" ht="13.5" hidden="1" customHeight="1" outlineLevel="1" x14ac:dyDescent="0.2">
      <c r="A238" s="85"/>
      <c r="B238" s="755" t="str">
        <f>AB238</f>
        <v>Meyer:</v>
      </c>
      <c r="C238" s="204" t="s">
        <v>0</v>
      </c>
      <c r="E238" s="165"/>
      <c r="G238" s="162"/>
      <c r="H238" s="162"/>
      <c r="I238" s="532"/>
      <c r="Y238" s="960"/>
      <c r="AB238" s="934" t="str">
        <f>S.Staff.AgencyRulesCoordinator&amp;":"</f>
        <v>Meyer:</v>
      </c>
      <c r="AC238" s="233">
        <f t="shared" si="21"/>
        <v>0</v>
      </c>
      <c r="AD238" s="19"/>
      <c r="AE238" s="19"/>
      <c r="AF238" s="19"/>
      <c r="AG238" s="9"/>
      <c r="AH238" s="9"/>
      <c r="AI238" s="24"/>
      <c r="AJ238" s="24"/>
      <c r="AK238" s="34"/>
      <c r="AL238" s="364"/>
      <c r="AM238" s="34"/>
    </row>
    <row r="239" spans="1:39" s="749" customFormat="1" ht="13.5" hidden="1" customHeight="1" outlineLevel="1" x14ac:dyDescent="0.2">
      <c r="A239" s="85"/>
      <c r="B239" s="197" t="s">
        <v>480</v>
      </c>
      <c r="C239" s="204" t="s">
        <v>0</v>
      </c>
      <c r="E239" s="165"/>
      <c r="G239" s="337">
        <f>AG239</f>
        <v>0</v>
      </c>
      <c r="H239" s="337">
        <f>AH239</f>
        <v>13</v>
      </c>
      <c r="I239" s="532"/>
      <c r="Y239" s="960"/>
      <c r="AB239" s="934" t="str">
        <f>S.Staff.AgencyRulesCoordinator&amp;" schedules Advisory Committee work session"</f>
        <v>Meyer schedules Advisory Committee work session</v>
      </c>
      <c r="AC239" s="233">
        <f t="shared" si="21"/>
        <v>0</v>
      </c>
      <c r="AD239" s="19"/>
      <c r="AE239" s="19"/>
      <c r="AF239" s="19"/>
      <c r="AG239" s="25">
        <f>S.2AC.BEGIN</f>
        <v>0</v>
      </c>
      <c r="AH239" s="25">
        <f>WORKDAY(G239+15,-1,S.DDL_DEQClosed)</f>
        <v>13</v>
      </c>
      <c r="AI239" s="24"/>
      <c r="AJ239" s="24"/>
      <c r="AK239" s="34"/>
      <c r="AL239" s="364"/>
      <c r="AM239" s="34"/>
    </row>
    <row r="240" spans="1:39" s="749" customFormat="1" ht="13.5" hidden="1" customHeight="1" outlineLevel="1" x14ac:dyDescent="0.2">
      <c r="A240" s="85"/>
      <c r="B240" s="197" t="s">
        <v>478</v>
      </c>
      <c r="C240" s="204" t="s">
        <v>0</v>
      </c>
      <c r="E240" s="165"/>
      <c r="G240" s="162"/>
      <c r="H240" s="162"/>
      <c r="I240" s="532"/>
      <c r="Y240" s="960"/>
      <c r="AB240" s="934" t="str">
        <f>S.Staff.AgencyRulesCoordinator&amp;" asks team to prepare for work session by reviewing:"</f>
        <v>Meyer asks team to prepare for work session by reviewing:</v>
      </c>
      <c r="AC240" s="233">
        <f t="shared" si="21"/>
        <v>0</v>
      </c>
      <c r="AD240" s="19"/>
      <c r="AE240" s="19"/>
      <c r="AF240" s="19"/>
      <c r="AG240" s="9"/>
      <c r="AH240" s="9"/>
      <c r="AI240" s="24"/>
      <c r="AJ240" s="24"/>
      <c r="AK240" s="34"/>
      <c r="AL240" s="364"/>
      <c r="AM240" s="34"/>
    </row>
    <row r="241" spans="1:39" s="749" customFormat="1" ht="13.5" hidden="1" customHeight="1" outlineLevel="1" x14ac:dyDescent="0.2">
      <c r="A241" s="85"/>
      <c r="B241" s="197" t="s">
        <v>479</v>
      </c>
      <c r="C241" s="204" t="s">
        <v>0</v>
      </c>
      <c r="E241" s="165"/>
      <c r="G241" s="162"/>
      <c r="H241" s="162"/>
      <c r="I241" s="532"/>
      <c r="Y241" s="960"/>
      <c r="AB241" s="934" t="str">
        <f>S.Staff.AgencyRulesCoordinator&amp;" asks team to prepare for work session by reviewing:"</f>
        <v>Meyer asks team to prepare for work session by reviewing:</v>
      </c>
      <c r="AC241" s="233">
        <f t="shared" si="21"/>
        <v>0</v>
      </c>
      <c r="AD241" s="19"/>
      <c r="AE241" s="19"/>
      <c r="AF241" s="19"/>
      <c r="AG241" s="9"/>
      <c r="AH241" s="9"/>
      <c r="AI241" s="24"/>
      <c r="AJ241" s="24"/>
      <c r="AK241" s="34"/>
      <c r="AL241" s="364"/>
      <c r="AM241" s="34"/>
    </row>
    <row r="242" spans="1:39" s="749" customFormat="1" ht="13.5" hidden="1" customHeight="1" outlineLevel="1" x14ac:dyDescent="0.2">
      <c r="A242" s="85"/>
      <c r="B242" s="756" t="s">
        <v>476</v>
      </c>
      <c r="C242" s="736" t="str">
        <f>HYPERLINK("\\deqhq1\Rule_Resources\i\Q-Cards\PDF\2-AdvisoryCommittee.pdf","i")</f>
        <v>i</v>
      </c>
      <c r="D242" s="165"/>
      <c r="E242" s="536"/>
      <c r="G242" s="162"/>
      <c r="H242" s="162"/>
      <c r="I242" s="532"/>
      <c r="Y242" s="960"/>
      <c r="AB242" s="751"/>
      <c r="AC242" s="233">
        <f t="shared" si="21"/>
        <v>0</v>
      </c>
      <c r="AD242" s="19"/>
      <c r="AE242" s="19"/>
      <c r="AF242" s="19"/>
      <c r="AG242" s="9"/>
      <c r="AH242" s="9" t="s">
        <v>0</v>
      </c>
      <c r="AI242" s="24"/>
      <c r="AJ242" s="24"/>
      <c r="AK242" s="34"/>
      <c r="AL242" s="364"/>
      <c r="AM242" s="34"/>
    </row>
    <row r="243" spans="1:39" s="749" customFormat="1" ht="13.5" hidden="1" customHeight="1" outlineLevel="1" thickBot="1" x14ac:dyDescent="0.25">
      <c r="A243" s="85"/>
      <c r="B243" s="753" t="s">
        <v>477</v>
      </c>
      <c r="C243" s="327" t="str">
        <f>HYPERLINK("http://deq05/intranet/communication/publicinvolvement/index.htm","i")</f>
        <v>i</v>
      </c>
      <c r="D243" s="165"/>
      <c r="E243" s="536"/>
      <c r="G243" s="162"/>
      <c r="H243" s="162"/>
      <c r="I243" s="532"/>
      <c r="Y243" s="960"/>
      <c r="AB243" s="934" t="str">
        <f>"* reviewing Public Involvement Resources and when to engage "&amp;S.Staff.PublicAffairsOfficer</f>
        <v>* reviewing Public Involvement Resources and when to engage BrianW</v>
      </c>
      <c r="AC243" s="233">
        <f t="shared" si="21"/>
        <v>0</v>
      </c>
      <c r="AD243" s="19"/>
      <c r="AE243" s="19"/>
      <c r="AF243" s="19"/>
      <c r="AG243" s="9"/>
      <c r="AH243" s="9" t="s">
        <v>0</v>
      </c>
      <c r="AI243" s="24"/>
      <c r="AJ243" s="24"/>
      <c r="AK243" s="34"/>
      <c r="AL243" s="364"/>
      <c r="AM243" s="34"/>
    </row>
    <row r="244" spans="1:39" s="749" customFormat="1" ht="13.5" hidden="1" customHeight="1" outlineLevel="1" thickBot="1" x14ac:dyDescent="0.25">
      <c r="A244" s="85"/>
      <c r="B244" s="756" t="s">
        <v>398</v>
      </c>
      <c r="C244" s="327" t="str">
        <f>HYPERLINK("http://www.oregonlaws.org/ors/192.630","i")</f>
        <v>i</v>
      </c>
      <c r="D244" s="165"/>
      <c r="E244" s="536"/>
      <c r="G244" s="162"/>
      <c r="H244" s="162"/>
      <c r="I244" s="532"/>
      <c r="Y244" s="960"/>
      <c r="AB244" s="951" t="s">
        <v>78</v>
      </c>
      <c r="AC244" s="233">
        <f t="shared" si="21"/>
        <v>0</v>
      </c>
      <c r="AD244" s="19"/>
      <c r="AE244" s="19"/>
      <c r="AF244" s="19"/>
      <c r="AG244" s="9"/>
      <c r="AH244" s="9" t="s">
        <v>0</v>
      </c>
      <c r="AI244" s="18"/>
      <c r="AJ244" s="15"/>
      <c r="AK244" s="34"/>
      <c r="AL244" s="988" t="s">
        <v>24</v>
      </c>
      <c r="AM244" s="34"/>
    </row>
    <row r="245" spans="1:39" s="749" customFormat="1" ht="13.5" hidden="1" customHeight="1" outlineLevel="1" x14ac:dyDescent="0.2">
      <c r="A245" s="85"/>
      <c r="B245" s="756" t="s">
        <v>602</v>
      </c>
      <c r="C245" s="327" t="str">
        <f>HYPERLINK("http://www.oregon.gov/deq/RulesandRegulations/Pages/advisorycom.aspx","i")</f>
        <v>i</v>
      </c>
      <c r="D245" s="165" t="s">
        <v>0</v>
      </c>
      <c r="E245" s="536"/>
      <c r="G245" s="162"/>
      <c r="H245" s="162"/>
      <c r="I245" s="532"/>
      <c r="Y245" s="960"/>
      <c r="AB245" s="751"/>
      <c r="AC245" s="233">
        <f t="shared" si="21"/>
        <v>0</v>
      </c>
      <c r="AD245" s="19"/>
      <c r="AE245" s="19"/>
      <c r="AF245" s="19"/>
      <c r="AG245" s="9" t="s">
        <v>0</v>
      </c>
      <c r="AH245" s="9" t="s">
        <v>0</v>
      </c>
      <c r="AI245" s="18"/>
      <c r="AJ245" s="15"/>
      <c r="AK245" s="34"/>
      <c r="AL245" s="364"/>
      <c r="AM245" s="34"/>
    </row>
    <row r="246" spans="1:39" s="749" customFormat="1" ht="13.5" hidden="1" customHeight="1" outlineLevel="1" x14ac:dyDescent="0.2">
      <c r="A246" s="85"/>
      <c r="B246" s="756" t="s">
        <v>487</v>
      </c>
      <c r="C246" s="355"/>
      <c r="D246" s="165"/>
      <c r="E246" s="536"/>
      <c r="G246" s="162"/>
      <c r="H246" s="162"/>
      <c r="I246" s="532"/>
      <c r="Y246" s="960"/>
      <c r="AB246" s="751"/>
      <c r="AC246" s="233">
        <f t="shared" si="21"/>
        <v>0</v>
      </c>
      <c r="AD246" s="19"/>
      <c r="AE246" s="19"/>
      <c r="AF246" s="19"/>
      <c r="AG246" s="9"/>
      <c r="AH246" s="9" t="s">
        <v>0</v>
      </c>
      <c r="AI246" s="18"/>
      <c r="AJ246" s="15"/>
      <c r="AK246" s="34"/>
      <c r="AL246" s="364"/>
      <c r="AM246" s="34"/>
    </row>
    <row r="247" spans="1:39" s="749" customFormat="1" ht="13.5" hidden="1" customHeight="1" outlineLevel="1" x14ac:dyDescent="0.2">
      <c r="A247" s="85"/>
      <c r="B247" s="756" t="s">
        <v>488</v>
      </c>
      <c r="C247" s="354"/>
      <c r="D247" s="165"/>
      <c r="E247" s="536"/>
      <c r="G247" s="162"/>
      <c r="H247" s="162"/>
      <c r="I247" s="532"/>
      <c r="Y247" s="960"/>
      <c r="AB247" s="751"/>
      <c r="AC247" s="233">
        <f t="shared" si="21"/>
        <v>0</v>
      </c>
      <c r="AD247" s="19"/>
      <c r="AE247" s="19"/>
      <c r="AF247" s="19"/>
      <c r="AG247" s="9"/>
      <c r="AH247" s="9" t="s">
        <v>0</v>
      </c>
      <c r="AI247" s="18"/>
      <c r="AJ247" s="15"/>
      <c r="AK247" s="34"/>
      <c r="AL247" s="364"/>
      <c r="AM247" s="34"/>
    </row>
    <row r="248" spans="1:39" s="749" customFormat="1" ht="13.5" hidden="1" customHeight="1" outlineLevel="1" x14ac:dyDescent="0.2">
      <c r="A248" s="85"/>
      <c r="B248" s="197" t="str">
        <f>AB248</f>
        <v xml:space="preserve">* asks ProgLead to prepare the following work session items: </v>
      </c>
      <c r="C248" s="204" t="s">
        <v>0</v>
      </c>
      <c r="E248" s="165"/>
      <c r="G248" s="337">
        <f>AG248</f>
        <v>0</v>
      </c>
      <c r="H248" s="337">
        <f>AH248</f>
        <v>13</v>
      </c>
      <c r="I248" s="532"/>
      <c r="Y248" s="960"/>
      <c r="AB248" s="934" t="str">
        <f>"* asks "&amp;S.Staff.Subject.Expert.FirstName&amp;" to prepare the following work session items: "</f>
        <v xml:space="preserve">* asks ProgLead to prepare the following work session items: </v>
      </c>
      <c r="AC248" s="233">
        <f t="shared" si="21"/>
        <v>0</v>
      </c>
      <c r="AD248" s="19"/>
      <c r="AE248" s="19"/>
      <c r="AF248" s="19"/>
      <c r="AG248" s="25">
        <f>G239</f>
        <v>0</v>
      </c>
      <c r="AH248" s="25">
        <f>H239</f>
        <v>13</v>
      </c>
      <c r="AI248" s="24"/>
      <c r="AJ248" s="24"/>
      <c r="AK248" s="34"/>
      <c r="AL248" s="364"/>
      <c r="AM248" s="34"/>
    </row>
    <row r="249" spans="1:39" s="749" customFormat="1" ht="13.5" hidden="1" customHeight="1" outlineLevel="1" x14ac:dyDescent="0.2">
      <c r="A249" s="85"/>
      <c r="B249" s="756" t="s">
        <v>490</v>
      </c>
      <c r="C249" s="355"/>
      <c r="D249" s="165"/>
      <c r="E249" s="536"/>
      <c r="G249" s="162"/>
      <c r="H249" s="162"/>
      <c r="I249" s="532"/>
      <c r="Y249" s="960"/>
      <c r="AB249" s="751"/>
      <c r="AC249" s="233">
        <f t="shared" si="21"/>
        <v>0</v>
      </c>
      <c r="AD249" s="19"/>
      <c r="AE249" s="19"/>
      <c r="AF249" s="19"/>
      <c r="AG249" s="9"/>
      <c r="AH249" s="9" t="s">
        <v>0</v>
      </c>
      <c r="AI249" s="18"/>
      <c r="AJ249" s="15"/>
      <c r="AK249" s="34"/>
      <c r="AL249" s="364"/>
      <c r="AM249" s="34"/>
    </row>
    <row r="250" spans="1:39" s="749" customFormat="1" ht="13.5" hidden="1" customHeight="1" outlineLevel="1" x14ac:dyDescent="0.2">
      <c r="A250" s="85"/>
      <c r="B250" s="757" t="s">
        <v>481</v>
      </c>
      <c r="C250" s="151" t="s">
        <v>0</v>
      </c>
      <c r="D250" s="165"/>
      <c r="E250" s="536"/>
      <c r="G250" s="162"/>
      <c r="H250" s="162"/>
      <c r="I250" s="532"/>
      <c r="Y250" s="960"/>
      <c r="AB250" s="751"/>
      <c r="AC250" s="233">
        <f t="shared" si="21"/>
        <v>0</v>
      </c>
      <c r="AD250" s="19"/>
      <c r="AE250" s="19"/>
      <c r="AF250" s="19"/>
      <c r="AG250" s="9"/>
      <c r="AH250" s="9" t="s">
        <v>0</v>
      </c>
      <c r="AI250" s="24"/>
      <c r="AJ250" s="24"/>
      <c r="AK250" s="34"/>
      <c r="AL250" s="364"/>
      <c r="AM250" s="34"/>
    </row>
    <row r="251" spans="1:39" s="749" customFormat="1" ht="13.5" hidden="1" customHeight="1" outlineLevel="1" x14ac:dyDescent="0.2">
      <c r="A251" s="85"/>
      <c r="B251" s="756" t="s">
        <v>496</v>
      </c>
      <c r="C251" s="354"/>
      <c r="D251" s="165"/>
      <c r="E251" s="536"/>
      <c r="G251" s="162"/>
      <c r="H251" s="162"/>
      <c r="I251" s="532"/>
      <c r="Y251" s="960"/>
      <c r="AB251" s="751"/>
      <c r="AC251" s="233">
        <f t="shared" si="21"/>
        <v>0</v>
      </c>
      <c r="AD251" s="19"/>
      <c r="AE251" s="19"/>
      <c r="AF251" s="19"/>
      <c r="AG251" s="9"/>
      <c r="AH251" s="9" t="s">
        <v>0</v>
      </c>
      <c r="AI251" s="18"/>
      <c r="AJ251" s="15"/>
      <c r="AK251" s="34"/>
      <c r="AL251" s="364"/>
      <c r="AM251" s="34"/>
    </row>
    <row r="252" spans="1:39" s="749" customFormat="1" ht="13.5" hidden="1" customHeight="1" outlineLevel="1" x14ac:dyDescent="0.25">
      <c r="A252" s="85"/>
      <c r="B252" s="757" t="s">
        <v>500</v>
      </c>
      <c r="C252" s="329" t="str">
        <f>HYPERLINK("https://public.govdelivery.com/accounts/ORDEQ/subscriber/new?topic_id=ORDEQ_524","i")</f>
        <v>i</v>
      </c>
      <c r="D252" s="165"/>
      <c r="E252" s="536"/>
      <c r="G252" s="162"/>
      <c r="H252" s="162"/>
      <c r="I252" s="532"/>
      <c r="Y252" s="960"/>
      <c r="AB252" s="751"/>
      <c r="AC252" s="233">
        <f t="shared" si="21"/>
        <v>0</v>
      </c>
      <c r="AD252" s="19"/>
      <c r="AE252" s="19"/>
      <c r="AF252" s="19"/>
      <c r="AG252" s="9"/>
      <c r="AH252" s="9" t="s">
        <v>0</v>
      </c>
      <c r="AI252" s="24"/>
      <c r="AJ252" s="24"/>
      <c r="AK252" s="34"/>
      <c r="AL252" s="364"/>
      <c r="AM252" s="34"/>
    </row>
    <row r="253" spans="1:39" s="749" customFormat="1" ht="13.5" hidden="1" customHeight="1" outlineLevel="1" x14ac:dyDescent="0.2">
      <c r="A253" s="85"/>
      <c r="B253" s="756" t="s">
        <v>498</v>
      </c>
      <c r="C253" s="354"/>
      <c r="D253" s="165"/>
      <c r="E253" s="536"/>
      <c r="G253" s="162"/>
      <c r="H253" s="162"/>
      <c r="I253" s="532"/>
      <c r="Y253" s="960"/>
      <c r="AB253" s="751"/>
      <c r="AC253" s="233">
        <f t="shared" si="21"/>
        <v>0</v>
      </c>
      <c r="AD253" s="19"/>
      <c r="AE253" s="19"/>
      <c r="AF253" s="19"/>
      <c r="AG253" s="9"/>
      <c r="AH253" s="9" t="s">
        <v>0</v>
      </c>
      <c r="AI253" s="18"/>
      <c r="AJ253" s="15"/>
      <c r="AK253" s="34"/>
      <c r="AL253" s="364"/>
      <c r="AM253" s="34"/>
    </row>
    <row r="254" spans="1:39" s="749" customFormat="1" ht="14.1" hidden="1" customHeight="1" outlineLevel="1" x14ac:dyDescent="0.2">
      <c r="A254" s="85"/>
      <c r="B254" s="762" t="s">
        <v>499</v>
      </c>
      <c r="C254" s="151" t="s">
        <v>0</v>
      </c>
      <c r="D254" s="165"/>
      <c r="E254" s="536"/>
      <c r="G254" s="12"/>
      <c r="H254" s="12"/>
      <c r="I254" s="532"/>
      <c r="Y254" s="960"/>
      <c r="AB254" s="751"/>
      <c r="AC254" s="233">
        <f t="shared" si="21"/>
        <v>0</v>
      </c>
      <c r="AD254" s="19"/>
      <c r="AE254" s="19"/>
      <c r="AF254" s="19"/>
      <c r="AG254" s="9"/>
      <c r="AH254" s="9" t="s">
        <v>0</v>
      </c>
      <c r="AI254" s="24"/>
      <c r="AJ254" s="24"/>
      <c r="AK254" s="34"/>
      <c r="AL254" s="364"/>
      <c r="AM254" s="34"/>
    </row>
    <row r="255" spans="1:39" s="749" customFormat="1" ht="13.5" hidden="1" customHeight="1" outlineLevel="1" x14ac:dyDescent="0.25">
      <c r="A255" s="85"/>
      <c r="B255" s="756" t="s">
        <v>489</v>
      </c>
      <c r="C255" s="329" t="str">
        <f>HYPERLINK("\\deqhq1\Rule_Resources\0.IndividualRulemaking\2-Stakeholder Involvement\CodeName.AC.WebPage.docx","i")</f>
        <v>i</v>
      </c>
      <c r="D255" s="797"/>
      <c r="E255" s="536"/>
      <c r="G255" s="162"/>
      <c r="H255" s="162"/>
      <c r="I255" s="532"/>
      <c r="Y255" s="960"/>
      <c r="AB255" s="751"/>
      <c r="AC255" s="233">
        <f t="shared" si="21"/>
        <v>0</v>
      </c>
      <c r="AD255" s="19"/>
      <c r="AE255" s="19"/>
      <c r="AF255" s="19"/>
      <c r="AG255" s="9" t="s">
        <v>0</v>
      </c>
      <c r="AH255" s="9" t="s">
        <v>0</v>
      </c>
      <c r="AI255" s="18"/>
      <c r="AJ255" s="15"/>
      <c r="AK255" s="34"/>
      <c r="AL255" s="364"/>
      <c r="AM255" s="34"/>
    </row>
    <row r="256" spans="1:39" s="749" customFormat="1" ht="13.5" hidden="1" customHeight="1" outlineLevel="1" x14ac:dyDescent="0.2">
      <c r="A256" s="85"/>
      <c r="B256" s="197" t="s">
        <v>513</v>
      </c>
      <c r="C256" s="204" t="s">
        <v>0</v>
      </c>
      <c r="E256" s="165"/>
      <c r="G256" s="162"/>
      <c r="H256" s="162"/>
      <c r="I256" s="532"/>
      <c r="Y256" s="960"/>
      <c r="AB256" s="751"/>
      <c r="AC256" s="233">
        <f t="shared" si="21"/>
        <v>0</v>
      </c>
      <c r="AD256" s="19"/>
      <c r="AE256" s="19"/>
      <c r="AF256" s="19"/>
      <c r="AG256" s="9"/>
      <c r="AH256" s="9"/>
      <c r="AI256" s="24"/>
      <c r="AJ256" s="24"/>
      <c r="AK256" s="34"/>
      <c r="AL256" s="364"/>
      <c r="AM256" s="34"/>
    </row>
    <row r="257" spans="1:39" s="749" customFormat="1" ht="13.5" hidden="1" customHeight="1" outlineLevel="1" x14ac:dyDescent="0.2">
      <c r="A257" s="85"/>
      <c r="B257" s="758" t="s">
        <v>482</v>
      </c>
      <c r="C257" s="204" t="s">
        <v>0</v>
      </c>
      <c r="D257" s="165"/>
      <c r="E257" s="165"/>
      <c r="G257" s="162"/>
      <c r="H257" s="162"/>
      <c r="I257" s="532"/>
      <c r="Y257" s="960"/>
      <c r="AB257" s="751"/>
      <c r="AC257" s="233">
        <f t="shared" si="21"/>
        <v>0</v>
      </c>
      <c r="AD257" s="19"/>
      <c r="AE257" s="19"/>
      <c r="AF257" s="19"/>
      <c r="AG257" s="9"/>
      <c r="AH257" s="9"/>
      <c r="AI257" s="24"/>
      <c r="AJ257" s="24"/>
      <c r="AK257" s="34"/>
      <c r="AL257" s="364"/>
      <c r="AM257" s="34"/>
    </row>
    <row r="258" spans="1:39" ht="13.5" hidden="1" customHeight="1" outlineLevel="1" thickBot="1" x14ac:dyDescent="0.25">
      <c r="A258" s="85"/>
      <c r="B258" s="278" t="str">
        <f>AB258</f>
        <v>- discusses need to engage BrianW</v>
      </c>
      <c r="C258" s="204" t="s">
        <v>0</v>
      </c>
      <c r="D258" s="165"/>
      <c r="E258" s="536"/>
      <c r="F258"/>
      <c r="G258" s="162"/>
      <c r="H258" s="162"/>
      <c r="I258" s="532"/>
      <c r="AB258" s="934" t="str">
        <f>"- discusses need to engage "&amp;S.Staff.PublicAffairsOfficer</f>
        <v>- discusses need to engage BrianW</v>
      </c>
      <c r="AC258" s="233">
        <f t="shared" si="21"/>
        <v>0</v>
      </c>
      <c r="AD258" s="19"/>
      <c r="AE258" s="19"/>
      <c r="AF258" s="19"/>
      <c r="AG258" s="9"/>
      <c r="AH258" s="9" t="s">
        <v>0</v>
      </c>
      <c r="AI258" s="24"/>
      <c r="AJ258" s="24"/>
      <c r="AK258" s="34"/>
      <c r="AL258" s="364"/>
      <c r="AM258" s="34"/>
    </row>
    <row r="259" spans="1:39" s="749" customFormat="1" ht="13.5" hidden="1" customHeight="1" outlineLevel="1" thickBot="1" x14ac:dyDescent="0.25">
      <c r="A259" s="85"/>
      <c r="B259" s="753" t="s">
        <v>497</v>
      </c>
      <c r="C259" s="350" t="s">
        <v>12</v>
      </c>
      <c r="D259" s="165"/>
      <c r="E259" s="536"/>
      <c r="G259" s="162"/>
      <c r="H259" s="162"/>
      <c r="I259" s="532"/>
      <c r="Y259" s="960"/>
      <c r="AB259" s="751"/>
      <c r="AC259" s="233">
        <f>IF(AND(S.AC.Charter="Y",S.AC.CommitteeInvolved="Y"),1,0)</f>
        <v>0</v>
      </c>
      <c r="AD259" s="19"/>
      <c r="AE259" s="19"/>
      <c r="AF259" s="19"/>
      <c r="AG259" s="9" t="s">
        <v>0</v>
      </c>
      <c r="AH259" s="9" t="s">
        <v>0</v>
      </c>
      <c r="AI259" s="24"/>
      <c r="AJ259" s="24"/>
      <c r="AK259" s="34"/>
      <c r="AL259" s="364"/>
      <c r="AM259" s="34"/>
    </row>
    <row r="260" spans="1:39" s="6" customFormat="1" ht="13.5" hidden="1" customHeight="1" outlineLevel="1" x14ac:dyDescent="0.2">
      <c r="A260" s="85"/>
      <c r="B260" s="753" t="str">
        <f>AB260</f>
        <v>- advises ProgLead on deliverables</v>
      </c>
      <c r="D260" s="165"/>
      <c r="E260" s="536"/>
      <c r="F260"/>
      <c r="G260" s="162"/>
      <c r="H260" s="162"/>
      <c r="I260" s="532"/>
      <c r="Y260" s="960"/>
      <c r="AB260" s="934" t="str">
        <f>"- advises "&amp;S.Staff.Subject.Expert.FirstName&amp;" on deliverables"</f>
        <v>- advises ProgLead on deliverables</v>
      </c>
      <c r="AC260" s="233">
        <f t="shared" ref="AC260:AC293" si="22">$AC$235</f>
        <v>0</v>
      </c>
      <c r="AD260" s="19"/>
      <c r="AE260" s="19"/>
      <c r="AF260" s="19"/>
      <c r="AG260" s="9" t="s">
        <v>0</v>
      </c>
      <c r="AH260" s="9" t="s">
        <v>0</v>
      </c>
      <c r="AI260" s="18"/>
      <c r="AJ260" s="15"/>
      <c r="AK260" s="34"/>
      <c r="AL260" s="364"/>
      <c r="AM260" s="34"/>
    </row>
    <row r="261" spans="1:39" s="6" customFormat="1" ht="14.1" hidden="1" customHeight="1" outlineLevel="1" x14ac:dyDescent="0.2">
      <c r="A261" s="85"/>
      <c r="B261" s="262" t="str">
        <f>AB261</f>
        <v>ProgLead coordinates with team &amp; ProgMgr for agreement on:</v>
      </c>
      <c r="C261" s="151" t="s">
        <v>0</v>
      </c>
      <c r="D261" s="960"/>
      <c r="E261" s="165"/>
      <c r="F261"/>
      <c r="G261" s="375">
        <f>AG261</f>
        <v>0</v>
      </c>
      <c r="H261" s="375">
        <f>AH261</f>
        <v>0</v>
      </c>
      <c r="I261" s="532"/>
      <c r="J261"/>
      <c r="K261"/>
      <c r="L261"/>
      <c r="M261"/>
      <c r="N261"/>
      <c r="O261"/>
      <c r="P261"/>
      <c r="Q261"/>
      <c r="R261"/>
      <c r="S261"/>
      <c r="T261"/>
      <c r="U261"/>
      <c r="X261"/>
      <c r="Y261" s="960"/>
      <c r="AB261" s="934" t="str">
        <f>S.Staff.Subject.Expert.FirstName&amp;" coordinates with team "&amp;"&amp; "&amp;S.Staff.Program.Mgr.FirstName&amp;" for agreement on:"</f>
        <v>ProgLead coordinates with team &amp; ProgMgr for agreement on:</v>
      </c>
      <c r="AC261" s="233">
        <f t="shared" si="22"/>
        <v>0</v>
      </c>
      <c r="AD261" s="19"/>
      <c r="AE261" s="19"/>
      <c r="AF261" s="19"/>
      <c r="AG261" s="25">
        <f>S.2AC.BEGIN</f>
        <v>0</v>
      </c>
      <c r="AH261" s="25">
        <f>G261</f>
        <v>0</v>
      </c>
      <c r="AI261" s="24"/>
      <c r="AJ261" s="24"/>
      <c r="AK261" s="34"/>
      <c r="AL261" s="364"/>
      <c r="AM261" s="34"/>
    </row>
    <row r="262" spans="1:39" s="749" customFormat="1" ht="13.5" hidden="1" customHeight="1" outlineLevel="1" x14ac:dyDescent="0.2">
      <c r="A262" s="85"/>
      <c r="B262" s="199" t="s">
        <v>486</v>
      </c>
      <c r="C262" s="151" t="s">
        <v>0</v>
      </c>
      <c r="D262" s="165" t="s">
        <v>0</v>
      </c>
      <c r="E262" s="536"/>
      <c r="I262" s="532"/>
      <c r="Y262" s="960"/>
      <c r="AB262" s="751"/>
      <c r="AC262" s="233">
        <f t="shared" si="22"/>
        <v>0</v>
      </c>
      <c r="AD262" s="19"/>
      <c r="AE262" s="19"/>
      <c r="AF262" s="19"/>
      <c r="AG262" s="9"/>
      <c r="AH262" s="9"/>
      <c r="AI262" s="18"/>
      <c r="AJ262" s="15"/>
      <c r="AK262" s="34"/>
      <c r="AL262" s="364"/>
      <c r="AM262" s="34"/>
    </row>
    <row r="263" spans="1:39" ht="14.1" hidden="1" customHeight="1" outlineLevel="1" x14ac:dyDescent="0.2">
      <c r="A263" s="85"/>
      <c r="B263" s="198" t="str">
        <f>AB263</f>
        <v>* AC.CHARTER to include AC.ROSTER, meeting dates, venues</v>
      </c>
      <c r="C263" s="151" t="s">
        <v>0</v>
      </c>
      <c r="D263" s="165"/>
      <c r="E263" s="536"/>
      <c r="F263"/>
      <c r="I263" s="532"/>
      <c r="AB263" s="934" t="str">
        <f>IF(S.AC.Charter="Y","* AC.CHARTER to include AC.ROSTER, meeting dates, venues","AC.ROSTER")</f>
        <v>* AC.CHARTER to include AC.ROSTER, meeting dates, venues</v>
      </c>
      <c r="AC263" s="233">
        <f t="shared" si="22"/>
        <v>0</v>
      </c>
      <c r="AD263" s="19"/>
      <c r="AE263" s="19"/>
      <c r="AF263" s="19"/>
      <c r="AG263" s="9"/>
      <c r="AH263" s="9" t="s">
        <v>0</v>
      </c>
      <c r="AI263" s="24"/>
      <c r="AJ263" s="24"/>
      <c r="AK263" s="34"/>
      <c r="AL263" s="364"/>
      <c r="AM263" s="34"/>
    </row>
    <row r="264" spans="1:39" ht="14.1" hidden="1" customHeight="1" outlineLevel="1" x14ac:dyDescent="0.2">
      <c r="A264" s="85"/>
      <c r="B264" s="197" t="s">
        <v>520</v>
      </c>
      <c r="C264" s="151" t="s">
        <v>0</v>
      </c>
      <c r="D264" s="165"/>
      <c r="E264" s="165"/>
      <c r="F264"/>
      <c r="I264" s="532"/>
      <c r="AB264" s="751"/>
      <c r="AC264" s="233">
        <f t="shared" si="22"/>
        <v>0</v>
      </c>
      <c r="AD264" s="19"/>
      <c r="AE264" s="19"/>
      <c r="AF264" s="19"/>
      <c r="AG264" s="9"/>
      <c r="AH264" s="9" t="s">
        <v>0</v>
      </c>
      <c r="AI264" s="24"/>
      <c r="AJ264" s="24"/>
      <c r="AK264" s="34"/>
      <c r="AL264" s="364"/>
      <c r="AM264" s="34"/>
    </row>
    <row r="265" spans="1:39" s="749" customFormat="1" ht="14.1" hidden="1" customHeight="1" outlineLevel="1" x14ac:dyDescent="0.2">
      <c r="A265" s="85"/>
      <c r="B265" s="198" t="s">
        <v>505</v>
      </c>
      <c r="C265" s="151" t="s">
        <v>0</v>
      </c>
      <c r="D265" s="165"/>
      <c r="E265" s="536"/>
      <c r="G265" s="12"/>
      <c r="H265" s="12"/>
      <c r="I265" s="532"/>
      <c r="Y265" s="960"/>
      <c r="AB265" s="751"/>
      <c r="AC265" s="233">
        <f t="shared" si="22"/>
        <v>0</v>
      </c>
      <c r="AD265" s="19"/>
      <c r="AE265" s="19"/>
      <c r="AF265" s="19"/>
      <c r="AG265" s="9"/>
      <c r="AH265" s="9" t="s">
        <v>0</v>
      </c>
      <c r="AI265" s="24"/>
      <c r="AJ265" s="24"/>
      <c r="AK265" s="34"/>
      <c r="AL265" s="364"/>
      <c r="AM265" s="34"/>
    </row>
    <row r="266" spans="1:39" s="749" customFormat="1" ht="14.1" hidden="1" customHeight="1" outlineLevel="1" x14ac:dyDescent="0.2">
      <c r="A266" s="85"/>
      <c r="B266" s="198" t="s">
        <v>506</v>
      </c>
      <c r="C266" s="151" t="s">
        <v>0</v>
      </c>
      <c r="D266" s="165"/>
      <c r="E266" s="536"/>
      <c r="G266" s="12"/>
      <c r="H266" s="12"/>
      <c r="I266" s="532"/>
      <c r="Y266" s="960"/>
      <c r="AB266" s="751"/>
      <c r="AC266" s="233">
        <f t="shared" si="22"/>
        <v>0</v>
      </c>
      <c r="AD266" s="19"/>
      <c r="AE266" s="19"/>
      <c r="AF266" s="19"/>
      <c r="AG266" s="9"/>
      <c r="AH266" s="9" t="s">
        <v>0</v>
      </c>
      <c r="AI266" s="24"/>
      <c r="AJ266" s="24"/>
      <c r="AK266" s="34"/>
      <c r="AL266" s="364"/>
      <c r="AM266" s="34"/>
    </row>
    <row r="267" spans="1:39" s="749" customFormat="1" ht="14.1" hidden="1" customHeight="1" outlineLevel="1" x14ac:dyDescent="0.2">
      <c r="A267" s="85"/>
      <c r="B267" s="198" t="s">
        <v>507</v>
      </c>
      <c r="C267" s="151" t="s">
        <v>0</v>
      </c>
      <c r="D267" s="165"/>
      <c r="E267" s="536"/>
      <c r="G267" s="12"/>
      <c r="H267" s="12"/>
      <c r="I267" s="532"/>
      <c r="Y267" s="960"/>
      <c r="AB267" s="751"/>
      <c r="AC267" s="233">
        <f t="shared" si="22"/>
        <v>0</v>
      </c>
      <c r="AD267" s="19"/>
      <c r="AE267" s="19"/>
      <c r="AF267" s="19"/>
      <c r="AG267" s="9"/>
      <c r="AH267" s="9" t="s">
        <v>0</v>
      </c>
      <c r="AI267" s="24"/>
      <c r="AJ267" s="24"/>
      <c r="AK267" s="34"/>
      <c r="AL267" s="364"/>
      <c r="AM267" s="34"/>
    </row>
    <row r="268" spans="1:39" ht="14.1" hidden="1" customHeight="1" outlineLevel="1" x14ac:dyDescent="0.2">
      <c r="A268" s="85"/>
      <c r="B268" s="197" t="s">
        <v>501</v>
      </c>
      <c r="C268" s="151" t="s">
        <v>0</v>
      </c>
      <c r="D268" s="165"/>
      <c r="E268" s="536"/>
      <c r="F268"/>
      <c r="G268" s="6"/>
      <c r="H268" s="6"/>
      <c r="I268" s="532"/>
      <c r="AB268" s="751"/>
      <c r="AC268" s="233">
        <f t="shared" si="22"/>
        <v>0</v>
      </c>
      <c r="AD268" s="19"/>
      <c r="AE268" s="19"/>
      <c r="AF268" s="19"/>
      <c r="AG268" s="36"/>
      <c r="AH268" s="36"/>
      <c r="AI268" s="24"/>
      <c r="AJ268" s="24"/>
      <c r="AK268" s="34"/>
      <c r="AL268" s="364"/>
      <c r="AM268" s="34"/>
    </row>
    <row r="269" spans="1:39" s="6" customFormat="1" ht="14.1" hidden="1" customHeight="1" outlineLevel="1" x14ac:dyDescent="0.2">
      <c r="A269" s="85"/>
      <c r="B269" s="220" t="str">
        <f>AB269</f>
        <v>ProgMgr &amp; ProgLead:</v>
      </c>
      <c r="C269" s="151" t="s">
        <v>0</v>
      </c>
      <c r="D269" s="960"/>
      <c r="E269" s="165"/>
      <c r="F269"/>
      <c r="G269" s="140">
        <f t="shared" ref="G269:H272" si="23">AG269</f>
        <v>0</v>
      </c>
      <c r="H269" s="140">
        <f t="shared" si="23"/>
        <v>0</v>
      </c>
      <c r="I269" s="532"/>
      <c r="J269"/>
      <c r="K269"/>
      <c r="L269"/>
      <c r="M269"/>
      <c r="N269"/>
      <c r="O269"/>
      <c r="P269"/>
      <c r="Q269"/>
      <c r="R269"/>
      <c r="S269"/>
      <c r="T269"/>
      <c r="U269"/>
      <c r="X269"/>
      <c r="Y269" s="960"/>
      <c r="AB269" s="934" t="str">
        <f>S.Staff.Program.Mgr.FirstName&amp;" &amp; "&amp;S.Staff.Subject.Expert.FirstName&amp;":"</f>
        <v>ProgMgr &amp; ProgLead:</v>
      </c>
      <c r="AC269" s="233">
        <f t="shared" si="22"/>
        <v>0</v>
      </c>
      <c r="AD269" s="19"/>
      <c r="AE269" s="19"/>
      <c r="AF269" s="19"/>
      <c r="AG269" s="25">
        <f>S.2AC.BEGIN</f>
        <v>0</v>
      </c>
      <c r="AH269" s="25">
        <f>G269</f>
        <v>0</v>
      </c>
      <c r="AI269" s="18"/>
      <c r="AJ269" s="15"/>
      <c r="AK269" s="34"/>
      <c r="AL269" s="364"/>
      <c r="AM269" s="34"/>
    </row>
    <row r="270" spans="1:39" s="749" customFormat="1" ht="14.1" hidden="1" customHeight="1" outlineLevel="1" x14ac:dyDescent="0.2">
      <c r="A270" s="85"/>
      <c r="B270" s="199" t="str">
        <f>AB270</f>
        <v>* share Advisory Committee deliverables and decisions with MediaLead</v>
      </c>
      <c r="C270" s="151" t="s">
        <v>0</v>
      </c>
      <c r="D270" s="165"/>
      <c r="E270" s="165"/>
      <c r="G270" s="12"/>
      <c r="H270" s="12"/>
      <c r="I270" s="532"/>
      <c r="Y270" s="960"/>
      <c r="AB270" s="934" t="str">
        <f>"* share Advisory Committee deliverables and decisions with "&amp;S.Staff.Assistant.DA.ShortName</f>
        <v>* share Advisory Committee deliverables and decisions with MediaLead</v>
      </c>
      <c r="AC270" s="233">
        <f t="shared" si="22"/>
        <v>0</v>
      </c>
      <c r="AD270" s="19"/>
      <c r="AE270" s="19"/>
      <c r="AF270" s="19"/>
      <c r="AG270" s="36"/>
      <c r="AH270" s="36"/>
      <c r="AI270" s="18"/>
      <c r="AJ270" s="15"/>
      <c r="AK270" s="34"/>
      <c r="AL270" s="364"/>
      <c r="AM270" s="34"/>
    </row>
    <row r="271" spans="1:39" s="6" customFormat="1" ht="14.1" hidden="1" customHeight="1" outlineLevel="1" x14ac:dyDescent="0.2">
      <c r="A271" s="85"/>
      <c r="B271" s="199" t="s">
        <v>493</v>
      </c>
      <c r="C271" s="151" t="s">
        <v>0</v>
      </c>
      <c r="D271" s="165"/>
      <c r="E271" s="165"/>
      <c r="F271"/>
      <c r="G271" s="12"/>
      <c r="H271" s="12"/>
      <c r="I271" s="532"/>
      <c r="J271"/>
      <c r="K271"/>
      <c r="L271"/>
      <c r="M271"/>
      <c r="N271"/>
      <c r="O271"/>
      <c r="P271"/>
      <c r="Q271"/>
      <c r="R271"/>
      <c r="S271"/>
      <c r="T271"/>
      <c r="U271"/>
      <c r="X271"/>
      <c r="Y271" s="960"/>
      <c r="AB271" s="929"/>
      <c r="AC271" s="233">
        <f t="shared" si="22"/>
        <v>0</v>
      </c>
      <c r="AD271" s="19"/>
      <c r="AE271" s="19"/>
      <c r="AF271" s="19"/>
      <c r="AG271" s="36"/>
      <c r="AH271" s="36"/>
      <c r="AI271" s="18"/>
      <c r="AJ271" s="15"/>
      <c r="AK271" s="34"/>
      <c r="AL271" s="364"/>
      <c r="AM271" s="34"/>
    </row>
    <row r="272" spans="1:39" s="6" customFormat="1" ht="14.1" hidden="1" customHeight="1" outlineLevel="1" x14ac:dyDescent="0.25">
      <c r="A272" s="85"/>
      <c r="B272" s="220" t="str">
        <f>AB272</f>
        <v>ProgMgr approves deliverables including AC.ROSTER</v>
      </c>
      <c r="C272" s="117"/>
      <c r="D272" s="165"/>
      <c r="E272" s="165"/>
      <c r="F272"/>
      <c r="G272" s="12"/>
      <c r="H272" s="140">
        <f t="shared" si="23"/>
        <v>0</v>
      </c>
      <c r="I272" s="532"/>
      <c r="J272"/>
      <c r="K272"/>
      <c r="L272"/>
      <c r="M272"/>
      <c r="N272"/>
      <c r="O272"/>
      <c r="P272"/>
      <c r="Q272"/>
      <c r="R272"/>
      <c r="S272"/>
      <c r="T272"/>
      <c r="U272"/>
      <c r="X272"/>
      <c r="Y272" s="960"/>
      <c r="AB272" s="934" t="str">
        <f>S.Staff.Program.Mgr.FirstName&amp;" approves deliverables including AC.ROSTER"</f>
        <v>ProgMgr approves deliverables including AC.ROSTER</v>
      </c>
      <c r="AC272" s="233">
        <f t="shared" si="22"/>
        <v>0</v>
      </c>
      <c r="AD272" s="19"/>
      <c r="AE272" s="19"/>
      <c r="AF272" s="19"/>
      <c r="AG272" s="36"/>
      <c r="AH272" s="25">
        <f>H269</f>
        <v>0</v>
      </c>
      <c r="AI272" s="24"/>
      <c r="AJ272" s="15"/>
      <c r="AK272" s="34"/>
      <c r="AL272" s="364"/>
      <c r="AM272" s="34"/>
    </row>
    <row r="273" spans="1:39" s="6" customFormat="1" ht="14.1" hidden="1" customHeight="1" outlineLevel="1" x14ac:dyDescent="0.25">
      <c r="A273" s="85"/>
      <c r="B273" s="220" t="str">
        <f>AB273</f>
        <v>ProgLead coordinates with team to:</v>
      </c>
      <c r="C273" s="117"/>
      <c r="D273" s="500"/>
      <c r="E273" s="500"/>
      <c r="F273"/>
      <c r="G273" s="113"/>
      <c r="H273" s="114"/>
      <c r="I273" s="532"/>
      <c r="J273"/>
      <c r="K273"/>
      <c r="L273"/>
      <c r="M273"/>
      <c r="N273"/>
      <c r="O273"/>
      <c r="P273"/>
      <c r="Q273"/>
      <c r="R273"/>
      <c r="S273"/>
      <c r="T273"/>
      <c r="U273"/>
      <c r="X273"/>
      <c r="Y273" s="960"/>
      <c r="AB273" s="934" t="str">
        <f>S.Staff.Subject.Expert.FirstName&amp;" coordinates with team to:"</f>
        <v>ProgLead coordinates with team to:</v>
      </c>
      <c r="AC273" s="233">
        <f t="shared" si="22"/>
        <v>0</v>
      </c>
      <c r="AD273" s="19"/>
      <c r="AE273" s="19"/>
      <c r="AF273" s="19"/>
      <c r="AG273" s="23"/>
      <c r="AH273" s="23"/>
      <c r="AI273" s="24"/>
      <c r="AJ273" s="15"/>
      <c r="AK273" s="34"/>
      <c r="AL273" s="364"/>
      <c r="AM273" s="34"/>
    </row>
    <row r="274" spans="1:39" ht="14.1" hidden="1" customHeight="1" outlineLevel="1" x14ac:dyDescent="0.2">
      <c r="A274" s="85"/>
      <c r="B274" s="200" t="s">
        <v>495</v>
      </c>
      <c r="C274" s="151" t="s">
        <v>0</v>
      </c>
      <c r="D274" s="165"/>
      <c r="E274" s="165"/>
      <c r="F274"/>
      <c r="G274" s="203">
        <f>AG274</f>
        <v>0</v>
      </c>
      <c r="H274" s="140">
        <f>AH274</f>
        <v>0</v>
      </c>
      <c r="I274" s="532"/>
      <c r="AB274" s="929"/>
      <c r="AC274" s="233">
        <f t="shared" si="22"/>
        <v>0</v>
      </c>
      <c r="AD274" s="19"/>
      <c r="AE274" s="19"/>
      <c r="AF274" s="19"/>
      <c r="AG274" s="25">
        <f>H272</f>
        <v>0</v>
      </c>
      <c r="AH274" s="25">
        <f>G274</f>
        <v>0</v>
      </c>
      <c r="AI274" s="18"/>
      <c r="AJ274" s="15"/>
      <c r="AK274" s="34"/>
      <c r="AL274" s="364"/>
      <c r="AM274" s="34"/>
    </row>
    <row r="275" spans="1:39" s="6" customFormat="1" ht="14.1" hidden="1" customHeight="1" outlineLevel="1" x14ac:dyDescent="0.2">
      <c r="A275" s="85"/>
      <c r="B275" s="200" t="s">
        <v>494</v>
      </c>
      <c r="C275" s="151" t="s">
        <v>0</v>
      </c>
      <c r="D275" s="165"/>
      <c r="E275" s="165"/>
      <c r="F275"/>
      <c r="G275" s="162"/>
      <c r="H275" s="140">
        <f>AH275</f>
        <v>0</v>
      </c>
      <c r="I275" s="532"/>
      <c r="J275"/>
      <c r="K275"/>
      <c r="L275"/>
      <c r="M275"/>
      <c r="N275"/>
      <c r="O275"/>
      <c r="P275"/>
      <c r="Q275"/>
      <c r="R275"/>
      <c r="S275"/>
      <c r="T275"/>
      <c r="U275"/>
      <c r="X275"/>
      <c r="Y275" s="960"/>
      <c r="AB275" s="929"/>
      <c r="AC275" s="233">
        <f t="shared" si="22"/>
        <v>0</v>
      </c>
      <c r="AD275" s="19"/>
      <c r="AE275" s="19"/>
      <c r="AF275" s="19"/>
      <c r="AG275" s="9"/>
      <c r="AH275" s="25">
        <f>H274</f>
        <v>0</v>
      </c>
      <c r="AI275" s="18"/>
      <c r="AJ275" s="15"/>
      <c r="AK275" s="34"/>
      <c r="AL275" s="364"/>
      <c r="AM275" s="34"/>
    </row>
    <row r="276" spans="1:39" s="743" customFormat="1" ht="13.5" hidden="1" customHeight="1" outlineLevel="1" x14ac:dyDescent="0.25">
      <c r="A276" s="85" t="s">
        <v>0</v>
      </c>
      <c r="B276" s="341" t="str">
        <f>AB276</f>
        <v>Meyer works with WebRep to establish:</v>
      </c>
      <c r="D276" s="500"/>
      <c r="E276" s="305"/>
      <c r="F276" s="305"/>
      <c r="G276" s="162"/>
      <c r="H276" s="337">
        <f>AH276</f>
        <v>0</v>
      </c>
      <c r="I276" s="532"/>
      <c r="Y276" s="960"/>
      <c r="AB276" s="934" t="str">
        <f>S.Staff.AgencyRulesCoordinator&amp;" works with "&amp;S.Staff.WebMaster&amp;" to establish:"</f>
        <v>Meyer works with WebRep to establish:</v>
      </c>
      <c r="AC276" s="233">
        <f t="shared" si="22"/>
        <v>0</v>
      </c>
      <c r="AD276" s="19"/>
      <c r="AE276" s="19"/>
      <c r="AF276" s="19"/>
      <c r="AG276" s="24" t="s">
        <v>0</v>
      </c>
      <c r="AH276" s="25">
        <f>H275</f>
        <v>0</v>
      </c>
      <c r="AI276" s="24"/>
      <c r="AJ276" s="24"/>
      <c r="AK276" s="34"/>
      <c r="AL276" s="364"/>
      <c r="AM276" s="34"/>
    </row>
    <row r="277" spans="1:39" s="743" customFormat="1" ht="13.5" hidden="1" customHeight="1" outlineLevel="1" x14ac:dyDescent="0.25">
      <c r="A277" s="85"/>
      <c r="B277" s="171" t="s">
        <v>483</v>
      </c>
      <c r="C277" s="737" t="str">
        <f>HYPERLINK("http://www.oregon.gov/deq/RulesandRegulations/Pages/advisorycom.aspx","i")</f>
        <v>i</v>
      </c>
      <c r="D277" s="165"/>
      <c r="E277" s="499"/>
      <c r="I277" s="532"/>
      <c r="Y277" s="960"/>
      <c r="AB277" s="926"/>
      <c r="AC277" s="233">
        <f t="shared" si="22"/>
        <v>0</v>
      </c>
      <c r="AD277" s="19"/>
      <c r="AE277" s="19"/>
      <c r="AF277" s="19"/>
      <c r="AG277" s="24"/>
      <c r="AH277" s="24"/>
      <c r="AI277" s="24"/>
      <c r="AJ277" s="24"/>
      <c r="AK277" s="34"/>
      <c r="AL277" s="364"/>
      <c r="AM277" s="34"/>
    </row>
    <row r="278" spans="1:39" s="743" customFormat="1" ht="13.5" hidden="1" customHeight="1" outlineLevel="1" x14ac:dyDescent="0.2">
      <c r="A278" s="85" t="s">
        <v>0</v>
      </c>
      <c r="B278" s="759" t="str">
        <f>AB278</f>
        <v>http://www.oregon.gov/deq/RulesandRegulations/Pages/Advisory/Acodename.aspx</v>
      </c>
      <c r="C278" s="356" t="s">
        <v>0</v>
      </c>
      <c r="D278" s="499"/>
      <c r="E278" s="499"/>
      <c r="I278" s="532"/>
      <c r="Y278" s="960"/>
      <c r="AB278" s="952" t="str">
        <f>"http://www.oregon.gov/deq/RulesandRegulations/Pages/Advisory/A"&amp;LOWER(S.General.CodeName)&amp;".aspx"</f>
        <v>http://www.oregon.gov/deq/RulesandRegulations/Pages/Advisory/Acodename.aspx</v>
      </c>
      <c r="AC278" s="233">
        <f t="shared" si="22"/>
        <v>0</v>
      </c>
      <c r="AD278" s="19"/>
      <c r="AE278" s="19"/>
      <c r="AF278" s="19"/>
      <c r="AG278" s="24"/>
      <c r="AH278" s="24"/>
      <c r="AI278" s="24"/>
      <c r="AJ278" s="24"/>
      <c r="AK278" s="34"/>
      <c r="AL278" s="364"/>
      <c r="AM278" s="34"/>
    </row>
    <row r="279" spans="1:39" s="743" customFormat="1" ht="14.1" hidden="1" customHeight="1" outlineLevel="1" x14ac:dyDescent="0.2">
      <c r="A279" s="85"/>
      <c r="B279" s="171" t="s">
        <v>484</v>
      </c>
      <c r="C279" s="356"/>
      <c r="D279" s="165"/>
      <c r="E279" s="499"/>
      <c r="I279" s="532"/>
      <c r="Y279" s="960"/>
      <c r="AB279" s="926"/>
      <c r="AC279" s="233">
        <f t="shared" si="22"/>
        <v>0</v>
      </c>
      <c r="AD279" s="19"/>
      <c r="AE279" s="19"/>
      <c r="AF279" s="19"/>
      <c r="AG279" s="24"/>
      <c r="AH279" s="24"/>
      <c r="AI279" s="24"/>
      <c r="AJ279" s="24"/>
      <c r="AK279" s="34"/>
      <c r="AL279" s="364"/>
      <c r="AM279" s="34"/>
    </row>
    <row r="280" spans="1:39" s="743" customFormat="1" ht="14.1" hidden="1" customHeight="1" outlineLevel="1" x14ac:dyDescent="0.2">
      <c r="A280" s="85" t="s">
        <v>0</v>
      </c>
      <c r="B280" s="759" t="str">
        <f>AB280</f>
        <v xml:space="preserve">http://www.oregon.gov/deq/RulesandRegulations/Pages/Advisory/AMcodename.aspx </v>
      </c>
      <c r="C280" s="356" t="s">
        <v>0</v>
      </c>
      <c r="D280" s="499"/>
      <c r="E280" s="499"/>
      <c r="I280" s="532"/>
      <c r="Y280" s="960"/>
      <c r="AB280" s="952" t="str">
        <f>"http://www.oregon.gov/deq/RulesandRegulations/Pages/Advisory/AM"&amp;LOWER(S.General.CodeName)&amp;".aspx "</f>
        <v xml:space="preserve">http://www.oregon.gov/deq/RulesandRegulations/Pages/Advisory/AMcodename.aspx </v>
      </c>
      <c r="AC280" s="233">
        <f t="shared" si="22"/>
        <v>0</v>
      </c>
      <c r="AD280" s="19"/>
      <c r="AE280" s="19"/>
      <c r="AF280" s="19"/>
      <c r="AG280" s="24"/>
      <c r="AH280" s="24"/>
      <c r="AI280" s="24"/>
      <c r="AJ280" s="24"/>
      <c r="AK280" s="34"/>
      <c r="AL280" s="364"/>
      <c r="AM280" s="34"/>
    </row>
    <row r="281" spans="1:39" s="743" customFormat="1" ht="14.1" hidden="1" customHeight="1" outlineLevel="1" x14ac:dyDescent="0.2">
      <c r="A281" s="85"/>
      <c r="B281" s="171" t="s">
        <v>485</v>
      </c>
      <c r="C281" s="356"/>
      <c r="D281" s="165"/>
      <c r="E281" s="499"/>
      <c r="I281" s="532"/>
      <c r="Y281" s="960"/>
      <c r="AB281" s="926"/>
      <c r="AC281" s="233">
        <f t="shared" si="22"/>
        <v>0</v>
      </c>
      <c r="AD281" s="19"/>
      <c r="AE281" s="19"/>
      <c r="AF281" s="19"/>
      <c r="AG281" s="24"/>
      <c r="AH281" s="24"/>
      <c r="AI281" s="24"/>
      <c r="AJ281" s="24"/>
      <c r="AK281" s="34"/>
      <c r="AL281" s="364"/>
      <c r="AM281" s="34"/>
    </row>
    <row r="282" spans="1:39" s="749" customFormat="1" ht="14.1" hidden="1" customHeight="1" outlineLevel="1" x14ac:dyDescent="0.25">
      <c r="A282" s="85"/>
      <c r="B282" s="220" t="str">
        <f>AB282</f>
        <v>ProgMgr:</v>
      </c>
      <c r="C282" s="117"/>
      <c r="D282" s="165"/>
      <c r="E282" s="165"/>
      <c r="G282" s="12"/>
      <c r="H282" s="140">
        <f t="shared" ref="H282" si="24">AH282</f>
        <v>0</v>
      </c>
      <c r="I282" s="532"/>
      <c r="Y282" s="960"/>
      <c r="AB282" s="934" t="str">
        <f>S.Staff.Program.Mgr.FirstName&amp;":"</f>
        <v>ProgMgr:</v>
      </c>
      <c r="AC282" s="233">
        <f t="shared" si="22"/>
        <v>0</v>
      </c>
      <c r="AD282" s="19"/>
      <c r="AE282" s="19"/>
      <c r="AF282" s="19"/>
      <c r="AG282" s="36"/>
      <c r="AH282" s="25">
        <f>H275</f>
        <v>0</v>
      </c>
      <c r="AI282" s="24"/>
      <c r="AJ282" s="15"/>
      <c r="AK282" s="34"/>
      <c r="AL282" s="364"/>
      <c r="AM282" s="34"/>
    </row>
    <row r="283" spans="1:39" s="749" customFormat="1" ht="14.1" hidden="1" customHeight="1" outlineLevel="1" x14ac:dyDescent="0.25">
      <c r="A283" s="85"/>
      <c r="B283" s="199" t="s">
        <v>503</v>
      </c>
      <c r="C283" s="117"/>
      <c r="D283" s="165"/>
      <c r="E283" s="165"/>
      <c r="G283" s="12"/>
      <c r="H283" s="161"/>
      <c r="I283" s="532"/>
      <c r="Y283" s="960"/>
      <c r="AB283" s="934" t="str">
        <f>S.Staff.Program.Mgr.FirstName&amp;" sends AC.MEMBER.INVITATION email with meeting schedule"</f>
        <v>ProgMgr sends AC.MEMBER.INVITATION email with meeting schedule</v>
      </c>
      <c r="AC283" s="233">
        <f t="shared" si="22"/>
        <v>0</v>
      </c>
      <c r="AD283" s="19"/>
      <c r="AE283" s="19"/>
      <c r="AF283" s="19"/>
      <c r="AG283" s="36"/>
      <c r="AH283" s="9" t="s">
        <v>0</v>
      </c>
      <c r="AI283" s="24"/>
      <c r="AJ283" s="15"/>
      <c r="AK283" s="34"/>
      <c r="AL283" s="364"/>
      <c r="AM283" s="34"/>
    </row>
    <row r="284" spans="1:39" s="6" customFormat="1" ht="14.1" hidden="1" customHeight="1" outlineLevel="1" x14ac:dyDescent="0.2">
      <c r="A284" s="85"/>
      <c r="B284" s="760" t="s">
        <v>504</v>
      </c>
      <c r="C284" s="151" t="s">
        <v>0</v>
      </c>
      <c r="D284" s="165"/>
      <c r="E284" s="536"/>
      <c r="F284"/>
      <c r="G284" s="161"/>
      <c r="H284" s="161"/>
      <c r="I284" s="532"/>
      <c r="J284"/>
      <c r="K284"/>
      <c r="L284"/>
      <c r="M284"/>
      <c r="N284"/>
      <c r="O284"/>
      <c r="P284"/>
      <c r="Q284"/>
      <c r="R284"/>
      <c r="S284"/>
      <c r="T284"/>
      <c r="U284"/>
      <c r="X284"/>
      <c r="Y284" s="960"/>
      <c r="AB284" s="751"/>
      <c r="AC284" s="233">
        <f t="shared" si="22"/>
        <v>0</v>
      </c>
      <c r="AD284" s="19"/>
      <c r="AE284" s="19"/>
      <c r="AF284" s="19"/>
      <c r="AG284" s="9"/>
      <c r="AH284" s="9" t="s">
        <v>0</v>
      </c>
      <c r="AI284" s="24"/>
      <c r="AJ284" s="24"/>
      <c r="AK284" s="34"/>
      <c r="AL284" s="364"/>
      <c r="AM284" s="34"/>
    </row>
    <row r="285" spans="1:39" s="6" customFormat="1" ht="14.1" hidden="1" customHeight="1" outlineLevel="1" x14ac:dyDescent="0.2">
      <c r="A285" s="85"/>
      <c r="B285" s="761" t="s">
        <v>154</v>
      </c>
      <c r="C285" s="356"/>
      <c r="D285" s="499"/>
      <c r="E285" s="499"/>
      <c r="F285"/>
      <c r="I285" s="532"/>
      <c r="J285"/>
      <c r="K285"/>
      <c r="L285"/>
      <c r="M285"/>
      <c r="N285"/>
      <c r="O285"/>
      <c r="P285"/>
      <c r="Q285"/>
      <c r="R285"/>
      <c r="S285"/>
      <c r="T285"/>
      <c r="U285"/>
      <c r="X285"/>
      <c r="Y285" s="960"/>
      <c r="AB285" s="944"/>
      <c r="AC285" s="233">
        <f t="shared" si="22"/>
        <v>0</v>
      </c>
      <c r="AD285" s="19"/>
      <c r="AE285" s="19"/>
      <c r="AF285" s="19"/>
      <c r="AG285" s="36"/>
      <c r="AH285" s="36"/>
      <c r="AI285" s="24"/>
      <c r="AJ285" s="16"/>
      <c r="AK285" s="34"/>
      <c r="AL285" s="364"/>
      <c r="AM285" s="34"/>
    </row>
    <row r="286" spans="1:39" s="6" customFormat="1" ht="14.1" hidden="1" customHeight="1" outlineLevel="1" x14ac:dyDescent="0.2">
      <c r="A286" s="85"/>
      <c r="B286" s="761" t="s">
        <v>128</v>
      </c>
      <c r="C286" s="356"/>
      <c r="D286" s="499"/>
      <c r="E286" s="499"/>
      <c r="F286"/>
      <c r="I286" s="532"/>
      <c r="J286"/>
      <c r="K286"/>
      <c r="L286"/>
      <c r="M286"/>
      <c r="N286"/>
      <c r="O286"/>
      <c r="P286"/>
      <c r="Q286"/>
      <c r="R286"/>
      <c r="S286"/>
      <c r="T286"/>
      <c r="U286"/>
      <c r="X286"/>
      <c r="Y286" s="960"/>
      <c r="AB286" s="944"/>
      <c r="AC286" s="233">
        <f t="shared" si="22"/>
        <v>0</v>
      </c>
      <c r="AD286" s="19"/>
      <c r="AE286" s="19"/>
      <c r="AF286" s="19"/>
      <c r="AG286" s="36"/>
      <c r="AH286" s="36"/>
      <c r="AI286" s="24"/>
      <c r="AJ286" s="16"/>
      <c r="AK286" s="34"/>
      <c r="AL286" s="364"/>
      <c r="AM286" s="34"/>
    </row>
    <row r="287" spans="1:39" s="6" customFormat="1" ht="14.1" hidden="1" customHeight="1" outlineLevel="1" x14ac:dyDescent="0.2">
      <c r="A287" s="85"/>
      <c r="B287" s="761" t="s">
        <v>129</v>
      </c>
      <c r="C287" s="356"/>
      <c r="D287" s="499"/>
      <c r="E287" s="499"/>
      <c r="F287"/>
      <c r="I287" s="532"/>
      <c r="J287"/>
      <c r="K287"/>
      <c r="L287"/>
      <c r="M287"/>
      <c r="N287"/>
      <c r="O287"/>
      <c r="P287"/>
      <c r="Q287"/>
      <c r="R287"/>
      <c r="S287"/>
      <c r="T287"/>
      <c r="U287"/>
      <c r="X287"/>
      <c r="Y287" s="960"/>
      <c r="AB287" s="944"/>
      <c r="AC287" s="233">
        <f t="shared" si="22"/>
        <v>0</v>
      </c>
      <c r="AD287" s="19"/>
      <c r="AE287" s="19"/>
      <c r="AF287" s="19"/>
      <c r="AG287" s="36"/>
      <c r="AH287" s="36"/>
      <c r="AI287" s="24"/>
      <c r="AJ287" s="16"/>
      <c r="AK287" s="34"/>
      <c r="AL287" s="364"/>
      <c r="AM287" s="34"/>
    </row>
    <row r="288" spans="1:39" s="6" customFormat="1" ht="14.1" hidden="1" customHeight="1" outlineLevel="1" x14ac:dyDescent="0.2">
      <c r="A288" s="85"/>
      <c r="B288" s="761" t="s">
        <v>130</v>
      </c>
      <c r="C288" s="356"/>
      <c r="D288" s="499"/>
      <c r="E288" s="499"/>
      <c r="F288"/>
      <c r="I288" s="532"/>
      <c r="J288"/>
      <c r="K288"/>
      <c r="L288"/>
      <c r="M288"/>
      <c r="N288"/>
      <c r="O288"/>
      <c r="P288"/>
      <c r="Q288"/>
      <c r="R288"/>
      <c r="S288"/>
      <c r="T288"/>
      <c r="U288"/>
      <c r="X288"/>
      <c r="Y288" s="960"/>
      <c r="AB288" s="944"/>
      <c r="AC288" s="233">
        <f t="shared" si="22"/>
        <v>0</v>
      </c>
      <c r="AD288" s="19"/>
      <c r="AE288" s="19"/>
      <c r="AF288" s="19"/>
      <c r="AG288" s="36"/>
      <c r="AH288" s="36"/>
      <c r="AI288" s="24"/>
      <c r="AJ288" s="16"/>
      <c r="AK288" s="34"/>
      <c r="AL288" s="364"/>
      <c r="AM288" s="34"/>
    </row>
    <row r="289" spans="1:39" s="6" customFormat="1" ht="14.1" hidden="1" customHeight="1" outlineLevel="1" x14ac:dyDescent="0.2">
      <c r="A289" s="85"/>
      <c r="B289" s="761" t="s">
        <v>131</v>
      </c>
      <c r="C289" s="356"/>
      <c r="D289" s="499"/>
      <c r="E289" s="499"/>
      <c r="F289"/>
      <c r="I289" s="532"/>
      <c r="J289"/>
      <c r="K289"/>
      <c r="L289"/>
      <c r="M289"/>
      <c r="N289"/>
      <c r="O289"/>
      <c r="P289"/>
      <c r="Q289"/>
      <c r="R289"/>
      <c r="S289"/>
      <c r="T289"/>
      <c r="U289"/>
      <c r="X289"/>
      <c r="Y289" s="960"/>
      <c r="AB289" s="944"/>
      <c r="AC289" s="233">
        <f t="shared" si="22"/>
        <v>0</v>
      </c>
      <c r="AD289" s="19"/>
      <c r="AE289" s="19"/>
      <c r="AF289" s="19"/>
      <c r="AG289" s="36"/>
      <c r="AH289" s="36"/>
      <c r="AI289" s="24"/>
      <c r="AJ289" s="16"/>
      <c r="AK289" s="34"/>
      <c r="AL289" s="364"/>
      <c r="AM289" s="34"/>
    </row>
    <row r="290" spans="1:39" s="749" customFormat="1" ht="14.1" hidden="1" customHeight="1" outlineLevel="1" x14ac:dyDescent="0.25">
      <c r="A290" s="85"/>
      <c r="B290" s="220" t="str">
        <f>AB290</f>
        <v>ProgLead:</v>
      </c>
      <c r="C290" s="117"/>
      <c r="D290" s="500"/>
      <c r="E290" s="500"/>
      <c r="G290" s="113"/>
      <c r="H290" s="114"/>
      <c r="I290" s="532"/>
      <c r="Y290" s="960"/>
      <c r="AB290" s="934" t="str">
        <f>S.Staff.Subject.Expert.FirstName&amp;":"</f>
        <v>ProgLead:</v>
      </c>
      <c r="AC290" s="233">
        <f t="shared" si="22"/>
        <v>0</v>
      </c>
      <c r="AD290" s="19"/>
      <c r="AE290" s="19"/>
      <c r="AF290" s="19"/>
      <c r="AG290" s="23"/>
      <c r="AH290" s="23"/>
      <c r="AI290" s="24"/>
      <c r="AJ290" s="15"/>
      <c r="AK290" s="34"/>
      <c r="AL290" s="364"/>
      <c r="AM290" s="34"/>
    </row>
    <row r="291" spans="1:39" s="749" customFormat="1" ht="14.1" hidden="1" customHeight="1" outlineLevel="1" x14ac:dyDescent="0.2">
      <c r="A291" s="85"/>
      <c r="B291" s="198" t="s">
        <v>502</v>
      </c>
      <c r="C291" s="151" t="s">
        <v>0</v>
      </c>
      <c r="D291" s="165"/>
      <c r="E291" s="536"/>
      <c r="G291" s="12"/>
      <c r="H291" s="12"/>
      <c r="I291" s="532"/>
      <c r="Y291" s="960"/>
      <c r="AB291" s="751"/>
      <c r="AC291" s="233">
        <f t="shared" si="22"/>
        <v>0</v>
      </c>
      <c r="AD291" s="19"/>
      <c r="AE291" s="19"/>
      <c r="AF291" s="19"/>
      <c r="AG291" s="9"/>
      <c r="AH291" s="9" t="s">
        <v>0</v>
      </c>
      <c r="AI291" s="24"/>
      <c r="AJ291" s="24"/>
      <c r="AK291" s="34"/>
      <c r="AL291" s="364"/>
      <c r="AM291" s="34"/>
    </row>
    <row r="292" spans="1:39" ht="14.1" hidden="1" customHeight="1" outlineLevel="1" x14ac:dyDescent="0.2">
      <c r="A292" s="85"/>
      <c r="B292" s="197" t="s">
        <v>491</v>
      </c>
      <c r="C292" s="151" t="s">
        <v>0</v>
      </c>
      <c r="D292" s="502"/>
      <c r="E292" s="502"/>
      <c r="F292"/>
      <c r="G292"/>
      <c r="H292"/>
      <c r="I292" s="532"/>
      <c r="AB292" s="929" t="s">
        <v>0</v>
      </c>
      <c r="AC292" s="233">
        <f t="shared" si="22"/>
        <v>0</v>
      </c>
      <c r="AD292" s="19"/>
      <c r="AE292" s="19"/>
      <c r="AF292" s="19"/>
      <c r="AG292" s="9"/>
      <c r="AH292" s="9" t="s">
        <v>0</v>
      </c>
      <c r="AI292" s="18"/>
      <c r="AJ292" s="15"/>
      <c r="AK292" s="34"/>
      <c r="AL292" s="364"/>
      <c r="AM292" s="34"/>
    </row>
    <row r="293" spans="1:39" s="6" customFormat="1" ht="14.1" hidden="1" customHeight="1" outlineLevel="1" thickBot="1" x14ac:dyDescent="0.25">
      <c r="A293" s="85"/>
      <c r="B293" s="124" t="s">
        <v>508</v>
      </c>
      <c r="C293" s="151" t="s">
        <v>0</v>
      </c>
      <c r="D293" s="165"/>
      <c r="E293" s="536"/>
      <c r="F293"/>
      <c r="I293" s="532"/>
      <c r="J293"/>
      <c r="K293"/>
      <c r="L293"/>
      <c r="M293"/>
      <c r="N293"/>
      <c r="O293"/>
      <c r="P293"/>
      <c r="Q293"/>
      <c r="R293"/>
      <c r="S293"/>
      <c r="T293"/>
      <c r="U293"/>
      <c r="X293"/>
      <c r="Y293" s="960"/>
      <c r="AB293" s="929"/>
      <c r="AC293" s="233">
        <f t="shared" si="22"/>
        <v>0</v>
      </c>
      <c r="AD293" s="19"/>
      <c r="AE293" s="19"/>
      <c r="AF293" s="19"/>
      <c r="AG293" s="9"/>
      <c r="AH293" s="9" t="s">
        <v>0</v>
      </c>
      <c r="AI293" s="18"/>
      <c r="AJ293" s="15"/>
      <c r="AK293" s="34"/>
      <c r="AL293" s="364"/>
      <c r="AM293" s="34"/>
    </row>
    <row r="294" spans="1:39" ht="14.1" hidden="1" customHeight="1" outlineLevel="1" thickBot="1" x14ac:dyDescent="0.25">
      <c r="A294" s="85"/>
      <c r="B294" s="236" t="s">
        <v>17</v>
      </c>
      <c r="C294" s="350" t="s">
        <v>12</v>
      </c>
      <c r="D294" s="502"/>
      <c r="E294" s="502"/>
      <c r="F294"/>
      <c r="G294" s="139">
        <f>AG294</f>
        <v>16</v>
      </c>
      <c r="H294" s="138" t="s">
        <v>429</v>
      </c>
      <c r="I294" s="532"/>
      <c r="AB294" s="929"/>
      <c r="AC294" s="233">
        <f t="shared" ref="AC294" si="25">IF(AND(S.AC.InvolveMeeting1="Y",S.AC.CommitteeInvolved="Y"),1,0)</f>
        <v>0</v>
      </c>
      <c r="AD294" s="19"/>
      <c r="AE294" s="19"/>
      <c r="AF294" s="19"/>
      <c r="AG294" s="25">
        <f>WORKDAY(S.AC.SendInvitation+13,1,S.DDL_DEQClosed)</f>
        <v>16</v>
      </c>
      <c r="AH294" s="9" t="s">
        <v>0</v>
      </c>
      <c r="AI294" s="9"/>
      <c r="AJ294" s="15"/>
      <c r="AK294" s="34"/>
      <c r="AL294" s="364"/>
      <c r="AM294" s="34"/>
    </row>
    <row r="295" spans="1:39" ht="14.1" hidden="1" customHeight="1" outlineLevel="2" x14ac:dyDescent="0.2">
      <c r="A295" s="85"/>
      <c r="B295" s="261" t="s">
        <v>41</v>
      </c>
      <c r="C295" s="142"/>
      <c r="D295" s="165"/>
      <c r="E295" s="536"/>
      <c r="F295"/>
      <c r="G295" s="142"/>
      <c r="H295" s="182"/>
      <c r="I295" s="532"/>
      <c r="AB295" s="929"/>
      <c r="AC295" s="233">
        <f t="shared" ref="AC295:AC308" si="26">$AC$294</f>
        <v>0</v>
      </c>
      <c r="AD295" s="19"/>
      <c r="AE295" s="19"/>
      <c r="AF295" s="19"/>
      <c r="AG295" s="9"/>
      <c r="AH295" s="9" t="s">
        <v>0</v>
      </c>
      <c r="AI295" s="18"/>
      <c r="AJ295" s="15"/>
      <c r="AK295" s="34"/>
      <c r="AL295" s="364"/>
      <c r="AM295" s="34"/>
    </row>
    <row r="296" spans="1:39" s="749" customFormat="1" ht="14.1" hidden="1" customHeight="1" outlineLevel="2" x14ac:dyDescent="0.2">
      <c r="A296" s="85"/>
      <c r="B296" s="166" t="str">
        <f>AB296</f>
        <v>ProgLead:</v>
      </c>
      <c r="C296" s="142"/>
      <c r="D296" s="165"/>
      <c r="E296" s="165"/>
      <c r="G296" s="203" t="e">
        <f>AG296</f>
        <v>#NUM!</v>
      </c>
      <c r="H296" s="140" t="e">
        <f>AH296</f>
        <v>#NUM!</v>
      </c>
      <c r="I296" s="532"/>
      <c r="Y296" s="960"/>
      <c r="AB296" s="936" t="str">
        <f>S.Staff.Subject.Expert.FirstName&amp;":"</f>
        <v>ProgLead:</v>
      </c>
      <c r="AC296" s="233">
        <f t="shared" si="26"/>
        <v>0</v>
      </c>
      <c r="AD296" s="19"/>
      <c r="AE296" s="19"/>
      <c r="AF296" s="19"/>
      <c r="AG296" s="25" t="e">
        <f>WORKDAY(S.AC.DateMeeting1,-28,S.DDL_DEQClosed)</f>
        <v>#NUM!</v>
      </c>
      <c r="AH296" s="25" t="e">
        <f>G296</f>
        <v>#NUM!</v>
      </c>
      <c r="AI296" s="23"/>
      <c r="AJ296" s="15"/>
      <c r="AK296" s="34"/>
      <c r="AL296" s="364"/>
      <c r="AM296" s="34"/>
    </row>
    <row r="297" spans="1:39" s="6" customFormat="1" ht="14.1" hidden="1" customHeight="1" outlineLevel="2" x14ac:dyDescent="0.2">
      <c r="A297" s="85"/>
      <c r="B297" s="201" t="s">
        <v>509</v>
      </c>
      <c r="C297" s="142"/>
      <c r="D297" s="165"/>
      <c r="E297" s="165"/>
      <c r="F297"/>
      <c r="G297" s="142"/>
      <c r="H297" s="142"/>
      <c r="I297" s="532"/>
      <c r="J297"/>
      <c r="K297"/>
      <c r="L297"/>
      <c r="M297"/>
      <c r="N297"/>
      <c r="O297"/>
      <c r="P297"/>
      <c r="Q297"/>
      <c r="R297"/>
      <c r="S297"/>
      <c r="T297"/>
      <c r="U297"/>
      <c r="X297"/>
      <c r="Y297" s="960"/>
      <c r="AB297" s="936" t="str">
        <f>S.Staff.Subject.Expert.FirstName&amp;" coordinates drafting:"</f>
        <v>ProgLead coordinates drafting:</v>
      </c>
      <c r="AC297" s="233">
        <f t="shared" si="26"/>
        <v>0</v>
      </c>
      <c r="AD297" s="19"/>
      <c r="AE297" s="19"/>
      <c r="AF297" s="19"/>
      <c r="AG297" s="9"/>
      <c r="AH297" s="9"/>
      <c r="AI297" s="23"/>
      <c r="AJ297" s="15"/>
      <c r="AK297" s="34"/>
      <c r="AL297" s="364"/>
      <c r="AM297" s="34"/>
    </row>
    <row r="298" spans="1:39" ht="14.1" hidden="1" customHeight="1" outlineLevel="2" x14ac:dyDescent="0.2">
      <c r="A298" s="85"/>
      <c r="B298" s="271" t="str">
        <f>AB298</f>
        <v>- AC.AGENDA.01.16.00</v>
      </c>
      <c r="C298" s="699" t="str">
        <f>HYPERLINK("\\deq000\templates\General\Agenda Template.dotx","i")</f>
        <v>i</v>
      </c>
      <c r="D298" s="228"/>
      <c r="E298" s="536"/>
      <c r="F298"/>
      <c r="G298" s="142"/>
      <c r="H298" s="182"/>
      <c r="I298" s="532"/>
      <c r="AB298" s="936" t="str">
        <f>"- AC.AGENDA."&amp;TEXT(S.AC.DateMeeting1,"mm.dd.yy")</f>
        <v>- AC.AGENDA.01.16.00</v>
      </c>
      <c r="AC298" s="233">
        <f t="shared" si="26"/>
        <v>0</v>
      </c>
      <c r="AD298" s="19"/>
      <c r="AE298" s="19"/>
      <c r="AF298" s="19"/>
      <c r="AG298" s="9"/>
      <c r="AH298" s="9" t="s">
        <v>0</v>
      </c>
      <c r="AI298" s="24"/>
      <c r="AJ298" s="26"/>
      <c r="AK298" s="34"/>
      <c r="AL298" s="364"/>
      <c r="AM298" s="34"/>
    </row>
    <row r="299" spans="1:39" ht="14.1" hidden="1" customHeight="1" outlineLevel="2" x14ac:dyDescent="0.2">
      <c r="A299" s="85"/>
      <c r="B299" s="271" t="str">
        <f>AB299</f>
        <v>- AC.GovDelivery.NOTICE.01.16.00</v>
      </c>
      <c r="C299" s="151" t="s">
        <v>0</v>
      </c>
      <c r="D299" s="165"/>
      <c r="E299" s="536"/>
      <c r="F299"/>
      <c r="G299" s="142"/>
      <c r="H299" s="182"/>
      <c r="I299" s="532"/>
      <c r="AB299" s="936" t="str">
        <f>"- AC.GovDelivery.NOTICE."&amp;TEXT(S.AC.DateMeeting1,"mm.dd.yy")</f>
        <v>- AC.GovDelivery.NOTICE.01.16.00</v>
      </c>
      <c r="AC299" s="233">
        <f t="shared" si="26"/>
        <v>0</v>
      </c>
      <c r="AD299" s="19"/>
      <c r="AE299" s="19"/>
      <c r="AF299" s="19"/>
      <c r="AG299" s="9"/>
      <c r="AH299" s="9" t="s">
        <v>0</v>
      </c>
      <c r="AI299" s="24"/>
      <c r="AJ299" s="24"/>
      <c r="AK299" s="34"/>
      <c r="AL299" s="364"/>
      <c r="AM299" s="34"/>
    </row>
    <row r="300" spans="1:39" s="749" customFormat="1" ht="14.1" hidden="1" customHeight="1" outlineLevel="2" x14ac:dyDescent="0.2">
      <c r="A300" s="85"/>
      <c r="B300" s="271" t="str">
        <f>AB300</f>
        <v>- AC.WebRequest.ATTACHMENT.01.16.00</v>
      </c>
      <c r="C300" s="151" t="s">
        <v>0</v>
      </c>
      <c r="D300" s="165"/>
      <c r="E300" s="536"/>
      <c r="G300" s="142"/>
      <c r="H300" s="182"/>
      <c r="I300" s="532"/>
      <c r="Y300" s="960"/>
      <c r="AB300" s="936" t="str">
        <f>"- AC.WebRequest.ATTACHMENT."&amp;TEXT(S.AC.DateMeeting1,"mm.dd.yy")</f>
        <v>- AC.WebRequest.ATTACHMENT.01.16.00</v>
      </c>
      <c r="AC300" s="233">
        <f t="shared" si="26"/>
        <v>0</v>
      </c>
      <c r="AD300" s="19"/>
      <c r="AE300" s="19"/>
      <c r="AF300" s="19"/>
      <c r="AG300" s="9"/>
      <c r="AH300" s="9" t="s">
        <v>0</v>
      </c>
      <c r="AI300" s="24"/>
      <c r="AJ300" s="24"/>
      <c r="AK300" s="34"/>
      <c r="AL300" s="364"/>
      <c r="AM300" s="34"/>
    </row>
    <row r="301" spans="1:39" s="6" customFormat="1" ht="14.1" hidden="1" customHeight="1" outlineLevel="2" x14ac:dyDescent="0.2">
      <c r="A301" s="85"/>
      <c r="B301" s="201" t="str">
        <f>AB301</f>
        <v>* obtains team and ProgMgr input on agenda and GovDelivery notice</v>
      </c>
      <c r="C301" s="142"/>
      <c r="D301" s="165"/>
      <c r="E301" s="165"/>
      <c r="F301"/>
      <c r="G301" s="142"/>
      <c r="H301" s="140" t="e">
        <f>AH301</f>
        <v>#NUM!</v>
      </c>
      <c r="I301" s="532"/>
      <c r="J301"/>
      <c r="K301"/>
      <c r="L301"/>
      <c r="M301"/>
      <c r="N301"/>
      <c r="O301"/>
      <c r="P301"/>
      <c r="Q301"/>
      <c r="R301"/>
      <c r="S301"/>
      <c r="T301"/>
      <c r="U301"/>
      <c r="X301"/>
      <c r="Y301" s="960"/>
      <c r="AB301" s="936" t="str">
        <f>"* obtains team and "&amp;S.Staff.Program.Mgr.FirstName&amp;" input on agenda and GovDelivery notice"</f>
        <v>* obtains team and ProgMgr input on agenda and GovDelivery notice</v>
      </c>
      <c r="AC301" s="233">
        <f t="shared" si="26"/>
        <v>0</v>
      </c>
      <c r="AD301" s="19"/>
      <c r="AE301" s="19"/>
      <c r="AF301" s="19"/>
      <c r="AG301" s="9"/>
      <c r="AH301" s="25" t="e">
        <f>H296</f>
        <v>#NUM!</v>
      </c>
      <c r="AI301" s="23"/>
      <c r="AJ301" s="15"/>
      <c r="AK301" s="34"/>
      <c r="AL301" s="364"/>
      <c r="AM301" s="34"/>
    </row>
    <row r="302" spans="1:39" s="6" customFormat="1" ht="14.1" hidden="1" customHeight="1" outlineLevel="2" x14ac:dyDescent="0.2">
      <c r="A302" s="85"/>
      <c r="B302" s="201" t="s">
        <v>510</v>
      </c>
      <c r="C302" s="328" t="str">
        <f>HYPERLINK("http://deq05/intranet/contentmanagement/login.asp","i")</f>
        <v>i</v>
      </c>
      <c r="D302" s="165"/>
      <c r="E302" s="165"/>
      <c r="F302"/>
      <c r="G302" s="142"/>
      <c r="H302" s="140" t="e">
        <f>AH302</f>
        <v>#NUM!</v>
      </c>
      <c r="I302" s="532"/>
      <c r="J302"/>
      <c r="K302"/>
      <c r="L302"/>
      <c r="M302"/>
      <c r="N302"/>
      <c r="O302"/>
      <c r="P302"/>
      <c r="Q302"/>
      <c r="R302"/>
      <c r="S302"/>
      <c r="T302"/>
      <c r="U302"/>
      <c r="X302"/>
      <c r="Y302" s="960"/>
      <c r="AB302" s="944"/>
      <c r="AC302" s="233">
        <f t="shared" si="26"/>
        <v>0</v>
      </c>
      <c r="AD302" s="19"/>
      <c r="AE302" s="19"/>
      <c r="AF302" s="19"/>
      <c r="AG302" s="9"/>
      <c r="AH302" s="25" t="e">
        <f>H301</f>
        <v>#NUM!</v>
      </c>
      <c r="AI302" s="25">
        <f>WORKDAY(S.AC.DateMeeting1-8,1,S.DDL_DEQClosed)</f>
        <v>9</v>
      </c>
      <c r="AJ302" s="15"/>
      <c r="AK302" s="34"/>
      <c r="AL302" s="364"/>
      <c r="AM302" s="34"/>
    </row>
    <row r="303" spans="1:39" s="749" customFormat="1" ht="14.1" hidden="1" customHeight="1" outlineLevel="2" x14ac:dyDescent="0.2">
      <c r="A303" s="85"/>
      <c r="B303" s="197" t="str">
        <f>AB303</f>
        <v>* sends AC.GovDelivery.NOTICE.01.16.00 to committee Web page subscribers</v>
      </c>
      <c r="C303" s="151" t="s">
        <v>0</v>
      </c>
      <c r="D303" s="165"/>
      <c r="E303" s="536"/>
      <c r="G303" s="142"/>
      <c r="H303" s="182"/>
      <c r="I303" s="532"/>
      <c r="Y303" s="960"/>
      <c r="AB303" s="936" t="str">
        <f>"* sends AC.GovDelivery.NOTICE."&amp;TEXT(S.AC.DateMeeting1,"mm.dd.yy")&amp;" to committee Web page subscribers"</f>
        <v>* sends AC.GovDelivery.NOTICE.01.16.00 to committee Web page subscribers</v>
      </c>
      <c r="AC303" s="233">
        <f t="shared" si="26"/>
        <v>0</v>
      </c>
      <c r="AD303" s="19"/>
      <c r="AE303" s="19"/>
      <c r="AF303" s="19"/>
      <c r="AG303" s="9"/>
      <c r="AH303" s="9" t="s">
        <v>0</v>
      </c>
      <c r="AI303" s="24"/>
      <c r="AJ303" s="24"/>
      <c r="AK303" s="34"/>
      <c r="AL303" s="364"/>
      <c r="AM303" s="34"/>
    </row>
    <row r="304" spans="1:39" ht="14.1" hidden="1" customHeight="1" outlineLevel="2" x14ac:dyDescent="0.2">
      <c r="A304" s="85"/>
      <c r="B304" s="180" t="s">
        <v>67</v>
      </c>
      <c r="C304" s="151" t="s">
        <v>0</v>
      </c>
      <c r="D304" s="165"/>
      <c r="E304" s="536"/>
      <c r="F304"/>
      <c r="G304" s="142"/>
      <c r="H304" s="182"/>
      <c r="I304" s="532"/>
      <c r="AB304" s="944" t="s">
        <v>0</v>
      </c>
      <c r="AC304" s="233">
        <f t="shared" si="26"/>
        <v>0</v>
      </c>
      <c r="AD304" s="19"/>
      <c r="AE304" s="19"/>
      <c r="AF304" s="19"/>
      <c r="AG304" s="9"/>
      <c r="AH304" s="9" t="s">
        <v>0</v>
      </c>
      <c r="AI304" s="18"/>
      <c r="AJ304" s="15"/>
      <c r="AK304" s="34"/>
      <c r="AL304" s="364"/>
      <c r="AM304" s="34"/>
    </row>
    <row r="305" spans="1:39" ht="14.1" hidden="1" customHeight="1" outlineLevel="2" x14ac:dyDescent="0.2">
      <c r="A305" s="85"/>
      <c r="B305" s="263" t="s">
        <v>42</v>
      </c>
      <c r="C305" s="151" t="s">
        <v>0</v>
      </c>
      <c r="D305" s="165"/>
      <c r="E305" s="165"/>
      <c r="F305"/>
      <c r="G305" s="203">
        <f t="shared" ref="G305:G308" si="27">AG305</f>
        <v>0</v>
      </c>
      <c r="H305" s="140">
        <f>AH305</f>
        <v>0</v>
      </c>
      <c r="I305" s="532"/>
      <c r="AB305" s="944"/>
      <c r="AC305" s="233">
        <f t="shared" si="26"/>
        <v>0</v>
      </c>
      <c r="AD305" s="19"/>
      <c r="AE305" s="19"/>
      <c r="AF305" s="19"/>
      <c r="AG305" s="25">
        <f>S.2AC.BEGIN</f>
        <v>0</v>
      </c>
      <c r="AH305" s="25">
        <f>G305</f>
        <v>0</v>
      </c>
      <c r="AI305" s="18"/>
      <c r="AJ305" s="15"/>
      <c r="AK305" s="34"/>
      <c r="AL305" s="364"/>
      <c r="AM305" s="34"/>
    </row>
    <row r="306" spans="1:39" ht="14.1" hidden="1" customHeight="1" outlineLevel="2" x14ac:dyDescent="0.2">
      <c r="A306" s="85"/>
      <c r="B306" s="263" t="s">
        <v>42</v>
      </c>
      <c r="C306" s="151" t="s">
        <v>0</v>
      </c>
      <c r="D306" s="165"/>
      <c r="E306" s="165"/>
      <c r="F306"/>
      <c r="G306" s="203">
        <f t="shared" si="27"/>
        <v>0</v>
      </c>
      <c r="H306" s="140">
        <f>AH306</f>
        <v>0</v>
      </c>
      <c r="I306" s="532"/>
      <c r="AB306" s="944"/>
      <c r="AC306" s="233">
        <f t="shared" si="26"/>
        <v>0</v>
      </c>
      <c r="AD306" s="19"/>
      <c r="AE306" s="19"/>
      <c r="AF306" s="19"/>
      <c r="AG306" s="25">
        <f>S.2AC.BEGIN</f>
        <v>0</v>
      </c>
      <c r="AH306" s="25">
        <f>G306</f>
        <v>0</v>
      </c>
      <c r="AI306" s="18"/>
      <c r="AJ306" s="15"/>
      <c r="AK306" s="34"/>
      <c r="AL306" s="364"/>
      <c r="AM306" s="34"/>
    </row>
    <row r="307" spans="1:39" ht="14.1" hidden="1" customHeight="1" outlineLevel="2" x14ac:dyDescent="0.2">
      <c r="A307" s="85"/>
      <c r="B307" s="263" t="s">
        <v>42</v>
      </c>
      <c r="C307" s="151" t="s">
        <v>0</v>
      </c>
      <c r="D307" s="165"/>
      <c r="E307" s="165"/>
      <c r="F307"/>
      <c r="G307" s="203">
        <f t="shared" si="27"/>
        <v>0</v>
      </c>
      <c r="H307" s="140">
        <f>AH307</f>
        <v>0</v>
      </c>
      <c r="I307" s="532"/>
      <c r="AB307" s="944"/>
      <c r="AC307" s="233">
        <f t="shared" si="26"/>
        <v>0</v>
      </c>
      <c r="AD307" s="19"/>
      <c r="AE307" s="19"/>
      <c r="AF307" s="19"/>
      <c r="AG307" s="25">
        <f>S.2AC.BEGIN</f>
        <v>0</v>
      </c>
      <c r="AH307" s="25">
        <f>G307</f>
        <v>0</v>
      </c>
      <c r="AI307" s="18"/>
      <c r="AJ307" s="15"/>
      <c r="AK307" s="34"/>
      <c r="AL307" s="364"/>
      <c r="AM307" s="34"/>
    </row>
    <row r="308" spans="1:39" ht="14.1" hidden="1" customHeight="1" outlineLevel="2" thickBot="1" x14ac:dyDescent="0.25">
      <c r="A308" s="85"/>
      <c r="B308" s="263" t="s">
        <v>42</v>
      </c>
      <c r="C308" s="151" t="s">
        <v>0</v>
      </c>
      <c r="D308" s="165"/>
      <c r="E308" s="165"/>
      <c r="F308"/>
      <c r="G308" s="203">
        <f t="shared" si="27"/>
        <v>0</v>
      </c>
      <c r="H308" s="140">
        <f>AH308</f>
        <v>0</v>
      </c>
      <c r="I308" s="532"/>
      <c r="AB308" s="944"/>
      <c r="AC308" s="233">
        <f t="shared" si="26"/>
        <v>0</v>
      </c>
      <c r="AD308" s="19"/>
      <c r="AE308" s="19"/>
      <c r="AF308" s="19"/>
      <c r="AG308" s="25">
        <f>S.2AC.BEGIN</f>
        <v>0</v>
      </c>
      <c r="AH308" s="25">
        <f>G308</f>
        <v>0</v>
      </c>
      <c r="AI308" s="18"/>
      <c r="AJ308" s="15"/>
      <c r="AK308" s="34"/>
      <c r="AL308" s="364"/>
      <c r="AM308" s="34"/>
    </row>
    <row r="309" spans="1:39" s="6" customFormat="1" ht="14.1" hidden="1" customHeight="1" outlineLevel="2" thickBot="1" x14ac:dyDescent="0.25">
      <c r="A309" s="85"/>
      <c r="B309" s="279" t="s">
        <v>54</v>
      </c>
      <c r="C309" s="350" t="s">
        <v>12</v>
      </c>
      <c r="D309" s="503"/>
      <c r="E309" s="503"/>
      <c r="F309"/>
      <c r="G309" s="204"/>
      <c r="H309" s="204"/>
      <c r="I309" s="532"/>
      <c r="J309"/>
      <c r="K309"/>
      <c r="L309"/>
      <c r="M309"/>
      <c r="N309"/>
      <c r="O309"/>
      <c r="P309"/>
      <c r="Q309"/>
      <c r="R309"/>
      <c r="S309"/>
      <c r="T309"/>
      <c r="U309"/>
      <c r="X309"/>
      <c r="Y309" s="960"/>
      <c r="AB309" s="944"/>
      <c r="AC309" s="233">
        <f t="shared" ref="AC309" si="28">IF(AND(S.AC.InvolveMeeting1="Y",S.AC.CommitteeInvolved="Y",S.AC.Presentation1="Y"),1,0)</f>
        <v>0</v>
      </c>
      <c r="AD309" s="19"/>
      <c r="AE309" s="19"/>
      <c r="AF309" s="19"/>
      <c r="AG309" s="9"/>
      <c r="AH309" s="9"/>
      <c r="AI309" s="9"/>
      <c r="AJ309" s="15"/>
      <c r="AK309" s="34"/>
      <c r="AL309" s="364"/>
      <c r="AM309" s="34"/>
    </row>
    <row r="310" spans="1:39" s="6" customFormat="1" ht="14.1" hidden="1" customHeight="1" outlineLevel="2" x14ac:dyDescent="0.2">
      <c r="A310" s="85"/>
      <c r="B310" s="280" t="s">
        <v>43</v>
      </c>
      <c r="C310" s="151" t="s">
        <v>0</v>
      </c>
      <c r="D310" s="205"/>
      <c r="E310" s="205"/>
      <c r="F310"/>
      <c r="G310" s="202"/>
      <c r="H310" s="202"/>
      <c r="I310" s="532"/>
      <c r="J310"/>
      <c r="K310"/>
      <c r="L310"/>
      <c r="M310"/>
      <c r="N310"/>
      <c r="O310"/>
      <c r="P310"/>
      <c r="Q310"/>
      <c r="R310"/>
      <c r="S310"/>
      <c r="T310"/>
      <c r="U310"/>
      <c r="X310"/>
      <c r="Y310" s="960"/>
      <c r="AB310" s="944"/>
      <c r="AC310" s="233">
        <f t="shared" ref="AC310:AC316" si="29">$AC$309</f>
        <v>0</v>
      </c>
      <c r="AD310" s="19"/>
      <c r="AE310" s="19"/>
      <c r="AF310" s="19"/>
      <c r="AG310" s="9"/>
      <c r="AH310" s="9"/>
      <c r="AI310" s="18"/>
      <c r="AJ310" s="15"/>
      <c r="AK310" s="34"/>
      <c r="AL310" s="364"/>
      <c r="AM310" s="34"/>
    </row>
    <row r="311" spans="1:39" ht="14.1" hidden="1" customHeight="1" outlineLevel="2" x14ac:dyDescent="0.2">
      <c r="A311" s="85"/>
      <c r="B311" s="281" t="str">
        <f>AB311</f>
        <v>* drafts optional AC.PRESENTATION.01.16.00</v>
      </c>
      <c r="C311" s="151" t="s">
        <v>0</v>
      </c>
      <c r="D311" s="165"/>
      <c r="E311" s="228"/>
      <c r="F311"/>
      <c r="G311" s="203">
        <f t="shared" ref="G311" si="30">AG311</f>
        <v>0</v>
      </c>
      <c r="H311" s="140">
        <f>AH311</f>
        <v>0</v>
      </c>
      <c r="I311" s="532"/>
      <c r="AB311" s="934" t="str">
        <f>"* drafts optional AC.PRESENTATION."&amp;TEXT(S.AC.DateMeeting1,"mm.dd.yy")</f>
        <v>* drafts optional AC.PRESENTATION.01.16.00</v>
      </c>
      <c r="AC311" s="233">
        <f t="shared" si="29"/>
        <v>0</v>
      </c>
      <c r="AD311" s="19"/>
      <c r="AE311" s="19"/>
      <c r="AF311" s="19"/>
      <c r="AG311" s="25">
        <f>G308</f>
        <v>0</v>
      </c>
      <c r="AH311" s="25">
        <f>G311</f>
        <v>0</v>
      </c>
      <c r="AI311" s="18"/>
      <c r="AJ311" s="15"/>
      <c r="AK311" s="34"/>
      <c r="AL311" s="364"/>
      <c r="AM311" s="34"/>
    </row>
    <row r="312" spans="1:39" s="6" customFormat="1" ht="14.1" hidden="1" customHeight="1" outlineLevel="2" x14ac:dyDescent="0.2">
      <c r="A312" s="85"/>
      <c r="B312" s="280" t="s">
        <v>43</v>
      </c>
      <c r="C312" s="151" t="s">
        <v>0</v>
      </c>
      <c r="D312" s="205"/>
      <c r="E312" s="205"/>
      <c r="F312"/>
      <c r="G312" s="204"/>
      <c r="H312" s="204"/>
      <c r="I312" s="532"/>
      <c r="J312"/>
      <c r="K312"/>
      <c r="L312"/>
      <c r="M312"/>
      <c r="N312"/>
      <c r="O312"/>
      <c r="P312"/>
      <c r="Q312"/>
      <c r="R312"/>
      <c r="S312"/>
      <c r="T312"/>
      <c r="U312"/>
      <c r="X312"/>
      <c r="Y312" s="960"/>
      <c r="AB312" s="944"/>
      <c r="AC312" s="233">
        <f t="shared" si="29"/>
        <v>0</v>
      </c>
      <c r="AD312" s="19"/>
      <c r="AE312" s="19"/>
      <c r="AF312" s="19"/>
      <c r="AG312" s="9"/>
      <c r="AH312" s="9"/>
      <c r="AI312" s="18"/>
      <c r="AJ312" s="15"/>
      <c r="AK312" s="34"/>
      <c r="AL312" s="364"/>
      <c r="AM312" s="34"/>
    </row>
    <row r="313" spans="1:39" s="6" customFormat="1" ht="14.1" hidden="1" customHeight="1" outlineLevel="2" x14ac:dyDescent="0.2">
      <c r="A313" s="85"/>
      <c r="B313" s="282" t="s">
        <v>66</v>
      </c>
      <c r="C313" s="151" t="s">
        <v>0</v>
      </c>
      <c r="D313" s="165"/>
      <c r="E313" s="165"/>
      <c r="F313"/>
      <c r="G313" s="203">
        <f t="shared" ref="G313:G314" si="31">AG313</f>
        <v>0</v>
      </c>
      <c r="H313" s="140">
        <f>AH313</f>
        <v>0</v>
      </c>
      <c r="I313" s="532"/>
      <c r="J313"/>
      <c r="K313"/>
      <c r="L313"/>
      <c r="M313"/>
      <c r="N313"/>
      <c r="O313"/>
      <c r="P313"/>
      <c r="Q313"/>
      <c r="R313"/>
      <c r="S313"/>
      <c r="T313"/>
      <c r="U313"/>
      <c r="X313"/>
      <c r="Y313" s="960"/>
      <c r="AB313" s="944"/>
      <c r="AC313" s="233">
        <f t="shared" si="29"/>
        <v>0</v>
      </c>
      <c r="AD313" s="19"/>
      <c r="AE313" s="19"/>
      <c r="AF313" s="19"/>
      <c r="AG313" s="25">
        <f>G311</f>
        <v>0</v>
      </c>
      <c r="AH313" s="25">
        <f>G313</f>
        <v>0</v>
      </c>
      <c r="AI313" s="18"/>
      <c r="AJ313" s="15"/>
      <c r="AK313" s="34"/>
      <c r="AL313" s="364"/>
      <c r="AM313" s="34"/>
    </row>
    <row r="314" spans="1:39" ht="14.1" hidden="1" customHeight="1" outlineLevel="2" x14ac:dyDescent="0.2">
      <c r="A314" s="85"/>
      <c r="B314" s="283" t="s">
        <v>79</v>
      </c>
      <c r="C314" s="151" t="s">
        <v>0</v>
      </c>
      <c r="D314" s="165"/>
      <c r="E314" s="165"/>
      <c r="F314"/>
      <c r="G314" s="203">
        <f t="shared" si="31"/>
        <v>0</v>
      </c>
      <c r="H314" s="140">
        <f>AH314</f>
        <v>0</v>
      </c>
      <c r="I314" s="532"/>
      <c r="AB314" s="944"/>
      <c r="AC314" s="233">
        <f t="shared" si="29"/>
        <v>0</v>
      </c>
      <c r="AD314" s="19"/>
      <c r="AE314" s="19"/>
      <c r="AF314" s="19"/>
      <c r="AG314" s="25">
        <f>G313</f>
        <v>0</v>
      </c>
      <c r="AH314" s="25">
        <f>G314</f>
        <v>0</v>
      </c>
      <c r="AI314" s="18" t="s">
        <v>0</v>
      </c>
      <c r="AJ314" s="15"/>
      <c r="AK314" s="34"/>
      <c r="AL314" s="364"/>
      <c r="AM314" s="34"/>
    </row>
    <row r="315" spans="1:39" ht="14.1" hidden="1" customHeight="1" outlineLevel="2" x14ac:dyDescent="0.2">
      <c r="A315" s="85"/>
      <c r="B315" s="284" t="str">
        <f>AB315</f>
        <v>ProgLead submits Web Request to post presentation materials</v>
      </c>
      <c r="C315" s="330" t="str">
        <f>HYPERLINK("http://deq05/intranet/communication/WebRequests.htm","i")</f>
        <v>i</v>
      </c>
      <c r="D315" s="165"/>
      <c r="E315" s="536"/>
      <c r="F315"/>
      <c r="G315"/>
      <c r="H315"/>
      <c r="I315" s="532"/>
      <c r="AB315" s="934" t="str">
        <f>S.Staff.Subject.Expert.FirstName&amp;" submits Web Request to post presentation materials"</f>
        <v>ProgLead submits Web Request to post presentation materials</v>
      </c>
      <c r="AC315" s="233">
        <f t="shared" si="29"/>
        <v>0</v>
      </c>
      <c r="AD315" s="19"/>
      <c r="AE315" s="19"/>
      <c r="AF315" s="19"/>
      <c r="AG315" s="9"/>
      <c r="AH315" s="9"/>
      <c r="AI315" s="18"/>
      <c r="AJ315" s="15"/>
      <c r="AK315" s="34"/>
      <c r="AL315" s="364"/>
      <c r="AM315" s="34"/>
    </row>
    <row r="316" spans="1:39" s="6" customFormat="1" ht="14.1" hidden="1" customHeight="1" outlineLevel="2" x14ac:dyDescent="0.2">
      <c r="A316" s="85"/>
      <c r="B316" s="283" t="s">
        <v>44</v>
      </c>
      <c r="C316" s="151" t="s">
        <v>0</v>
      </c>
      <c r="D316" s="165"/>
      <c r="E316" s="536"/>
      <c r="F316"/>
      <c r="I316" s="532"/>
      <c r="J316"/>
      <c r="K316"/>
      <c r="L316"/>
      <c r="M316"/>
      <c r="N316"/>
      <c r="O316"/>
      <c r="P316"/>
      <c r="Q316"/>
      <c r="R316"/>
      <c r="S316"/>
      <c r="T316"/>
      <c r="U316"/>
      <c r="X316"/>
      <c r="Y316" s="960"/>
      <c r="AB316" s="944"/>
      <c r="AC316" s="233">
        <f t="shared" si="29"/>
        <v>0</v>
      </c>
      <c r="AD316" s="19"/>
      <c r="AE316" s="19"/>
      <c r="AF316" s="19"/>
      <c r="AG316" s="9"/>
      <c r="AH316" s="9"/>
      <c r="AI316" s="24"/>
      <c r="AJ316" s="24"/>
      <c r="AK316" s="34"/>
      <c r="AL316" s="364"/>
      <c r="AM316" s="34"/>
    </row>
    <row r="317" spans="1:39" s="749" customFormat="1" ht="14.1" hidden="1" customHeight="1" outlineLevel="2" x14ac:dyDescent="0.2">
      <c r="A317" s="85"/>
      <c r="B317" s="166" t="str">
        <f>AB317</f>
        <v>ProgLead facilitates, leads or supports:</v>
      </c>
      <c r="C317" s="142"/>
      <c r="D317" s="165"/>
      <c r="E317" s="165"/>
      <c r="G317" s="203">
        <f t="shared" ref="G317" si="32">AG317</f>
        <v>0</v>
      </c>
      <c r="H317" s="140">
        <f>AH317</f>
        <v>0</v>
      </c>
      <c r="I317" s="532"/>
      <c r="Y317" s="960"/>
      <c r="AB317" s="936" t="str">
        <f>S.Staff.Subject.Expert.FirstName&amp;" facilitates, leads or supports:"</f>
        <v>ProgLead facilitates, leads or supports:</v>
      </c>
      <c r="AC317" s="233">
        <f>$AC$294</f>
        <v>0</v>
      </c>
      <c r="AD317" s="19"/>
      <c r="AE317" s="19"/>
      <c r="AF317" s="19"/>
      <c r="AG317" s="25">
        <f>S.AC.SendInvitation</f>
        <v>0</v>
      </c>
      <c r="AH317" s="25">
        <f>G317</f>
        <v>0</v>
      </c>
      <c r="AI317" s="23"/>
      <c r="AJ317" s="15"/>
      <c r="AK317" s="34"/>
      <c r="AL317" s="364"/>
      <c r="AM317" s="34"/>
    </row>
    <row r="318" spans="1:39" ht="12.75" hidden="1" customHeight="1" outlineLevel="2" x14ac:dyDescent="0.2">
      <c r="A318" s="85"/>
      <c r="B318" s="200" t="s">
        <v>511</v>
      </c>
      <c r="C318" s="151" t="s">
        <v>0</v>
      </c>
      <c r="D318"/>
      <c r="E318"/>
      <c r="F318"/>
      <c r="G318"/>
      <c r="H318" s="146">
        <f>AH318</f>
        <v>16</v>
      </c>
      <c r="I318" s="532"/>
      <c r="AB318" s="944"/>
      <c r="AC318" s="233">
        <f>$AC$294</f>
        <v>0</v>
      </c>
      <c r="AD318" s="19"/>
      <c r="AE318" s="19"/>
      <c r="AF318" s="19"/>
      <c r="AG318" s="24"/>
      <c r="AH318" s="25">
        <f>S.AC.DateMeeting1</f>
        <v>16</v>
      </c>
      <c r="AI318" s="24"/>
      <c r="AJ318" s="24"/>
      <c r="AK318" s="34"/>
      <c r="AL318" s="364"/>
      <c r="AM318" s="34"/>
    </row>
    <row r="319" spans="1:39" ht="14.1" hidden="1" customHeight="1" outlineLevel="2" x14ac:dyDescent="0.2">
      <c r="A319" s="85"/>
      <c r="B319" s="199" t="str">
        <f>AB319</f>
        <v>* drafting of AC.MINUTES 01.16.00</v>
      </c>
      <c r="C319" s="328" t="str">
        <f>HYPERLINK("\\deq000\templates\General\Minutes Template.dotx","i")</f>
        <v>i</v>
      </c>
      <c r="D319" s="228"/>
      <c r="E319" s="228"/>
      <c r="F319"/>
      <c r="G319" s="203">
        <f>AG319</f>
        <v>16</v>
      </c>
      <c r="H319" s="140">
        <f>AH319</f>
        <v>16</v>
      </c>
      <c r="I319" s="532"/>
      <c r="AB319" s="936" t="str">
        <f>"* drafting of AC.MINUTES "&amp;TEXT(S.AC.DateMeeting1,"mm.dd.yy")</f>
        <v>* drafting of AC.MINUTES 01.16.00</v>
      </c>
      <c r="AC319" s="233">
        <f>$AC$294</f>
        <v>0</v>
      </c>
      <c r="AD319" s="19"/>
      <c r="AE319" s="19"/>
      <c r="AF319" s="19"/>
      <c r="AG319" s="25">
        <f>S.AC.DateMeeting1</f>
        <v>16</v>
      </c>
      <c r="AH319" s="25">
        <f>G319</f>
        <v>16</v>
      </c>
      <c r="AI319" s="24"/>
      <c r="AJ319" s="24"/>
      <c r="AK319" s="34"/>
      <c r="AL319" s="364"/>
      <c r="AM319" s="34"/>
    </row>
    <row r="320" spans="1:39" ht="14.1" hidden="1" customHeight="1" outlineLevel="2" x14ac:dyDescent="0.2">
      <c r="A320" s="85"/>
      <c r="B320" s="200" t="s">
        <v>512</v>
      </c>
      <c r="C320" s="151" t="s">
        <v>0</v>
      </c>
      <c r="D320" s="165"/>
      <c r="E320" s="165"/>
      <c r="F320"/>
      <c r="G320" s="203">
        <f>AG320</f>
        <v>16</v>
      </c>
      <c r="H320" s="140">
        <f>AH320</f>
        <v>16</v>
      </c>
      <c r="I320" s="532"/>
      <c r="AB320" s="944"/>
      <c r="AC320" s="233">
        <f>$AC$294</f>
        <v>0</v>
      </c>
      <c r="AD320" s="19"/>
      <c r="AE320" s="19"/>
      <c r="AF320" s="19"/>
      <c r="AG320" s="25">
        <f>S.AC.DateMeeting1</f>
        <v>16</v>
      </c>
      <c r="AH320" s="25">
        <f>G320</f>
        <v>16</v>
      </c>
      <c r="AI320" s="24"/>
      <c r="AJ320" s="24"/>
      <c r="AK320" s="34"/>
      <c r="AL320" s="364"/>
      <c r="AM320" s="34"/>
    </row>
    <row r="321" spans="1:39" s="750" customFormat="1" ht="14.25" hidden="1" customHeight="1" outlineLevel="1" collapsed="1" thickBot="1" x14ac:dyDescent="0.25">
      <c r="A321" s="85"/>
      <c r="B321" s="199"/>
      <c r="C321" s="151"/>
      <c r="E321" s="228"/>
      <c r="G321"/>
      <c r="H321"/>
      <c r="I321" s="532"/>
      <c r="Y321" s="960"/>
      <c r="AB321" s="944"/>
      <c r="AC321" s="233">
        <v>1</v>
      </c>
      <c r="AD321" s="19"/>
      <c r="AE321" s="19"/>
      <c r="AF321" s="19"/>
      <c r="AG321" s="24"/>
      <c r="AH321" s="24"/>
      <c r="AI321" s="24"/>
      <c r="AJ321" s="24"/>
      <c r="AK321" s="34"/>
      <c r="AL321" s="364"/>
      <c r="AM321" s="34"/>
    </row>
    <row r="322" spans="1:39" s="6" customFormat="1" ht="14.1" hidden="1" customHeight="1" outlineLevel="1" thickBot="1" x14ac:dyDescent="0.25">
      <c r="A322" s="85"/>
      <c r="B322" s="236" t="s">
        <v>16</v>
      </c>
      <c r="C322" s="350" t="s">
        <v>12</v>
      </c>
      <c r="D322" s="504"/>
      <c r="E322" s="504"/>
      <c r="F322" s="188"/>
      <c r="G322" s="139">
        <f>S.AC.DateMeeting1</f>
        <v>16</v>
      </c>
      <c r="H322" s="138" t="s">
        <v>410</v>
      </c>
      <c r="I322" s="532"/>
      <c r="J322"/>
      <c r="K322"/>
      <c r="L322"/>
      <c r="M322"/>
      <c r="N322"/>
      <c r="O322"/>
      <c r="P322"/>
      <c r="Q322"/>
      <c r="R322"/>
      <c r="S322"/>
      <c r="T322"/>
      <c r="U322"/>
      <c r="X322"/>
      <c r="Y322" s="960"/>
      <c r="AB322" s="944"/>
      <c r="AC322" s="233">
        <f t="shared" ref="AC322" si="33">IF(AND(S.AC.InvolveMeeting2="Y",S.AC.CommitteeInvolved="Y"),1,0)</f>
        <v>0</v>
      </c>
      <c r="AD322" s="19"/>
      <c r="AE322" s="19"/>
      <c r="AF322" s="19"/>
      <c r="AG322" s="25">
        <f>S.AC.DateMeeting1</f>
        <v>16</v>
      </c>
      <c r="AH322" s="9" t="s">
        <v>0</v>
      </c>
      <c r="AI322" s="9"/>
      <c r="AJ322" s="15"/>
      <c r="AK322" s="34"/>
      <c r="AL322" s="364"/>
      <c r="AM322" s="34"/>
    </row>
    <row r="323" spans="1:39" s="750" customFormat="1" ht="14.1" hidden="1" customHeight="1" outlineLevel="2" x14ac:dyDescent="0.2">
      <c r="A323" s="85"/>
      <c r="B323" s="261" t="s">
        <v>41</v>
      </c>
      <c r="C323" s="142"/>
      <c r="D323" s="165"/>
      <c r="E323" s="536"/>
      <c r="G323" s="142"/>
      <c r="H323" s="182"/>
      <c r="I323" s="532"/>
      <c r="Y323" s="960"/>
      <c r="AB323" s="929"/>
      <c r="AC323" s="233">
        <f t="shared" ref="AC323:AC336" si="34">$AC$322</f>
        <v>0</v>
      </c>
      <c r="AD323" s="19"/>
      <c r="AE323" s="19"/>
      <c r="AF323" s="19"/>
      <c r="AG323" s="9"/>
      <c r="AH323" s="9" t="s">
        <v>0</v>
      </c>
      <c r="AI323" s="18"/>
      <c r="AJ323" s="15"/>
      <c r="AK323" s="34"/>
      <c r="AL323" s="364"/>
      <c r="AM323" s="34"/>
    </row>
    <row r="324" spans="1:39" s="750" customFormat="1" ht="14.1" hidden="1" customHeight="1" outlineLevel="2" x14ac:dyDescent="0.2">
      <c r="A324" s="85"/>
      <c r="B324" s="166" t="str">
        <f>AB324</f>
        <v>ProgLead:</v>
      </c>
      <c r="C324" s="142"/>
      <c r="D324" s="165"/>
      <c r="E324" s="165"/>
      <c r="G324" s="203" t="e">
        <f>AG324</f>
        <v>#NUM!</v>
      </c>
      <c r="H324" s="140" t="e">
        <f>AH324</f>
        <v>#NUM!</v>
      </c>
      <c r="I324" s="532"/>
      <c r="Y324" s="960"/>
      <c r="AB324" s="936" t="str">
        <f>S.Staff.Subject.Expert.FirstName&amp;":"</f>
        <v>ProgLead:</v>
      </c>
      <c r="AC324" s="233">
        <f t="shared" si="34"/>
        <v>0</v>
      </c>
      <c r="AD324" s="19"/>
      <c r="AE324" s="19"/>
      <c r="AF324" s="19"/>
      <c r="AG324" s="25" t="e">
        <f>WORKDAY(S.AC.DateMeeting2,-28,S.DDL_DEQClosed)</f>
        <v>#NUM!</v>
      </c>
      <c r="AH324" s="25" t="e">
        <f>G324</f>
        <v>#NUM!</v>
      </c>
      <c r="AI324" s="23"/>
      <c r="AJ324" s="15"/>
      <c r="AK324" s="34"/>
      <c r="AL324" s="364"/>
      <c r="AM324" s="34"/>
    </row>
    <row r="325" spans="1:39" s="750" customFormat="1" ht="14.1" hidden="1" customHeight="1" outlineLevel="2" x14ac:dyDescent="0.2">
      <c r="A325" s="85"/>
      <c r="B325" s="201" t="s">
        <v>509</v>
      </c>
      <c r="C325" s="142"/>
      <c r="D325" s="165"/>
      <c r="E325" s="165"/>
      <c r="G325" s="142"/>
      <c r="H325" s="142"/>
      <c r="I325" s="532"/>
      <c r="Y325" s="960"/>
      <c r="AB325" s="936" t="str">
        <f>S.Staff.Subject.Expert.FirstName&amp;" coordinates drafting:"</f>
        <v>ProgLead coordinates drafting:</v>
      </c>
      <c r="AC325" s="233">
        <f t="shared" si="34"/>
        <v>0</v>
      </c>
      <c r="AD325" s="19"/>
      <c r="AE325" s="19"/>
      <c r="AF325" s="19"/>
      <c r="AG325" s="9"/>
      <c r="AH325" s="9"/>
      <c r="AI325" s="23"/>
      <c r="AJ325" s="15"/>
      <c r="AK325" s="34"/>
      <c r="AL325" s="364"/>
      <c r="AM325" s="34"/>
    </row>
    <row r="326" spans="1:39" s="750" customFormat="1" ht="14.1" hidden="1" customHeight="1" outlineLevel="2" x14ac:dyDescent="0.2">
      <c r="A326" s="85"/>
      <c r="B326" s="271" t="str">
        <f>AB326</f>
        <v>- AC.AGENDA.01.16.00</v>
      </c>
      <c r="C326" s="328" t="str">
        <f>HYPERLINK("\\deq000\templates\General\Agenda Template.dotx","i")</f>
        <v>i</v>
      </c>
      <c r="D326" s="228"/>
      <c r="E326" s="536"/>
      <c r="G326" s="142"/>
      <c r="H326" s="182"/>
      <c r="I326" s="532"/>
      <c r="Y326" s="960"/>
      <c r="AB326" s="936" t="str">
        <f>"- AC.AGENDA."&amp;TEXT(S.AC.DateMeeting2,"mm.dd.yy")</f>
        <v>- AC.AGENDA.01.16.00</v>
      </c>
      <c r="AC326" s="233">
        <f t="shared" si="34"/>
        <v>0</v>
      </c>
      <c r="AD326" s="19"/>
      <c r="AE326" s="19"/>
      <c r="AF326" s="19"/>
      <c r="AG326" s="9"/>
      <c r="AH326" s="9" t="s">
        <v>0</v>
      </c>
      <c r="AI326" s="24"/>
      <c r="AJ326" s="26"/>
      <c r="AK326" s="34"/>
      <c r="AL326" s="364"/>
      <c r="AM326" s="34"/>
    </row>
    <row r="327" spans="1:39" s="750" customFormat="1" ht="14.1" hidden="1" customHeight="1" outlineLevel="2" x14ac:dyDescent="0.2">
      <c r="A327" s="85"/>
      <c r="B327" s="271" t="str">
        <f>AB327</f>
        <v>- AC.GovDelivery.NOTICE.01.16.00</v>
      </c>
      <c r="C327" s="151" t="s">
        <v>0</v>
      </c>
      <c r="D327" s="165"/>
      <c r="E327" s="536"/>
      <c r="G327" s="142"/>
      <c r="H327" s="182"/>
      <c r="I327" s="532"/>
      <c r="Y327" s="960"/>
      <c r="AB327" s="936" t="str">
        <f>"- AC.GovDelivery.NOTICE."&amp;TEXT(S.AC.DateMeeting2,"mm.dd.yy")</f>
        <v>- AC.GovDelivery.NOTICE.01.16.00</v>
      </c>
      <c r="AC327" s="233">
        <f t="shared" si="34"/>
        <v>0</v>
      </c>
      <c r="AD327" s="19"/>
      <c r="AE327" s="19"/>
      <c r="AF327" s="19"/>
      <c r="AG327" s="9"/>
      <c r="AH327" s="9" t="s">
        <v>0</v>
      </c>
      <c r="AI327" s="24"/>
      <c r="AJ327" s="24"/>
      <c r="AK327" s="34"/>
      <c r="AL327" s="364"/>
      <c r="AM327" s="34"/>
    </row>
    <row r="328" spans="1:39" s="750" customFormat="1" ht="14.1" hidden="1" customHeight="1" outlineLevel="2" x14ac:dyDescent="0.2">
      <c r="A328" s="85"/>
      <c r="B328" s="271" t="str">
        <f>AB328</f>
        <v>- AC.WebRequest.ATTACHMENT.01.16.00</v>
      </c>
      <c r="C328" s="151" t="s">
        <v>0</v>
      </c>
      <c r="D328" s="165"/>
      <c r="E328" s="536"/>
      <c r="G328" s="142"/>
      <c r="H328" s="182"/>
      <c r="I328" s="532"/>
      <c r="Y328" s="960"/>
      <c r="AB328" s="936" t="str">
        <f>"- AC.WebRequest.ATTACHMENT."&amp;TEXT(S.AC.DateMeeting2,"mm.dd.yy")</f>
        <v>- AC.WebRequest.ATTACHMENT.01.16.00</v>
      </c>
      <c r="AC328" s="233">
        <f t="shared" si="34"/>
        <v>0</v>
      </c>
      <c r="AD328" s="19"/>
      <c r="AE328" s="19"/>
      <c r="AF328" s="19"/>
      <c r="AG328" s="9"/>
      <c r="AH328" s="9" t="s">
        <v>0</v>
      </c>
      <c r="AI328" s="24"/>
      <c r="AJ328" s="24"/>
      <c r="AK328" s="34"/>
      <c r="AL328" s="364"/>
      <c r="AM328" s="34"/>
    </row>
    <row r="329" spans="1:39" s="750" customFormat="1" ht="14.1" hidden="1" customHeight="1" outlineLevel="2" x14ac:dyDescent="0.2">
      <c r="A329" s="85"/>
      <c r="B329" s="201" t="str">
        <f>AB329</f>
        <v>* obtains team and ProgMgr input on agenda and GovDelivery notice</v>
      </c>
      <c r="C329" s="142"/>
      <c r="D329" s="165"/>
      <c r="E329" s="165"/>
      <c r="G329" s="142"/>
      <c r="H329" s="140" t="e">
        <f>AH329</f>
        <v>#NUM!</v>
      </c>
      <c r="I329" s="532"/>
      <c r="Y329" s="960"/>
      <c r="AB329" s="936" t="str">
        <f>"* obtains team and "&amp;S.Staff.Program.Mgr.FirstName&amp;" input on agenda and GovDelivery notice"</f>
        <v>* obtains team and ProgMgr input on agenda and GovDelivery notice</v>
      </c>
      <c r="AC329" s="233">
        <f t="shared" si="34"/>
        <v>0</v>
      </c>
      <c r="AD329" s="19"/>
      <c r="AE329" s="19"/>
      <c r="AF329" s="19"/>
      <c r="AG329" s="9"/>
      <c r="AH329" s="25" t="e">
        <f>H324</f>
        <v>#NUM!</v>
      </c>
      <c r="AI329" s="23"/>
      <c r="AJ329" s="15"/>
      <c r="AK329" s="34"/>
      <c r="AL329" s="364"/>
      <c r="AM329" s="34"/>
    </row>
    <row r="330" spans="1:39" s="750" customFormat="1" ht="14.1" hidden="1" customHeight="1" outlineLevel="2" x14ac:dyDescent="0.2">
      <c r="A330" s="85"/>
      <c r="B330" s="201" t="s">
        <v>510</v>
      </c>
      <c r="C330" s="328" t="str">
        <f>HYPERLINK("http://deq05/intranet/contentmanagement/login.asp","i")</f>
        <v>i</v>
      </c>
      <c r="D330" s="165"/>
      <c r="E330" s="165"/>
      <c r="G330" s="142"/>
      <c r="H330" s="140" t="e">
        <f>AH330</f>
        <v>#NUM!</v>
      </c>
      <c r="I330" s="532"/>
      <c r="Y330" s="960"/>
      <c r="AB330" s="944"/>
      <c r="AC330" s="233">
        <f t="shared" si="34"/>
        <v>0</v>
      </c>
      <c r="AD330" s="19"/>
      <c r="AE330" s="19"/>
      <c r="AF330" s="19"/>
      <c r="AG330" s="9"/>
      <c r="AH330" s="25" t="e">
        <f>H329</f>
        <v>#NUM!</v>
      </c>
      <c r="AI330" s="25">
        <f>WORKDAY(S.AC.DateMeeting2-8,1,S.DDL_DEQClosed)</f>
        <v>9</v>
      </c>
      <c r="AJ330" s="15"/>
      <c r="AK330" s="34"/>
      <c r="AL330" s="364"/>
      <c r="AM330" s="34"/>
    </row>
    <row r="331" spans="1:39" s="750" customFormat="1" ht="14.1" hidden="1" customHeight="1" outlineLevel="2" x14ac:dyDescent="0.2">
      <c r="A331" s="85"/>
      <c r="B331" s="197" t="str">
        <f>AB331</f>
        <v>* sends AC.GovDelivery.NOTICE.01.16.00 to committee Web page subscribers</v>
      </c>
      <c r="C331" s="151" t="s">
        <v>0</v>
      </c>
      <c r="D331" s="165"/>
      <c r="E331" s="536"/>
      <c r="G331" s="142"/>
      <c r="H331" s="182"/>
      <c r="I331" s="532"/>
      <c r="Y331" s="960"/>
      <c r="AB331" s="936" t="str">
        <f>"* sends AC.GovDelivery.NOTICE."&amp;TEXT(S.AC.DateMeeting2,"mm.dd.yy")&amp;" to committee Web page subscribers"</f>
        <v>* sends AC.GovDelivery.NOTICE.01.16.00 to committee Web page subscribers</v>
      </c>
      <c r="AC331" s="233">
        <f t="shared" si="34"/>
        <v>0</v>
      </c>
      <c r="AD331" s="19"/>
      <c r="AE331" s="19"/>
      <c r="AF331" s="19"/>
      <c r="AG331" s="9"/>
      <c r="AH331" s="9" t="s">
        <v>0</v>
      </c>
      <c r="AI331" s="24"/>
      <c r="AJ331" s="24"/>
      <c r="AK331" s="34"/>
      <c r="AL331" s="364"/>
      <c r="AM331" s="34"/>
    </row>
    <row r="332" spans="1:39" s="750" customFormat="1" ht="14.1" hidden="1" customHeight="1" outlineLevel="2" x14ac:dyDescent="0.2">
      <c r="A332" s="85"/>
      <c r="B332" s="180" t="s">
        <v>67</v>
      </c>
      <c r="C332" s="151" t="s">
        <v>0</v>
      </c>
      <c r="D332" s="165"/>
      <c r="E332" s="536"/>
      <c r="G332" s="142"/>
      <c r="H332" s="182"/>
      <c r="I332" s="532"/>
      <c r="Y332" s="960"/>
      <c r="AB332" s="944" t="s">
        <v>0</v>
      </c>
      <c r="AC332" s="233">
        <f t="shared" si="34"/>
        <v>0</v>
      </c>
      <c r="AD332" s="19"/>
      <c r="AE332" s="19"/>
      <c r="AF332" s="19"/>
      <c r="AG332" s="9"/>
      <c r="AH332" s="9" t="s">
        <v>0</v>
      </c>
      <c r="AI332" s="18"/>
      <c r="AJ332" s="15"/>
      <c r="AK332" s="34"/>
      <c r="AL332" s="364"/>
      <c r="AM332" s="34"/>
    </row>
    <row r="333" spans="1:39" s="750" customFormat="1" ht="14.1" hidden="1" customHeight="1" outlineLevel="2" x14ac:dyDescent="0.2">
      <c r="A333" s="85"/>
      <c r="B333" s="263" t="s">
        <v>42</v>
      </c>
      <c r="C333" s="151" t="s">
        <v>0</v>
      </c>
      <c r="D333" s="165"/>
      <c r="E333" s="165"/>
      <c r="G333" s="203">
        <f t="shared" ref="G333:G336" si="35">AG333</f>
        <v>0</v>
      </c>
      <c r="H333" s="140">
        <f>AH333</f>
        <v>0</v>
      </c>
      <c r="I333" s="532"/>
      <c r="Y333" s="960"/>
      <c r="AB333" s="944"/>
      <c r="AC333" s="233">
        <f t="shared" si="34"/>
        <v>0</v>
      </c>
      <c r="AD333" s="19"/>
      <c r="AE333" s="19"/>
      <c r="AF333" s="19"/>
      <c r="AG333" s="25">
        <f>S.2AC.BEGIN</f>
        <v>0</v>
      </c>
      <c r="AH333" s="25">
        <f>G333</f>
        <v>0</v>
      </c>
      <c r="AI333" s="18"/>
      <c r="AJ333" s="15"/>
      <c r="AK333" s="34"/>
      <c r="AL333" s="364"/>
      <c r="AM333" s="34"/>
    </row>
    <row r="334" spans="1:39" s="750" customFormat="1" ht="14.1" hidden="1" customHeight="1" outlineLevel="2" x14ac:dyDescent="0.2">
      <c r="A334" s="85"/>
      <c r="B334" s="263" t="s">
        <v>42</v>
      </c>
      <c r="C334" s="151" t="s">
        <v>0</v>
      </c>
      <c r="D334" s="165"/>
      <c r="E334" s="165"/>
      <c r="G334" s="203">
        <f t="shared" si="35"/>
        <v>0</v>
      </c>
      <c r="H334" s="140">
        <f>AH334</f>
        <v>0</v>
      </c>
      <c r="I334" s="532"/>
      <c r="Y334" s="960"/>
      <c r="AB334" s="944"/>
      <c r="AC334" s="233">
        <f t="shared" si="34"/>
        <v>0</v>
      </c>
      <c r="AD334" s="19"/>
      <c r="AE334" s="19"/>
      <c r="AF334" s="19"/>
      <c r="AG334" s="25">
        <f>S.2AC.BEGIN</f>
        <v>0</v>
      </c>
      <c r="AH334" s="25">
        <f>G334</f>
        <v>0</v>
      </c>
      <c r="AI334" s="18"/>
      <c r="AJ334" s="15"/>
      <c r="AK334" s="34"/>
      <c r="AL334" s="364"/>
      <c r="AM334" s="34"/>
    </row>
    <row r="335" spans="1:39" s="750" customFormat="1" ht="14.1" hidden="1" customHeight="1" outlineLevel="2" x14ac:dyDescent="0.2">
      <c r="A335" s="85"/>
      <c r="B335" s="263" t="s">
        <v>42</v>
      </c>
      <c r="C335" s="151" t="s">
        <v>0</v>
      </c>
      <c r="D335" s="165"/>
      <c r="E335" s="165"/>
      <c r="G335" s="203">
        <f t="shared" si="35"/>
        <v>0</v>
      </c>
      <c r="H335" s="140">
        <f>AH335</f>
        <v>0</v>
      </c>
      <c r="I335" s="532"/>
      <c r="Y335" s="960"/>
      <c r="AB335" s="944"/>
      <c r="AC335" s="233">
        <f t="shared" si="34"/>
        <v>0</v>
      </c>
      <c r="AD335" s="19"/>
      <c r="AE335" s="19"/>
      <c r="AF335" s="19"/>
      <c r="AG335" s="25">
        <f>S.2AC.BEGIN</f>
        <v>0</v>
      </c>
      <c r="AH335" s="25">
        <f>G335</f>
        <v>0</v>
      </c>
      <c r="AI335" s="18"/>
      <c r="AJ335" s="15"/>
      <c r="AK335" s="34"/>
      <c r="AL335" s="364"/>
      <c r="AM335" s="34"/>
    </row>
    <row r="336" spans="1:39" s="750" customFormat="1" ht="14.1" hidden="1" customHeight="1" outlineLevel="2" thickBot="1" x14ac:dyDescent="0.25">
      <c r="A336" s="85"/>
      <c r="B336" s="263" t="s">
        <v>42</v>
      </c>
      <c r="C336" s="151" t="s">
        <v>0</v>
      </c>
      <c r="D336" s="165"/>
      <c r="E336" s="165"/>
      <c r="G336" s="203">
        <f t="shared" si="35"/>
        <v>0</v>
      </c>
      <c r="H336" s="140">
        <f>AH336</f>
        <v>0</v>
      </c>
      <c r="I336" s="532"/>
      <c r="Y336" s="960"/>
      <c r="AB336" s="944"/>
      <c r="AC336" s="233">
        <f t="shared" si="34"/>
        <v>0</v>
      </c>
      <c r="AD336" s="19"/>
      <c r="AE336" s="19"/>
      <c r="AF336" s="19"/>
      <c r="AG336" s="25">
        <f>S.2AC.BEGIN</f>
        <v>0</v>
      </c>
      <c r="AH336" s="25">
        <f>G336</f>
        <v>0</v>
      </c>
      <c r="AI336" s="18"/>
      <c r="AJ336" s="15"/>
      <c r="AK336" s="34"/>
      <c r="AL336" s="364"/>
      <c r="AM336" s="34"/>
    </row>
    <row r="337" spans="1:39" s="750" customFormat="1" ht="14.1" hidden="1" customHeight="1" outlineLevel="2" thickBot="1" x14ac:dyDescent="0.25">
      <c r="A337" s="85"/>
      <c r="B337" s="279" t="s">
        <v>54</v>
      </c>
      <c r="C337" s="350" t="s">
        <v>12</v>
      </c>
      <c r="D337" s="503"/>
      <c r="E337" s="503"/>
      <c r="G337" s="204"/>
      <c r="H337" s="204"/>
      <c r="I337" s="532"/>
      <c r="Y337" s="960"/>
      <c r="AB337" s="944"/>
      <c r="AC337" s="233">
        <f>IF(AND(S.AC.InvolveMeeting2="Y",S.AC.CommitteeInvolved="Y",S.AC.Presentation2="Y"),1,0)</f>
        <v>0</v>
      </c>
      <c r="AD337" s="19"/>
      <c r="AE337" s="19"/>
      <c r="AF337" s="19"/>
      <c r="AG337" s="9"/>
      <c r="AH337" s="9"/>
      <c r="AI337" s="9"/>
      <c r="AJ337" s="15"/>
      <c r="AK337" s="34"/>
      <c r="AL337" s="364"/>
      <c r="AM337" s="34"/>
    </row>
    <row r="338" spans="1:39" s="750" customFormat="1" ht="14.1" hidden="1" customHeight="1" outlineLevel="2" x14ac:dyDescent="0.2">
      <c r="A338" s="85"/>
      <c r="B338" s="280" t="s">
        <v>43</v>
      </c>
      <c r="C338" s="151" t="s">
        <v>0</v>
      </c>
      <c r="D338" s="205"/>
      <c r="E338" s="205"/>
      <c r="G338" s="202"/>
      <c r="H338" s="202"/>
      <c r="I338" s="532"/>
      <c r="Y338" s="960"/>
      <c r="AB338" s="944"/>
      <c r="AC338" s="233">
        <f t="shared" ref="AC338:AC344" si="36">$AC$337</f>
        <v>0</v>
      </c>
      <c r="AD338" s="19"/>
      <c r="AE338" s="19"/>
      <c r="AF338" s="19"/>
      <c r="AG338" s="9"/>
      <c r="AH338" s="9"/>
      <c r="AI338" s="18"/>
      <c r="AJ338" s="15"/>
      <c r="AK338" s="34"/>
      <c r="AL338" s="364"/>
      <c r="AM338" s="34"/>
    </row>
    <row r="339" spans="1:39" s="750" customFormat="1" ht="14.1" hidden="1" customHeight="1" outlineLevel="2" x14ac:dyDescent="0.2">
      <c r="A339" s="85"/>
      <c r="B339" s="281" t="str">
        <f>AB339</f>
        <v>* drafts optional AC.PRESENTATION.01.16.00</v>
      </c>
      <c r="C339" s="151" t="s">
        <v>0</v>
      </c>
      <c r="D339" s="165"/>
      <c r="E339" s="228"/>
      <c r="G339" s="203">
        <f t="shared" ref="G339" si="37">AG339</f>
        <v>0</v>
      </c>
      <c r="H339" s="140">
        <f>AH339</f>
        <v>0</v>
      </c>
      <c r="I339" s="532"/>
      <c r="Y339" s="960"/>
      <c r="AB339" s="934" t="str">
        <f>"* drafts optional AC.PRESENTATION."&amp;TEXT(S.AC.DateMeeting2,"mm.dd.yy")</f>
        <v>* drafts optional AC.PRESENTATION.01.16.00</v>
      </c>
      <c r="AC339" s="233">
        <f t="shared" si="36"/>
        <v>0</v>
      </c>
      <c r="AD339" s="19"/>
      <c r="AE339" s="19"/>
      <c r="AF339" s="19"/>
      <c r="AG339" s="25">
        <f>G336</f>
        <v>0</v>
      </c>
      <c r="AH339" s="25">
        <f>G339</f>
        <v>0</v>
      </c>
      <c r="AI339" s="18"/>
      <c r="AJ339" s="15"/>
      <c r="AK339" s="34"/>
      <c r="AL339" s="364"/>
      <c r="AM339" s="34"/>
    </row>
    <row r="340" spans="1:39" s="750" customFormat="1" ht="14.1" hidden="1" customHeight="1" outlineLevel="2" x14ac:dyDescent="0.2">
      <c r="A340" s="85"/>
      <c r="B340" s="280" t="s">
        <v>43</v>
      </c>
      <c r="C340" s="151" t="s">
        <v>0</v>
      </c>
      <c r="D340" s="205"/>
      <c r="E340" s="205"/>
      <c r="G340" s="204"/>
      <c r="H340" s="204"/>
      <c r="I340" s="532"/>
      <c r="Y340" s="960"/>
      <c r="AB340" s="944"/>
      <c r="AC340" s="233">
        <f t="shared" si="36"/>
        <v>0</v>
      </c>
      <c r="AD340" s="19"/>
      <c r="AE340" s="19"/>
      <c r="AF340" s="19"/>
      <c r="AG340" s="9"/>
      <c r="AH340" s="9"/>
      <c r="AI340" s="18"/>
      <c r="AJ340" s="15"/>
      <c r="AK340" s="34"/>
      <c r="AL340" s="364"/>
      <c r="AM340" s="34"/>
    </row>
    <row r="341" spans="1:39" s="750" customFormat="1" ht="14.1" hidden="1" customHeight="1" outlineLevel="2" x14ac:dyDescent="0.2">
      <c r="A341" s="85"/>
      <c r="B341" s="282" t="s">
        <v>66</v>
      </c>
      <c r="C341" s="151" t="s">
        <v>0</v>
      </c>
      <c r="D341" s="165"/>
      <c r="E341" s="165"/>
      <c r="G341" s="203">
        <f t="shared" ref="G341:G342" si="38">AG341</f>
        <v>0</v>
      </c>
      <c r="H341" s="140">
        <f>AH341</f>
        <v>0</v>
      </c>
      <c r="I341" s="532"/>
      <c r="Y341" s="960"/>
      <c r="AB341" s="944"/>
      <c r="AC341" s="233">
        <f t="shared" si="36"/>
        <v>0</v>
      </c>
      <c r="AD341" s="19"/>
      <c r="AE341" s="19"/>
      <c r="AF341" s="19"/>
      <c r="AG341" s="25">
        <f>G339</f>
        <v>0</v>
      </c>
      <c r="AH341" s="25">
        <f>G341</f>
        <v>0</v>
      </c>
      <c r="AI341" s="18"/>
      <c r="AJ341" s="15"/>
      <c r="AK341" s="34"/>
      <c r="AL341" s="364"/>
      <c r="AM341" s="34"/>
    </row>
    <row r="342" spans="1:39" s="750" customFormat="1" ht="14.1" hidden="1" customHeight="1" outlineLevel="2" x14ac:dyDescent="0.2">
      <c r="A342" s="85"/>
      <c r="B342" s="283" t="s">
        <v>79</v>
      </c>
      <c r="C342" s="151" t="s">
        <v>0</v>
      </c>
      <c r="D342" s="165"/>
      <c r="E342" s="165"/>
      <c r="G342" s="203">
        <f t="shared" si="38"/>
        <v>0</v>
      </c>
      <c r="H342" s="140">
        <f>AH342</f>
        <v>0</v>
      </c>
      <c r="I342" s="532"/>
      <c r="Y342" s="960"/>
      <c r="AB342" s="944"/>
      <c r="AC342" s="233">
        <f t="shared" si="36"/>
        <v>0</v>
      </c>
      <c r="AD342" s="19"/>
      <c r="AE342" s="19"/>
      <c r="AF342" s="19"/>
      <c r="AG342" s="25">
        <f>G341</f>
        <v>0</v>
      </c>
      <c r="AH342" s="25">
        <f>G342</f>
        <v>0</v>
      </c>
      <c r="AI342" s="18" t="s">
        <v>0</v>
      </c>
      <c r="AJ342" s="15"/>
      <c r="AK342" s="34"/>
      <c r="AL342" s="364"/>
      <c r="AM342" s="34"/>
    </row>
    <row r="343" spans="1:39" s="750" customFormat="1" ht="14.1" hidden="1" customHeight="1" outlineLevel="2" x14ac:dyDescent="0.2">
      <c r="A343" s="85"/>
      <c r="B343" s="284" t="str">
        <f>AB343</f>
        <v>ProgLead submits Web Request to post presentation materials</v>
      </c>
      <c r="C343" s="330" t="str">
        <f>HYPERLINK("http://deq05/intranet/communication/WebRequests.htm","i")</f>
        <v>i</v>
      </c>
      <c r="D343" s="165"/>
      <c r="E343" s="536"/>
      <c r="I343" s="532"/>
      <c r="Y343" s="960"/>
      <c r="AB343" s="934" t="str">
        <f>S.Staff.Subject.Expert.FirstName&amp;" submits Web Request to post presentation materials"</f>
        <v>ProgLead submits Web Request to post presentation materials</v>
      </c>
      <c r="AC343" s="233">
        <f t="shared" si="36"/>
        <v>0</v>
      </c>
      <c r="AD343" s="19"/>
      <c r="AE343" s="19"/>
      <c r="AF343" s="19"/>
      <c r="AG343" s="9"/>
      <c r="AH343" s="9"/>
      <c r="AI343" s="18"/>
      <c r="AJ343" s="15"/>
      <c r="AK343" s="34"/>
      <c r="AL343" s="364"/>
      <c r="AM343" s="34"/>
    </row>
    <row r="344" spans="1:39" s="750" customFormat="1" ht="14.1" hidden="1" customHeight="1" outlineLevel="2" x14ac:dyDescent="0.2">
      <c r="A344" s="85"/>
      <c r="B344" s="283" t="s">
        <v>44</v>
      </c>
      <c r="C344" s="151" t="s">
        <v>0</v>
      </c>
      <c r="D344" s="165"/>
      <c r="E344" s="536"/>
      <c r="I344" s="532"/>
      <c r="Y344" s="960"/>
      <c r="AB344" s="944"/>
      <c r="AC344" s="233">
        <f t="shared" si="36"/>
        <v>0</v>
      </c>
      <c r="AD344" s="19"/>
      <c r="AE344" s="19"/>
      <c r="AF344" s="19"/>
      <c r="AG344" s="9"/>
      <c r="AH344" s="9"/>
      <c r="AI344" s="24"/>
      <c r="AJ344" s="24"/>
      <c r="AK344" s="34"/>
      <c r="AL344" s="364"/>
      <c r="AM344" s="34"/>
    </row>
    <row r="345" spans="1:39" s="750" customFormat="1" ht="14.1" hidden="1" customHeight="1" outlineLevel="2" x14ac:dyDescent="0.2">
      <c r="A345" s="85"/>
      <c r="B345" s="166" t="str">
        <f>AB345</f>
        <v>ProgLead facilitates, leads or supports:</v>
      </c>
      <c r="C345" s="142"/>
      <c r="D345" s="165"/>
      <c r="E345" s="165"/>
      <c r="G345" s="203">
        <f>AG345</f>
        <v>0</v>
      </c>
      <c r="H345" s="140">
        <f>AH345</f>
        <v>0</v>
      </c>
      <c r="I345" s="532"/>
      <c r="Y345" s="960"/>
      <c r="AB345" s="936" t="str">
        <f>S.Staff.Subject.Expert.FirstName&amp;" facilitates, leads or supports:"</f>
        <v>ProgLead facilitates, leads or supports:</v>
      </c>
      <c r="AC345" s="233">
        <f>$AC$322</f>
        <v>0</v>
      </c>
      <c r="AD345" s="19"/>
      <c r="AE345" s="19"/>
      <c r="AF345" s="19"/>
      <c r="AG345" s="25">
        <f>S.AC.SendInvitation</f>
        <v>0</v>
      </c>
      <c r="AH345" s="25">
        <f>G345</f>
        <v>0</v>
      </c>
      <c r="AI345" s="23"/>
      <c r="AJ345" s="15"/>
      <c r="AK345" s="34"/>
      <c r="AL345" s="364"/>
      <c r="AM345" s="34"/>
    </row>
    <row r="346" spans="1:39" s="750" customFormat="1" ht="12.75" hidden="1" customHeight="1" outlineLevel="2" x14ac:dyDescent="0.2">
      <c r="A346" s="85"/>
      <c r="B346" s="200" t="s">
        <v>511</v>
      </c>
      <c r="C346" s="151" t="s">
        <v>0</v>
      </c>
      <c r="H346" s="146">
        <f>AH346</f>
        <v>16</v>
      </c>
      <c r="I346" s="532"/>
      <c r="Y346" s="960"/>
      <c r="AB346" s="944"/>
      <c r="AC346" s="233">
        <f>$AC$322</f>
        <v>0</v>
      </c>
      <c r="AD346" s="19"/>
      <c r="AE346" s="19"/>
      <c r="AF346" s="19"/>
      <c r="AG346" s="24"/>
      <c r="AH346" s="25">
        <f>S.AC.DateMeeting2</f>
        <v>16</v>
      </c>
      <c r="AI346" s="24"/>
      <c r="AJ346" s="24"/>
      <c r="AK346" s="34"/>
      <c r="AL346" s="364"/>
      <c r="AM346" s="34"/>
    </row>
    <row r="347" spans="1:39" s="750" customFormat="1" ht="14.1" hidden="1" customHeight="1" outlineLevel="2" x14ac:dyDescent="0.2">
      <c r="A347" s="85"/>
      <c r="B347" s="199" t="str">
        <f>AB347</f>
        <v>* drafting of AC.MINUTES 01.16.00</v>
      </c>
      <c r="C347" s="328" t="str">
        <f>HYPERLINK("\\deq000\templates\General\Minutes Template.dotx","i")</f>
        <v>i</v>
      </c>
      <c r="D347" s="228"/>
      <c r="E347" s="228"/>
      <c r="G347" s="203">
        <f>AG347</f>
        <v>16</v>
      </c>
      <c r="H347" s="140">
        <f>AH347</f>
        <v>16</v>
      </c>
      <c r="I347" s="532"/>
      <c r="Y347" s="960"/>
      <c r="AB347" s="936" t="str">
        <f>"* drafting of AC.MINUTES "&amp;TEXT(S.AC.DateMeeting2,"mm.dd.yy")</f>
        <v>* drafting of AC.MINUTES 01.16.00</v>
      </c>
      <c r="AC347" s="233">
        <f>$AC$322</f>
        <v>0</v>
      </c>
      <c r="AD347" s="19"/>
      <c r="AE347" s="19"/>
      <c r="AF347" s="19"/>
      <c r="AG347" s="25">
        <f>S.AC.DateMeeting1</f>
        <v>16</v>
      </c>
      <c r="AH347" s="25">
        <f>G347</f>
        <v>16</v>
      </c>
      <c r="AI347" s="24"/>
      <c r="AJ347" s="24"/>
      <c r="AK347" s="34"/>
      <c r="AL347" s="364"/>
      <c r="AM347" s="34"/>
    </row>
    <row r="348" spans="1:39" s="750" customFormat="1" ht="14.1" hidden="1" customHeight="1" outlineLevel="2" x14ac:dyDescent="0.2">
      <c r="A348" s="85"/>
      <c r="B348" s="200" t="s">
        <v>512</v>
      </c>
      <c r="C348" s="151" t="s">
        <v>0</v>
      </c>
      <c r="D348" s="165"/>
      <c r="E348" s="165"/>
      <c r="G348" s="203">
        <f>AG348</f>
        <v>16</v>
      </c>
      <c r="H348" s="140">
        <f>AH348</f>
        <v>16</v>
      </c>
      <c r="I348" s="532"/>
      <c r="Y348" s="960"/>
      <c r="AB348" s="944"/>
      <c r="AC348" s="233">
        <f>$AC$322</f>
        <v>0</v>
      </c>
      <c r="AD348" s="19"/>
      <c r="AE348" s="19"/>
      <c r="AF348" s="19"/>
      <c r="AG348" s="25">
        <f>S.AC.DateMeeting1</f>
        <v>16</v>
      </c>
      <c r="AH348" s="25">
        <f>G348</f>
        <v>16</v>
      </c>
      <c r="AI348" s="24"/>
      <c r="AJ348" s="24"/>
      <c r="AK348" s="34"/>
      <c r="AL348" s="364"/>
      <c r="AM348" s="34"/>
    </row>
    <row r="349" spans="1:39" s="750" customFormat="1" ht="14.25" hidden="1" customHeight="1" outlineLevel="1" collapsed="1" thickBot="1" x14ac:dyDescent="0.25">
      <c r="A349" s="85"/>
      <c r="B349" s="199"/>
      <c r="C349" s="151"/>
      <c r="E349" s="228"/>
      <c r="I349" s="532"/>
      <c r="Y349" s="960"/>
      <c r="AB349" s="944"/>
      <c r="AC349" s="233">
        <v>1</v>
      </c>
      <c r="AD349" s="19"/>
      <c r="AE349" s="19"/>
      <c r="AF349" s="19"/>
      <c r="AG349" s="24"/>
      <c r="AH349" s="24"/>
      <c r="AI349" s="24"/>
      <c r="AJ349" s="24"/>
      <c r="AK349" s="34"/>
      <c r="AL349" s="364"/>
      <c r="AM349" s="34"/>
    </row>
    <row r="350" spans="1:39" s="6" customFormat="1" ht="14.1" hidden="1" customHeight="1" outlineLevel="1" thickBot="1" x14ac:dyDescent="0.25">
      <c r="A350" s="85"/>
      <c r="B350" s="236" t="s">
        <v>15</v>
      </c>
      <c r="C350" s="350" t="s">
        <v>12</v>
      </c>
      <c r="D350" s="504"/>
      <c r="E350" s="504"/>
      <c r="F350" s="188"/>
      <c r="G350" s="139">
        <f>S.AC.DateMeeting2</f>
        <v>16</v>
      </c>
      <c r="H350" s="139" t="s">
        <v>410</v>
      </c>
      <c r="I350" s="532"/>
      <c r="J350"/>
      <c r="K350"/>
      <c r="L350"/>
      <c r="M350"/>
      <c r="N350"/>
      <c r="O350"/>
      <c r="P350"/>
      <c r="Q350"/>
      <c r="R350"/>
      <c r="S350"/>
      <c r="T350"/>
      <c r="U350"/>
      <c r="X350"/>
      <c r="Y350" s="960"/>
      <c r="AB350" s="944"/>
      <c r="AC350" s="233">
        <f t="shared" ref="AC350" si="39">IF(AND(S.AC.InvolveMeeting3="Y",S.AC.CommitteeInvolved="Y"),1,0)</f>
        <v>0</v>
      </c>
      <c r="AD350" s="19"/>
      <c r="AE350" s="19"/>
      <c r="AF350" s="19"/>
      <c r="AG350" s="25">
        <f>S.AC.DateMeeting2</f>
        <v>16</v>
      </c>
      <c r="AH350" s="9" t="s">
        <v>0</v>
      </c>
      <c r="AI350" s="24"/>
      <c r="AJ350" s="24"/>
      <c r="AK350" s="34"/>
      <c r="AL350" s="364"/>
      <c r="AM350" s="34"/>
    </row>
    <row r="351" spans="1:39" s="750" customFormat="1" ht="14.1" hidden="1" customHeight="1" outlineLevel="2" x14ac:dyDescent="0.2">
      <c r="A351" s="85"/>
      <c r="B351" s="261" t="s">
        <v>41</v>
      </c>
      <c r="C351" s="142"/>
      <c r="D351" s="165"/>
      <c r="E351" s="536"/>
      <c r="G351" s="142"/>
      <c r="H351" s="182"/>
      <c r="I351" s="532"/>
      <c r="Y351" s="960"/>
      <c r="AB351" s="929"/>
      <c r="AC351" s="233">
        <f t="shared" ref="AC351:AC364" si="40">$AC$350</f>
        <v>0</v>
      </c>
      <c r="AD351" s="19"/>
      <c r="AE351" s="19"/>
      <c r="AF351" s="19"/>
      <c r="AG351" s="9"/>
      <c r="AH351" s="9" t="s">
        <v>0</v>
      </c>
      <c r="AI351" s="18"/>
      <c r="AJ351" s="15"/>
      <c r="AK351" s="34"/>
      <c r="AL351" s="364"/>
      <c r="AM351" s="34"/>
    </row>
    <row r="352" spans="1:39" s="750" customFormat="1" ht="14.1" hidden="1" customHeight="1" outlineLevel="2" x14ac:dyDescent="0.2">
      <c r="A352" s="85"/>
      <c r="B352" s="166" t="str">
        <f>AB352</f>
        <v>ProgLead:</v>
      </c>
      <c r="C352" s="142"/>
      <c r="D352" s="165"/>
      <c r="E352" s="165"/>
      <c r="G352" s="203" t="e">
        <f>AG352</f>
        <v>#NUM!</v>
      </c>
      <c r="H352" s="140" t="e">
        <f>AH352</f>
        <v>#NUM!</v>
      </c>
      <c r="I352" s="532"/>
      <c r="Y352" s="960"/>
      <c r="AB352" s="936" t="str">
        <f>S.Staff.Subject.Expert.FirstName&amp;":"</f>
        <v>ProgLead:</v>
      </c>
      <c r="AC352" s="233">
        <f t="shared" si="40"/>
        <v>0</v>
      </c>
      <c r="AD352" s="19"/>
      <c r="AE352" s="19"/>
      <c r="AF352" s="19"/>
      <c r="AG352" s="25" t="e">
        <f>WORKDAY(S.AC.DateMeeting3,-28,S.DDL_DEQClosed)</f>
        <v>#NUM!</v>
      </c>
      <c r="AH352" s="25" t="e">
        <f>G352</f>
        <v>#NUM!</v>
      </c>
      <c r="AI352" s="23"/>
      <c r="AJ352" s="15"/>
      <c r="AK352" s="34"/>
      <c r="AL352" s="364"/>
      <c r="AM352" s="34"/>
    </row>
    <row r="353" spans="1:39" s="750" customFormat="1" ht="14.1" hidden="1" customHeight="1" outlineLevel="2" x14ac:dyDescent="0.2">
      <c r="A353" s="85"/>
      <c r="B353" s="201" t="s">
        <v>509</v>
      </c>
      <c r="C353" s="142"/>
      <c r="D353" s="165"/>
      <c r="E353" s="165"/>
      <c r="G353" s="142"/>
      <c r="H353" s="142"/>
      <c r="I353" s="532"/>
      <c r="Y353" s="960"/>
      <c r="AB353" s="936" t="str">
        <f>S.Staff.Subject.Expert.FirstName&amp;" coordinates drafting:"</f>
        <v>ProgLead coordinates drafting:</v>
      </c>
      <c r="AC353" s="233">
        <f t="shared" si="40"/>
        <v>0</v>
      </c>
      <c r="AD353" s="19"/>
      <c r="AE353" s="19"/>
      <c r="AF353" s="19"/>
      <c r="AG353" s="9"/>
      <c r="AH353" s="9"/>
      <c r="AI353" s="23"/>
      <c r="AJ353" s="15"/>
      <c r="AK353" s="34"/>
      <c r="AL353" s="364"/>
      <c r="AM353" s="34"/>
    </row>
    <row r="354" spans="1:39" s="750" customFormat="1" ht="14.1" hidden="1" customHeight="1" outlineLevel="2" x14ac:dyDescent="0.2">
      <c r="A354" s="85"/>
      <c r="B354" s="271" t="str">
        <f>AB354</f>
        <v>- AC.AGENDA.01.16.00</v>
      </c>
      <c r="C354" s="328" t="str">
        <f>HYPERLINK("\\deq000\templates\General\Agenda Template.dotx","i")</f>
        <v>i</v>
      </c>
      <c r="D354" s="228"/>
      <c r="E354" s="536"/>
      <c r="G354" s="142"/>
      <c r="H354" s="182"/>
      <c r="I354" s="532"/>
      <c r="Y354" s="960"/>
      <c r="AB354" s="936" t="str">
        <f>"- AC.AGENDA."&amp;TEXT(S.AC.DateMeeting3,"mm.dd.yy")</f>
        <v>- AC.AGENDA.01.16.00</v>
      </c>
      <c r="AC354" s="233">
        <f t="shared" si="40"/>
        <v>0</v>
      </c>
      <c r="AD354" s="19"/>
      <c r="AE354" s="19"/>
      <c r="AF354" s="19"/>
      <c r="AG354" s="9"/>
      <c r="AH354" s="9" t="s">
        <v>0</v>
      </c>
      <c r="AI354" s="24"/>
      <c r="AJ354" s="26"/>
      <c r="AK354" s="34"/>
      <c r="AL354" s="364"/>
      <c r="AM354" s="34"/>
    </row>
    <row r="355" spans="1:39" s="750" customFormat="1" ht="14.1" hidden="1" customHeight="1" outlineLevel="2" x14ac:dyDescent="0.2">
      <c r="A355" s="85"/>
      <c r="B355" s="271" t="str">
        <f>AB355</f>
        <v>- AC.GovDelivery.NOTICE.01.16.00</v>
      </c>
      <c r="C355" s="151" t="s">
        <v>0</v>
      </c>
      <c r="D355" s="165"/>
      <c r="E355" s="536"/>
      <c r="G355" s="142"/>
      <c r="H355" s="182"/>
      <c r="I355" s="532"/>
      <c r="Y355" s="960"/>
      <c r="AB355" s="936" t="str">
        <f>"- AC.GovDelivery.NOTICE."&amp;TEXT(S.AC.DateMeeting3,"mm.dd.yy")</f>
        <v>- AC.GovDelivery.NOTICE.01.16.00</v>
      </c>
      <c r="AC355" s="233">
        <f t="shared" si="40"/>
        <v>0</v>
      </c>
      <c r="AD355" s="19"/>
      <c r="AE355" s="19"/>
      <c r="AF355" s="19"/>
      <c r="AG355" s="9"/>
      <c r="AH355" s="9" t="s">
        <v>0</v>
      </c>
      <c r="AI355" s="24"/>
      <c r="AJ355" s="24"/>
      <c r="AK355" s="34"/>
      <c r="AL355" s="364"/>
      <c r="AM355" s="34"/>
    </row>
    <row r="356" spans="1:39" s="750" customFormat="1" ht="14.1" hidden="1" customHeight="1" outlineLevel="2" x14ac:dyDescent="0.2">
      <c r="A356" s="85"/>
      <c r="B356" s="271" t="str">
        <f>AB356</f>
        <v>- AC.WebRequest.ATTACHMENT.01.16.00</v>
      </c>
      <c r="C356" s="151" t="s">
        <v>0</v>
      </c>
      <c r="D356" s="165"/>
      <c r="E356" s="536"/>
      <c r="G356" s="142"/>
      <c r="H356" s="182"/>
      <c r="I356" s="532"/>
      <c r="Y356" s="960"/>
      <c r="AB356" s="936" t="str">
        <f>"- AC.WebRequest.ATTACHMENT."&amp;TEXT(S.AC.DateMeeting3,"mm.dd.yy")</f>
        <v>- AC.WebRequest.ATTACHMENT.01.16.00</v>
      </c>
      <c r="AC356" s="233">
        <f t="shared" si="40"/>
        <v>0</v>
      </c>
      <c r="AD356" s="19"/>
      <c r="AE356" s="19"/>
      <c r="AF356" s="19"/>
      <c r="AG356" s="9"/>
      <c r="AH356" s="9" t="s">
        <v>0</v>
      </c>
      <c r="AI356" s="24"/>
      <c r="AJ356" s="24"/>
      <c r="AK356" s="34"/>
      <c r="AL356" s="364"/>
      <c r="AM356" s="34"/>
    </row>
    <row r="357" spans="1:39" s="750" customFormat="1" ht="14.1" hidden="1" customHeight="1" outlineLevel="2" x14ac:dyDescent="0.2">
      <c r="A357" s="85"/>
      <c r="B357" s="201" t="str">
        <f>AB357</f>
        <v>* obtains team and ProgMgr input on agenda and GovDelivery notice</v>
      </c>
      <c r="C357" s="142"/>
      <c r="D357" s="165"/>
      <c r="E357" s="165"/>
      <c r="G357" s="142"/>
      <c r="H357" s="140" t="e">
        <f>AH357</f>
        <v>#NUM!</v>
      </c>
      <c r="I357" s="532"/>
      <c r="Y357" s="960"/>
      <c r="AB357" s="936" t="str">
        <f>"* obtains team and "&amp;S.Staff.Program.Mgr.FirstName&amp;" input on agenda and GovDelivery notice"</f>
        <v>* obtains team and ProgMgr input on agenda and GovDelivery notice</v>
      </c>
      <c r="AC357" s="233">
        <f t="shared" si="40"/>
        <v>0</v>
      </c>
      <c r="AD357" s="19"/>
      <c r="AE357" s="19"/>
      <c r="AF357" s="19"/>
      <c r="AG357" s="9"/>
      <c r="AH357" s="25" t="e">
        <f>H352</f>
        <v>#NUM!</v>
      </c>
      <c r="AI357" s="23"/>
      <c r="AJ357" s="15"/>
      <c r="AK357" s="34"/>
      <c r="AL357" s="364"/>
      <c r="AM357" s="34"/>
    </row>
    <row r="358" spans="1:39" s="750" customFormat="1" ht="14.1" hidden="1" customHeight="1" outlineLevel="2" x14ac:dyDescent="0.2">
      <c r="A358" s="85"/>
      <c r="B358" s="201" t="s">
        <v>510</v>
      </c>
      <c r="C358" s="328" t="str">
        <f>HYPERLINK("http://deq05/intranet/contentmanagement/login.asp","i")</f>
        <v>i</v>
      </c>
      <c r="D358" s="165"/>
      <c r="E358" s="165"/>
      <c r="G358" s="142"/>
      <c r="H358" s="140" t="e">
        <f>AH358</f>
        <v>#NUM!</v>
      </c>
      <c r="I358" s="532"/>
      <c r="Y358" s="960"/>
      <c r="AB358" s="944"/>
      <c r="AC358" s="233">
        <f t="shared" si="40"/>
        <v>0</v>
      </c>
      <c r="AD358" s="19"/>
      <c r="AE358" s="19"/>
      <c r="AF358" s="19"/>
      <c r="AG358" s="9"/>
      <c r="AH358" s="25" t="e">
        <f>H357</f>
        <v>#NUM!</v>
      </c>
      <c r="AI358" s="25">
        <f>WORKDAY(S.AC.DateMeeting3-8,1,S.DDL_DEQClosed)</f>
        <v>9</v>
      </c>
      <c r="AJ358" s="15"/>
      <c r="AK358" s="34"/>
      <c r="AL358" s="364"/>
      <c r="AM358" s="34"/>
    </row>
    <row r="359" spans="1:39" s="750" customFormat="1" ht="14.1" hidden="1" customHeight="1" outlineLevel="2" x14ac:dyDescent="0.2">
      <c r="A359" s="85"/>
      <c r="B359" s="197" t="str">
        <f>AB359</f>
        <v>* sends AC.GovDelivery.NOTICE.01.16.00 to committee Web page subscribers</v>
      </c>
      <c r="C359" s="151" t="s">
        <v>0</v>
      </c>
      <c r="D359" s="165"/>
      <c r="E359" s="536"/>
      <c r="G359" s="142"/>
      <c r="H359" s="182"/>
      <c r="I359" s="532"/>
      <c r="Y359" s="960"/>
      <c r="AB359" s="936" t="str">
        <f>"* sends AC.GovDelivery.NOTICE."&amp;TEXT(S.AC.DateMeeting3,"mm.dd.yy")&amp;" to committee Web page subscribers"</f>
        <v>* sends AC.GovDelivery.NOTICE.01.16.00 to committee Web page subscribers</v>
      </c>
      <c r="AC359" s="233">
        <f t="shared" si="40"/>
        <v>0</v>
      </c>
      <c r="AD359" s="19"/>
      <c r="AE359" s="19"/>
      <c r="AF359" s="19"/>
      <c r="AG359" s="9"/>
      <c r="AH359" s="9" t="s">
        <v>0</v>
      </c>
      <c r="AI359" s="24"/>
      <c r="AJ359" s="24"/>
      <c r="AK359" s="34"/>
      <c r="AL359" s="364"/>
      <c r="AM359" s="34"/>
    </row>
    <row r="360" spans="1:39" s="750" customFormat="1" ht="14.1" hidden="1" customHeight="1" outlineLevel="2" x14ac:dyDescent="0.2">
      <c r="A360" s="85"/>
      <c r="B360" s="180" t="s">
        <v>67</v>
      </c>
      <c r="C360" s="151" t="s">
        <v>0</v>
      </c>
      <c r="D360" s="165"/>
      <c r="E360" s="536"/>
      <c r="G360" s="142"/>
      <c r="H360" s="182"/>
      <c r="I360" s="532"/>
      <c r="Y360" s="960"/>
      <c r="AB360" s="944" t="s">
        <v>0</v>
      </c>
      <c r="AC360" s="233">
        <f t="shared" si="40"/>
        <v>0</v>
      </c>
      <c r="AD360" s="19"/>
      <c r="AE360" s="19"/>
      <c r="AF360" s="19"/>
      <c r="AG360" s="9"/>
      <c r="AH360" s="9" t="s">
        <v>0</v>
      </c>
      <c r="AI360" s="18"/>
      <c r="AJ360" s="15"/>
      <c r="AK360" s="34"/>
      <c r="AL360" s="364"/>
      <c r="AM360" s="34"/>
    </row>
    <row r="361" spans="1:39" s="750" customFormat="1" ht="14.1" hidden="1" customHeight="1" outlineLevel="2" x14ac:dyDescent="0.2">
      <c r="A361" s="85"/>
      <c r="B361" s="263" t="s">
        <v>42</v>
      </c>
      <c r="C361" s="151" t="s">
        <v>0</v>
      </c>
      <c r="D361" s="165"/>
      <c r="E361" s="165"/>
      <c r="G361" s="203">
        <f t="shared" ref="G361:G364" si="41">AG361</f>
        <v>0</v>
      </c>
      <c r="H361" s="140">
        <f>AH361</f>
        <v>0</v>
      </c>
      <c r="I361" s="532"/>
      <c r="Y361" s="960"/>
      <c r="AB361" s="944"/>
      <c r="AC361" s="233">
        <f t="shared" si="40"/>
        <v>0</v>
      </c>
      <c r="AD361" s="19"/>
      <c r="AE361" s="19"/>
      <c r="AF361" s="19"/>
      <c r="AG361" s="25">
        <f>S.2AC.BEGIN</f>
        <v>0</v>
      </c>
      <c r="AH361" s="25">
        <f>G361</f>
        <v>0</v>
      </c>
      <c r="AI361" s="18"/>
      <c r="AJ361" s="15"/>
      <c r="AK361" s="34"/>
      <c r="AL361" s="364"/>
      <c r="AM361" s="34"/>
    </row>
    <row r="362" spans="1:39" s="750" customFormat="1" ht="14.1" hidden="1" customHeight="1" outlineLevel="2" x14ac:dyDescent="0.2">
      <c r="A362" s="85"/>
      <c r="B362" s="263" t="s">
        <v>42</v>
      </c>
      <c r="C362" s="151" t="s">
        <v>0</v>
      </c>
      <c r="D362" s="165"/>
      <c r="E362" s="165"/>
      <c r="G362" s="203">
        <f t="shared" si="41"/>
        <v>0</v>
      </c>
      <c r="H362" s="140">
        <f>AH362</f>
        <v>0</v>
      </c>
      <c r="I362" s="532"/>
      <c r="Y362" s="960"/>
      <c r="AB362" s="944"/>
      <c r="AC362" s="233">
        <f t="shared" si="40"/>
        <v>0</v>
      </c>
      <c r="AD362" s="19"/>
      <c r="AE362" s="19"/>
      <c r="AF362" s="19"/>
      <c r="AG362" s="25">
        <f>S.2AC.BEGIN</f>
        <v>0</v>
      </c>
      <c r="AH362" s="25">
        <f>G362</f>
        <v>0</v>
      </c>
      <c r="AI362" s="18"/>
      <c r="AJ362" s="15"/>
      <c r="AK362" s="34"/>
      <c r="AL362" s="364"/>
      <c r="AM362" s="34"/>
    </row>
    <row r="363" spans="1:39" s="750" customFormat="1" ht="14.1" hidden="1" customHeight="1" outlineLevel="2" x14ac:dyDescent="0.2">
      <c r="A363" s="85"/>
      <c r="B363" s="263" t="s">
        <v>42</v>
      </c>
      <c r="C363" s="151" t="s">
        <v>0</v>
      </c>
      <c r="D363" s="165"/>
      <c r="E363" s="165"/>
      <c r="G363" s="203">
        <f t="shared" si="41"/>
        <v>0</v>
      </c>
      <c r="H363" s="140">
        <f>AH363</f>
        <v>0</v>
      </c>
      <c r="I363" s="532"/>
      <c r="Y363" s="960"/>
      <c r="AB363" s="944"/>
      <c r="AC363" s="233">
        <f t="shared" si="40"/>
        <v>0</v>
      </c>
      <c r="AD363" s="19"/>
      <c r="AE363" s="19"/>
      <c r="AF363" s="19"/>
      <c r="AG363" s="25">
        <f>S.2AC.BEGIN</f>
        <v>0</v>
      </c>
      <c r="AH363" s="25">
        <f>G363</f>
        <v>0</v>
      </c>
      <c r="AI363" s="18"/>
      <c r="AJ363" s="15"/>
      <c r="AK363" s="34"/>
      <c r="AL363" s="364"/>
      <c r="AM363" s="34"/>
    </row>
    <row r="364" spans="1:39" s="750" customFormat="1" ht="14.1" hidden="1" customHeight="1" outlineLevel="2" thickBot="1" x14ac:dyDescent="0.25">
      <c r="A364" s="85"/>
      <c r="B364" s="263" t="s">
        <v>42</v>
      </c>
      <c r="C364" s="151" t="s">
        <v>0</v>
      </c>
      <c r="D364" s="165"/>
      <c r="E364" s="165"/>
      <c r="G364" s="203">
        <f t="shared" si="41"/>
        <v>0</v>
      </c>
      <c r="H364" s="140">
        <f>AH364</f>
        <v>0</v>
      </c>
      <c r="I364" s="532"/>
      <c r="Y364" s="960"/>
      <c r="AB364" s="944"/>
      <c r="AC364" s="233">
        <f t="shared" si="40"/>
        <v>0</v>
      </c>
      <c r="AD364" s="19"/>
      <c r="AE364" s="19"/>
      <c r="AF364" s="19"/>
      <c r="AG364" s="25">
        <f>S.2AC.BEGIN</f>
        <v>0</v>
      </c>
      <c r="AH364" s="25">
        <f>G364</f>
        <v>0</v>
      </c>
      <c r="AI364" s="18"/>
      <c r="AJ364" s="15"/>
      <c r="AK364" s="34"/>
      <c r="AL364" s="364"/>
      <c r="AM364" s="34"/>
    </row>
    <row r="365" spans="1:39" s="750" customFormat="1" ht="14.1" hidden="1" customHeight="1" outlineLevel="2" thickBot="1" x14ac:dyDescent="0.25">
      <c r="A365" s="85"/>
      <c r="B365" s="279" t="s">
        <v>54</v>
      </c>
      <c r="C365" s="350" t="s">
        <v>12</v>
      </c>
      <c r="D365" s="503"/>
      <c r="E365" s="503"/>
      <c r="G365" s="204"/>
      <c r="H365" s="204"/>
      <c r="I365" s="532"/>
      <c r="Y365" s="960"/>
      <c r="AB365" s="944"/>
      <c r="AC365" s="233">
        <f>IF(AND(S.AC.InvolveMeeting3="Y",S.AC.CommitteeInvolved="Y",S.AC.Presentation3="Y"),1,0)</f>
        <v>0</v>
      </c>
      <c r="AD365" s="19"/>
      <c r="AE365" s="19"/>
      <c r="AF365" s="19"/>
      <c r="AG365" s="9"/>
      <c r="AH365" s="9"/>
      <c r="AI365" s="9"/>
      <c r="AJ365" s="15"/>
      <c r="AK365" s="34"/>
      <c r="AL365" s="364"/>
      <c r="AM365" s="34"/>
    </row>
    <row r="366" spans="1:39" s="750" customFormat="1" ht="14.1" hidden="1" customHeight="1" outlineLevel="2" x14ac:dyDescent="0.2">
      <c r="A366" s="85"/>
      <c r="B366" s="280" t="s">
        <v>43</v>
      </c>
      <c r="C366" s="151" t="s">
        <v>0</v>
      </c>
      <c r="D366" s="205"/>
      <c r="E366" s="205"/>
      <c r="G366" s="202"/>
      <c r="H366" s="202"/>
      <c r="I366" s="532"/>
      <c r="Y366" s="960"/>
      <c r="AB366" s="944"/>
      <c r="AC366" s="233">
        <f t="shared" ref="AC366:AC372" si="42">$AC$365</f>
        <v>0</v>
      </c>
      <c r="AD366" s="19"/>
      <c r="AE366" s="19"/>
      <c r="AF366" s="19"/>
      <c r="AG366" s="9"/>
      <c r="AH366" s="9"/>
      <c r="AI366" s="18"/>
      <c r="AJ366" s="15"/>
      <c r="AK366" s="34"/>
      <c r="AL366" s="364"/>
      <c r="AM366" s="34"/>
    </row>
    <row r="367" spans="1:39" s="750" customFormat="1" ht="14.1" hidden="1" customHeight="1" outlineLevel="2" x14ac:dyDescent="0.2">
      <c r="A367" s="85"/>
      <c r="B367" s="281" t="str">
        <f>AB367</f>
        <v>* drafts optional AC.PRESENTATION.01.16.00</v>
      </c>
      <c r="C367" s="151" t="s">
        <v>0</v>
      </c>
      <c r="D367" s="165"/>
      <c r="E367" s="228"/>
      <c r="G367" s="203">
        <f t="shared" ref="G367" si="43">AG367</f>
        <v>0</v>
      </c>
      <c r="H367" s="140">
        <f>AH367</f>
        <v>0</v>
      </c>
      <c r="I367" s="532"/>
      <c r="Y367" s="960"/>
      <c r="AB367" s="934" t="str">
        <f>"* drafts optional AC.PRESENTATION."&amp;TEXT(S.AC.DateMeeting3,"mm.dd.yy")</f>
        <v>* drafts optional AC.PRESENTATION.01.16.00</v>
      </c>
      <c r="AC367" s="233">
        <f t="shared" si="42"/>
        <v>0</v>
      </c>
      <c r="AD367" s="19"/>
      <c r="AE367" s="19"/>
      <c r="AF367" s="19"/>
      <c r="AG367" s="25">
        <f>G364</f>
        <v>0</v>
      </c>
      <c r="AH367" s="25">
        <f>G367</f>
        <v>0</v>
      </c>
      <c r="AI367" s="18"/>
      <c r="AJ367" s="15"/>
      <c r="AK367" s="34"/>
      <c r="AL367" s="364"/>
      <c r="AM367" s="34"/>
    </row>
    <row r="368" spans="1:39" s="750" customFormat="1" ht="14.1" hidden="1" customHeight="1" outlineLevel="2" x14ac:dyDescent="0.2">
      <c r="A368" s="85"/>
      <c r="B368" s="280" t="s">
        <v>43</v>
      </c>
      <c r="C368" s="151" t="s">
        <v>0</v>
      </c>
      <c r="D368" s="205"/>
      <c r="E368" s="205"/>
      <c r="G368" s="204"/>
      <c r="H368" s="204"/>
      <c r="I368" s="532"/>
      <c r="Y368" s="960"/>
      <c r="AB368" s="944"/>
      <c r="AC368" s="233">
        <f t="shared" si="42"/>
        <v>0</v>
      </c>
      <c r="AD368" s="19"/>
      <c r="AE368" s="19"/>
      <c r="AF368" s="19"/>
      <c r="AG368" s="9"/>
      <c r="AH368" s="9"/>
      <c r="AI368" s="18"/>
      <c r="AJ368" s="15"/>
      <c r="AK368" s="34"/>
      <c r="AL368" s="364"/>
      <c r="AM368" s="34"/>
    </row>
    <row r="369" spans="1:39" s="750" customFormat="1" ht="14.1" hidden="1" customHeight="1" outlineLevel="2" x14ac:dyDescent="0.2">
      <c r="A369" s="85"/>
      <c r="B369" s="282" t="s">
        <v>66</v>
      </c>
      <c r="C369" s="151" t="s">
        <v>0</v>
      </c>
      <c r="D369" s="165"/>
      <c r="E369" s="165"/>
      <c r="G369" s="203">
        <f t="shared" ref="G369:G370" si="44">AG369</f>
        <v>0</v>
      </c>
      <c r="H369" s="140">
        <f>AH369</f>
        <v>0</v>
      </c>
      <c r="I369" s="532"/>
      <c r="Y369" s="960"/>
      <c r="AB369" s="944"/>
      <c r="AC369" s="233">
        <f t="shared" si="42"/>
        <v>0</v>
      </c>
      <c r="AD369" s="19"/>
      <c r="AE369" s="19"/>
      <c r="AF369" s="19"/>
      <c r="AG369" s="25">
        <f>G367</f>
        <v>0</v>
      </c>
      <c r="AH369" s="25">
        <f>G369</f>
        <v>0</v>
      </c>
      <c r="AI369" s="18"/>
      <c r="AJ369" s="15"/>
      <c r="AK369" s="34"/>
      <c r="AL369" s="364"/>
      <c r="AM369" s="34"/>
    </row>
    <row r="370" spans="1:39" s="750" customFormat="1" ht="14.1" hidden="1" customHeight="1" outlineLevel="2" x14ac:dyDescent="0.2">
      <c r="A370" s="85"/>
      <c r="B370" s="283" t="s">
        <v>79</v>
      </c>
      <c r="C370" s="151" t="s">
        <v>0</v>
      </c>
      <c r="D370" s="165"/>
      <c r="E370" s="165"/>
      <c r="G370" s="203">
        <f t="shared" si="44"/>
        <v>0</v>
      </c>
      <c r="H370" s="140">
        <f>AH370</f>
        <v>0</v>
      </c>
      <c r="I370" s="532"/>
      <c r="Y370" s="960"/>
      <c r="AB370" s="944"/>
      <c r="AC370" s="233">
        <f t="shared" si="42"/>
        <v>0</v>
      </c>
      <c r="AD370" s="19"/>
      <c r="AE370" s="19"/>
      <c r="AF370" s="19"/>
      <c r="AG370" s="25">
        <f>G369</f>
        <v>0</v>
      </c>
      <c r="AH370" s="25">
        <f>G370</f>
        <v>0</v>
      </c>
      <c r="AI370" s="18" t="s">
        <v>0</v>
      </c>
      <c r="AJ370" s="15"/>
      <c r="AK370" s="34"/>
      <c r="AL370" s="364"/>
      <c r="AM370" s="34"/>
    </row>
    <row r="371" spans="1:39" s="750" customFormat="1" ht="14.1" hidden="1" customHeight="1" outlineLevel="2" x14ac:dyDescent="0.2">
      <c r="A371" s="85"/>
      <c r="B371" s="284" t="str">
        <f>AB371</f>
        <v>ProgLead submits Web Request to post presentation materials</v>
      </c>
      <c r="C371" s="330" t="str">
        <f>HYPERLINK("http://deq05/intranet/communication/WebRequests.htm","i")</f>
        <v>i</v>
      </c>
      <c r="D371" s="165"/>
      <c r="E371" s="536"/>
      <c r="I371" s="532"/>
      <c r="Y371" s="960"/>
      <c r="AB371" s="934" t="str">
        <f>S.Staff.Subject.Expert.FirstName&amp;" submits Web Request to post presentation materials"</f>
        <v>ProgLead submits Web Request to post presentation materials</v>
      </c>
      <c r="AC371" s="233">
        <f t="shared" si="42"/>
        <v>0</v>
      </c>
      <c r="AD371" s="19"/>
      <c r="AE371" s="19"/>
      <c r="AF371" s="19"/>
      <c r="AG371" s="9"/>
      <c r="AH371" s="9"/>
      <c r="AI371" s="18"/>
      <c r="AJ371" s="15"/>
      <c r="AK371" s="34"/>
      <c r="AL371" s="364"/>
      <c r="AM371" s="34"/>
    </row>
    <row r="372" spans="1:39" s="750" customFormat="1" ht="14.1" hidden="1" customHeight="1" outlineLevel="2" x14ac:dyDescent="0.2">
      <c r="A372" s="85"/>
      <c r="B372" s="283" t="s">
        <v>44</v>
      </c>
      <c r="C372" s="151" t="s">
        <v>0</v>
      </c>
      <c r="D372" s="165"/>
      <c r="E372" s="536"/>
      <c r="I372" s="532"/>
      <c r="Y372" s="960"/>
      <c r="AB372" s="944"/>
      <c r="AC372" s="233">
        <f t="shared" si="42"/>
        <v>0</v>
      </c>
      <c r="AD372" s="19"/>
      <c r="AE372" s="19"/>
      <c r="AF372" s="19"/>
      <c r="AG372" s="9"/>
      <c r="AH372" s="9"/>
      <c r="AI372" s="24"/>
      <c r="AJ372" s="24"/>
      <c r="AK372" s="34"/>
      <c r="AL372" s="364"/>
      <c r="AM372" s="34"/>
    </row>
    <row r="373" spans="1:39" s="750" customFormat="1" ht="14.1" hidden="1" customHeight="1" outlineLevel="2" x14ac:dyDescent="0.2">
      <c r="A373" s="85"/>
      <c r="B373" s="166" t="str">
        <f>AB373</f>
        <v>ProgLead facilitates, leads or supports:</v>
      </c>
      <c r="C373" s="142"/>
      <c r="D373" s="165"/>
      <c r="E373" s="165"/>
      <c r="G373" s="203">
        <f>AG373</f>
        <v>0</v>
      </c>
      <c r="H373" s="140">
        <f>AH373</f>
        <v>0</v>
      </c>
      <c r="I373" s="532"/>
      <c r="Y373" s="960"/>
      <c r="AB373" s="936" t="str">
        <f>S.Staff.Subject.Expert.FirstName&amp;" facilitates, leads or supports:"</f>
        <v>ProgLead facilitates, leads or supports:</v>
      </c>
      <c r="AC373" s="233">
        <f>$AC$350</f>
        <v>0</v>
      </c>
      <c r="AD373" s="19"/>
      <c r="AE373" s="19"/>
      <c r="AF373" s="19"/>
      <c r="AG373" s="25">
        <f>S.AC.SendInvitation</f>
        <v>0</v>
      </c>
      <c r="AH373" s="25">
        <f>G373</f>
        <v>0</v>
      </c>
      <c r="AI373" s="23"/>
      <c r="AJ373" s="15"/>
      <c r="AK373" s="34"/>
      <c r="AL373" s="364"/>
      <c r="AM373" s="34"/>
    </row>
    <row r="374" spans="1:39" s="750" customFormat="1" ht="12.75" hidden="1" customHeight="1" outlineLevel="2" x14ac:dyDescent="0.2">
      <c r="A374" s="85"/>
      <c r="B374" s="200" t="s">
        <v>511</v>
      </c>
      <c r="C374" s="151" t="s">
        <v>0</v>
      </c>
      <c r="H374" s="146">
        <f>AH374</f>
        <v>16</v>
      </c>
      <c r="I374" s="532"/>
      <c r="Y374" s="960"/>
      <c r="AB374" s="944"/>
      <c r="AC374" s="233">
        <f>$AC$350</f>
        <v>0</v>
      </c>
      <c r="AD374" s="19"/>
      <c r="AE374" s="19"/>
      <c r="AF374" s="19"/>
      <c r="AG374" s="24"/>
      <c r="AH374" s="25">
        <f>S.AC.DateMeeting3</f>
        <v>16</v>
      </c>
      <c r="AI374" s="24"/>
      <c r="AJ374" s="24"/>
      <c r="AK374" s="34"/>
      <c r="AL374" s="364"/>
      <c r="AM374" s="34"/>
    </row>
    <row r="375" spans="1:39" s="750" customFormat="1" ht="14.1" hidden="1" customHeight="1" outlineLevel="2" x14ac:dyDescent="0.2">
      <c r="A375" s="85"/>
      <c r="B375" s="199" t="str">
        <f>AB375</f>
        <v>* drafting of AC.MINUTES 01.16.00</v>
      </c>
      <c r="C375" s="328" t="str">
        <f>HYPERLINK("\\deq000\templates\General\Minutes Template.dotx","i")</f>
        <v>i</v>
      </c>
      <c r="D375" s="228"/>
      <c r="E375" s="228"/>
      <c r="G375" s="203">
        <f>AG375</f>
        <v>16</v>
      </c>
      <c r="H375" s="140">
        <f>AH375</f>
        <v>16</v>
      </c>
      <c r="I375" s="532"/>
      <c r="Y375" s="960"/>
      <c r="AB375" s="936" t="str">
        <f>"* drafting of AC.MINUTES "&amp;TEXT(S.AC.DateMeeting3,"mm.dd.yy")</f>
        <v>* drafting of AC.MINUTES 01.16.00</v>
      </c>
      <c r="AC375" s="233">
        <f>$AC$350</f>
        <v>0</v>
      </c>
      <c r="AD375" s="19"/>
      <c r="AE375" s="19"/>
      <c r="AF375" s="19"/>
      <c r="AG375" s="25">
        <f>S.AC.DateMeeting1</f>
        <v>16</v>
      </c>
      <c r="AH375" s="25">
        <f>G375</f>
        <v>16</v>
      </c>
      <c r="AI375" s="24"/>
      <c r="AJ375" s="24"/>
      <c r="AK375" s="34"/>
      <c r="AL375" s="364"/>
      <c r="AM375" s="34"/>
    </row>
    <row r="376" spans="1:39" s="750" customFormat="1" ht="14.1" hidden="1" customHeight="1" outlineLevel="2" x14ac:dyDescent="0.2">
      <c r="A376" s="85"/>
      <c r="B376" s="200" t="s">
        <v>512</v>
      </c>
      <c r="C376" s="151" t="s">
        <v>0</v>
      </c>
      <c r="D376" s="165"/>
      <c r="E376" s="165"/>
      <c r="G376" s="203">
        <f>AG376</f>
        <v>16</v>
      </c>
      <c r="H376" s="140">
        <f>AH376</f>
        <v>16</v>
      </c>
      <c r="I376" s="532"/>
      <c r="Y376" s="960"/>
      <c r="AB376" s="944"/>
      <c r="AC376" s="233">
        <f>$AC$350</f>
        <v>0</v>
      </c>
      <c r="AD376" s="19"/>
      <c r="AE376" s="19"/>
      <c r="AF376" s="19"/>
      <c r="AG376" s="25">
        <f>S.AC.DateMeeting1</f>
        <v>16</v>
      </c>
      <c r="AH376" s="25">
        <f>G376</f>
        <v>16</v>
      </c>
      <c r="AI376" s="24"/>
      <c r="AJ376" s="24"/>
      <c r="AK376" s="34"/>
      <c r="AL376" s="364"/>
      <c r="AM376" s="34"/>
    </row>
    <row r="377" spans="1:39" s="750" customFormat="1" ht="14.25" hidden="1" customHeight="1" outlineLevel="1" collapsed="1" thickBot="1" x14ac:dyDescent="0.25">
      <c r="A377" s="85"/>
      <c r="B377" s="199"/>
      <c r="C377" s="151"/>
      <c r="E377" s="228"/>
      <c r="I377" s="532"/>
      <c r="Y377" s="960"/>
      <c r="AB377" s="944"/>
      <c r="AC377" s="233">
        <v>1</v>
      </c>
      <c r="AD377" s="19"/>
      <c r="AE377" s="19"/>
      <c r="AF377" s="19"/>
      <c r="AG377" s="24"/>
      <c r="AH377" s="24"/>
      <c r="AI377" s="24"/>
      <c r="AJ377" s="24"/>
      <c r="AK377" s="34"/>
      <c r="AL377" s="364"/>
      <c r="AM377" s="34"/>
    </row>
    <row r="378" spans="1:39" s="6" customFormat="1" ht="14.1" hidden="1" customHeight="1" outlineLevel="1" thickBot="1" x14ac:dyDescent="0.25">
      <c r="A378" s="85"/>
      <c r="B378" s="236" t="s">
        <v>19</v>
      </c>
      <c r="C378" s="350" t="s">
        <v>12</v>
      </c>
      <c r="D378" s="504"/>
      <c r="E378" s="504"/>
      <c r="F378" s="188"/>
      <c r="G378" s="139">
        <f>S.AC.DateMeeting3</f>
        <v>16</v>
      </c>
      <c r="H378" s="138" t="s">
        <v>25</v>
      </c>
      <c r="I378" s="532"/>
      <c r="J378"/>
      <c r="K378"/>
      <c r="L378"/>
      <c r="M378"/>
      <c r="N378"/>
      <c r="O378"/>
      <c r="P378"/>
      <c r="Q378"/>
      <c r="R378"/>
      <c r="S378"/>
      <c r="T378"/>
      <c r="U378"/>
      <c r="X378"/>
      <c r="Y378" s="960"/>
      <c r="AB378" s="944"/>
      <c r="AC378" s="233">
        <f t="shared" ref="AC378" si="45">IF(AND(S.AC.InvolveMeeting4="Y",S.AC.CommitteeInvolved="Y"),1,0)</f>
        <v>0</v>
      </c>
      <c r="AD378" s="19"/>
      <c r="AE378" s="19"/>
      <c r="AF378" s="19"/>
      <c r="AG378" s="25">
        <f>S.AC.DateMeeting3</f>
        <v>16</v>
      </c>
      <c r="AH378" s="9" t="s">
        <v>0</v>
      </c>
      <c r="AI378" s="9"/>
      <c r="AJ378" s="15"/>
      <c r="AK378" s="34"/>
      <c r="AL378" s="364"/>
      <c r="AM378" s="34"/>
    </row>
    <row r="379" spans="1:39" s="750" customFormat="1" ht="14.1" hidden="1" customHeight="1" outlineLevel="2" x14ac:dyDescent="0.2">
      <c r="A379" s="85"/>
      <c r="B379" s="261" t="s">
        <v>41</v>
      </c>
      <c r="C379" s="142"/>
      <c r="D379" s="165"/>
      <c r="E379" s="536"/>
      <c r="G379" s="142"/>
      <c r="H379" s="182"/>
      <c r="I379" s="532"/>
      <c r="Y379" s="960"/>
      <c r="AB379" s="929"/>
      <c r="AC379" s="233">
        <f t="shared" ref="AC379:AC392" si="46">$AC$378</f>
        <v>0</v>
      </c>
      <c r="AD379" s="19"/>
      <c r="AE379" s="19"/>
      <c r="AF379" s="19"/>
      <c r="AG379" s="9"/>
      <c r="AH379" s="9" t="s">
        <v>0</v>
      </c>
      <c r="AI379" s="18"/>
      <c r="AJ379" s="15"/>
      <c r="AK379" s="34"/>
      <c r="AL379" s="364"/>
      <c r="AM379" s="34"/>
    </row>
    <row r="380" spans="1:39" s="750" customFormat="1" ht="14.1" hidden="1" customHeight="1" outlineLevel="2" x14ac:dyDescent="0.2">
      <c r="A380" s="85"/>
      <c r="B380" s="166" t="str">
        <f>AB380</f>
        <v>ProgLead:</v>
      </c>
      <c r="C380" s="142"/>
      <c r="D380" s="165"/>
      <c r="E380" s="165"/>
      <c r="G380" s="203" t="e">
        <f>AG380</f>
        <v>#NUM!</v>
      </c>
      <c r="H380" s="140" t="e">
        <f>AH380</f>
        <v>#NUM!</v>
      </c>
      <c r="I380" s="532"/>
      <c r="Y380" s="960"/>
      <c r="AB380" s="936" t="str">
        <f>S.Staff.Subject.Expert.FirstName&amp;":"</f>
        <v>ProgLead:</v>
      </c>
      <c r="AC380" s="233">
        <f t="shared" si="46"/>
        <v>0</v>
      </c>
      <c r="AD380" s="19"/>
      <c r="AE380" s="19"/>
      <c r="AF380" s="19"/>
      <c r="AG380" s="25" t="e">
        <f>WORKDAY(S.AC.DateMeeting4,-28,S.DDL_DEQClosed)</f>
        <v>#NUM!</v>
      </c>
      <c r="AH380" s="25" t="e">
        <f>G380</f>
        <v>#NUM!</v>
      </c>
      <c r="AI380" s="23"/>
      <c r="AJ380" s="15"/>
      <c r="AK380" s="34"/>
      <c r="AL380" s="364"/>
      <c r="AM380" s="34"/>
    </row>
    <row r="381" spans="1:39" s="750" customFormat="1" ht="14.1" hidden="1" customHeight="1" outlineLevel="2" x14ac:dyDescent="0.2">
      <c r="A381" s="85"/>
      <c r="B381" s="201" t="s">
        <v>509</v>
      </c>
      <c r="C381" s="142"/>
      <c r="D381" s="165"/>
      <c r="E381" s="165"/>
      <c r="G381" s="142"/>
      <c r="H381" s="142"/>
      <c r="I381" s="532"/>
      <c r="Y381" s="960"/>
      <c r="AB381" s="936" t="str">
        <f>S.Staff.Subject.Expert.FirstName&amp;" coordinates drafting:"</f>
        <v>ProgLead coordinates drafting:</v>
      </c>
      <c r="AC381" s="233">
        <f t="shared" si="46"/>
        <v>0</v>
      </c>
      <c r="AD381" s="19"/>
      <c r="AE381" s="19"/>
      <c r="AF381" s="19"/>
      <c r="AG381" s="9"/>
      <c r="AH381" s="9"/>
      <c r="AI381" s="23"/>
      <c r="AJ381" s="15"/>
      <c r="AK381" s="34"/>
      <c r="AL381" s="364"/>
      <c r="AM381" s="34"/>
    </row>
    <row r="382" spans="1:39" s="750" customFormat="1" ht="14.1" hidden="1" customHeight="1" outlineLevel="2" x14ac:dyDescent="0.2">
      <c r="A382" s="85"/>
      <c r="B382" s="271" t="str">
        <f>AB382</f>
        <v>- AC.AGENDA.01.16.00</v>
      </c>
      <c r="C382" s="328" t="str">
        <f>HYPERLINK("\\deq000\templates\General\Agenda Template.dotx","i")</f>
        <v>i</v>
      </c>
      <c r="D382" s="228"/>
      <c r="E382" s="536"/>
      <c r="G382" s="142"/>
      <c r="H382" s="182"/>
      <c r="I382" s="532"/>
      <c r="Y382" s="960"/>
      <c r="AB382" s="936" t="str">
        <f>"- AC.AGENDA."&amp;TEXT(S.AC.DateMeeting4,"mm.dd.yy")</f>
        <v>- AC.AGENDA.01.16.00</v>
      </c>
      <c r="AC382" s="233">
        <f t="shared" si="46"/>
        <v>0</v>
      </c>
      <c r="AD382" s="19"/>
      <c r="AE382" s="19"/>
      <c r="AF382" s="19"/>
      <c r="AG382" s="9"/>
      <c r="AH382" s="9" t="s">
        <v>0</v>
      </c>
      <c r="AI382" s="24"/>
      <c r="AJ382" s="26"/>
      <c r="AK382" s="34"/>
      <c r="AL382" s="364"/>
      <c r="AM382" s="34"/>
    </row>
    <row r="383" spans="1:39" s="750" customFormat="1" ht="14.1" hidden="1" customHeight="1" outlineLevel="2" x14ac:dyDescent="0.2">
      <c r="A383" s="85"/>
      <c r="B383" s="271" t="str">
        <f>AB383</f>
        <v>- AC.GovDelivery.NOTICE.01.16.00</v>
      </c>
      <c r="C383" s="151" t="s">
        <v>0</v>
      </c>
      <c r="D383" s="165"/>
      <c r="E383" s="536"/>
      <c r="G383" s="142"/>
      <c r="H383" s="182"/>
      <c r="I383" s="532"/>
      <c r="Y383" s="960"/>
      <c r="AB383" s="936" t="str">
        <f>"- AC.GovDelivery.NOTICE."&amp;TEXT(S.AC.DateMeeting4,"mm.dd.yy")</f>
        <v>- AC.GovDelivery.NOTICE.01.16.00</v>
      </c>
      <c r="AC383" s="233">
        <f t="shared" si="46"/>
        <v>0</v>
      </c>
      <c r="AD383" s="19"/>
      <c r="AE383" s="19"/>
      <c r="AF383" s="19"/>
      <c r="AG383" s="9"/>
      <c r="AH383" s="9" t="s">
        <v>0</v>
      </c>
      <c r="AI383" s="24"/>
      <c r="AJ383" s="24"/>
      <c r="AK383" s="34"/>
      <c r="AL383" s="364"/>
      <c r="AM383" s="34"/>
    </row>
    <row r="384" spans="1:39" s="750" customFormat="1" ht="14.1" hidden="1" customHeight="1" outlineLevel="2" x14ac:dyDescent="0.2">
      <c r="A384" s="85"/>
      <c r="B384" s="271" t="str">
        <f>AB384</f>
        <v>- AC.WebRequest.ATTACHMENT.01.16.00</v>
      </c>
      <c r="C384" s="151" t="s">
        <v>0</v>
      </c>
      <c r="D384" s="165"/>
      <c r="E384" s="536"/>
      <c r="G384" s="142"/>
      <c r="H384" s="182"/>
      <c r="I384" s="532"/>
      <c r="Y384" s="960"/>
      <c r="AB384" s="936" t="str">
        <f>"- AC.WebRequest.ATTACHMENT."&amp;TEXT(S.AC.DateMeeting4,"mm.dd.yy")</f>
        <v>- AC.WebRequest.ATTACHMENT.01.16.00</v>
      </c>
      <c r="AC384" s="233">
        <f t="shared" si="46"/>
        <v>0</v>
      </c>
      <c r="AD384" s="19"/>
      <c r="AE384" s="19"/>
      <c r="AF384" s="19"/>
      <c r="AG384" s="9"/>
      <c r="AH384" s="9" t="s">
        <v>0</v>
      </c>
      <c r="AI384" s="24"/>
      <c r="AJ384" s="24"/>
      <c r="AK384" s="34"/>
      <c r="AL384" s="364"/>
      <c r="AM384" s="34"/>
    </row>
    <row r="385" spans="1:39" s="750" customFormat="1" ht="14.1" hidden="1" customHeight="1" outlineLevel="2" x14ac:dyDescent="0.2">
      <c r="A385" s="85"/>
      <c r="B385" s="201" t="str">
        <f>AB385</f>
        <v>* obtains team and ProgMgr input on agenda and GovDelivery notice</v>
      </c>
      <c r="C385" s="142"/>
      <c r="D385" s="165"/>
      <c r="E385" s="165"/>
      <c r="G385" s="142"/>
      <c r="H385" s="140" t="e">
        <f>AH385</f>
        <v>#NUM!</v>
      </c>
      <c r="I385" s="532"/>
      <c r="Y385" s="960"/>
      <c r="AB385" s="936" t="str">
        <f>"* obtains team and "&amp;S.Staff.Program.Mgr.FirstName&amp;" input on agenda and GovDelivery notice"</f>
        <v>* obtains team and ProgMgr input on agenda and GovDelivery notice</v>
      </c>
      <c r="AC385" s="233">
        <f t="shared" si="46"/>
        <v>0</v>
      </c>
      <c r="AD385" s="19"/>
      <c r="AE385" s="19"/>
      <c r="AF385" s="19"/>
      <c r="AG385" s="9"/>
      <c r="AH385" s="25" t="e">
        <f>H380</f>
        <v>#NUM!</v>
      </c>
      <c r="AI385" s="23"/>
      <c r="AJ385" s="15"/>
      <c r="AK385" s="34"/>
      <c r="AL385" s="364"/>
      <c r="AM385" s="34"/>
    </row>
    <row r="386" spans="1:39" s="750" customFormat="1" ht="14.1" hidden="1" customHeight="1" outlineLevel="2" x14ac:dyDescent="0.2">
      <c r="A386" s="85"/>
      <c r="B386" s="201" t="s">
        <v>510</v>
      </c>
      <c r="C386" s="328" t="str">
        <f>HYPERLINK("http://deq05/intranet/contentmanagement/login.asp","i")</f>
        <v>i</v>
      </c>
      <c r="D386" s="165"/>
      <c r="E386" s="165"/>
      <c r="G386" s="142"/>
      <c r="H386" s="140" t="e">
        <f>AH386</f>
        <v>#NUM!</v>
      </c>
      <c r="I386" s="532"/>
      <c r="Y386" s="960"/>
      <c r="AB386" s="944"/>
      <c r="AC386" s="233">
        <f t="shared" si="46"/>
        <v>0</v>
      </c>
      <c r="AD386" s="19"/>
      <c r="AE386" s="19"/>
      <c r="AF386" s="19"/>
      <c r="AG386" s="9"/>
      <c r="AH386" s="25" t="e">
        <f>H385</f>
        <v>#NUM!</v>
      </c>
      <c r="AI386" s="25">
        <f>WORKDAY(S.AC.DateMeeting4-8,1,S.DDL_DEQClosed)</f>
        <v>9</v>
      </c>
      <c r="AJ386" s="15"/>
      <c r="AK386" s="34"/>
      <c r="AL386" s="364"/>
      <c r="AM386" s="34"/>
    </row>
    <row r="387" spans="1:39" s="750" customFormat="1" ht="14.1" hidden="1" customHeight="1" outlineLevel="2" x14ac:dyDescent="0.2">
      <c r="A387" s="85"/>
      <c r="B387" s="197" t="str">
        <f>AB387</f>
        <v>* sends AC.GovDelivery.NOTICE.01.16.00 to committee Web page subscribers</v>
      </c>
      <c r="C387" s="151" t="s">
        <v>0</v>
      </c>
      <c r="D387" s="165"/>
      <c r="E387" s="536"/>
      <c r="G387" s="142"/>
      <c r="H387" s="182"/>
      <c r="I387" s="532"/>
      <c r="Y387" s="960"/>
      <c r="AB387" s="936" t="str">
        <f>"* sends AC.GovDelivery.NOTICE."&amp;TEXT(S.AC.DateMeeting4,"mm.dd.yy")&amp;" to committee Web page subscribers"</f>
        <v>* sends AC.GovDelivery.NOTICE.01.16.00 to committee Web page subscribers</v>
      </c>
      <c r="AC387" s="233">
        <f t="shared" si="46"/>
        <v>0</v>
      </c>
      <c r="AD387" s="19"/>
      <c r="AE387" s="19"/>
      <c r="AF387" s="19"/>
      <c r="AG387" s="9"/>
      <c r="AH387" s="9" t="s">
        <v>0</v>
      </c>
      <c r="AI387" s="24"/>
      <c r="AJ387" s="24"/>
      <c r="AK387" s="34"/>
      <c r="AL387" s="364"/>
      <c r="AM387" s="34"/>
    </row>
    <row r="388" spans="1:39" s="750" customFormat="1" ht="14.1" hidden="1" customHeight="1" outlineLevel="2" x14ac:dyDescent="0.2">
      <c r="A388" s="85"/>
      <c r="B388" s="180" t="s">
        <v>67</v>
      </c>
      <c r="C388" s="151" t="s">
        <v>0</v>
      </c>
      <c r="D388" s="165"/>
      <c r="E388" s="536"/>
      <c r="G388" s="142"/>
      <c r="H388" s="182"/>
      <c r="I388" s="532"/>
      <c r="Y388" s="960"/>
      <c r="AB388" s="944" t="s">
        <v>0</v>
      </c>
      <c r="AC388" s="233">
        <f t="shared" si="46"/>
        <v>0</v>
      </c>
      <c r="AD388" s="19"/>
      <c r="AE388" s="19"/>
      <c r="AF388" s="19"/>
      <c r="AG388" s="9"/>
      <c r="AH388" s="9" t="s">
        <v>0</v>
      </c>
      <c r="AI388" s="18"/>
      <c r="AJ388" s="15"/>
      <c r="AK388" s="34"/>
      <c r="AL388" s="364"/>
      <c r="AM388" s="34"/>
    </row>
    <row r="389" spans="1:39" s="750" customFormat="1" ht="14.1" hidden="1" customHeight="1" outlineLevel="2" x14ac:dyDescent="0.2">
      <c r="A389" s="85"/>
      <c r="B389" s="263" t="s">
        <v>42</v>
      </c>
      <c r="C389" s="151" t="s">
        <v>0</v>
      </c>
      <c r="D389" s="165"/>
      <c r="E389" s="165"/>
      <c r="G389" s="203">
        <f t="shared" ref="G389:G392" si="47">AG389</f>
        <v>0</v>
      </c>
      <c r="H389" s="140">
        <f>AH389</f>
        <v>0</v>
      </c>
      <c r="I389" s="532"/>
      <c r="Y389" s="960"/>
      <c r="AB389" s="944"/>
      <c r="AC389" s="233">
        <f t="shared" si="46"/>
        <v>0</v>
      </c>
      <c r="AD389" s="19"/>
      <c r="AE389" s="19"/>
      <c r="AF389" s="19"/>
      <c r="AG389" s="25">
        <f>S.2AC.BEGIN</f>
        <v>0</v>
      </c>
      <c r="AH389" s="25">
        <f>G389</f>
        <v>0</v>
      </c>
      <c r="AI389" s="18"/>
      <c r="AJ389" s="15"/>
      <c r="AK389" s="34"/>
      <c r="AL389" s="364"/>
      <c r="AM389" s="34"/>
    </row>
    <row r="390" spans="1:39" s="750" customFormat="1" ht="14.1" hidden="1" customHeight="1" outlineLevel="2" x14ac:dyDescent="0.2">
      <c r="A390" s="85"/>
      <c r="B390" s="263" t="s">
        <v>42</v>
      </c>
      <c r="C390" s="151" t="s">
        <v>0</v>
      </c>
      <c r="D390" s="165"/>
      <c r="E390" s="165"/>
      <c r="G390" s="203">
        <f t="shared" si="47"/>
        <v>0</v>
      </c>
      <c r="H390" s="140">
        <f>AH390</f>
        <v>0</v>
      </c>
      <c r="I390" s="532"/>
      <c r="Y390" s="960"/>
      <c r="AB390" s="944"/>
      <c r="AC390" s="233">
        <f t="shared" si="46"/>
        <v>0</v>
      </c>
      <c r="AD390" s="19"/>
      <c r="AE390" s="19"/>
      <c r="AF390" s="19"/>
      <c r="AG390" s="25">
        <f>S.2AC.BEGIN</f>
        <v>0</v>
      </c>
      <c r="AH390" s="25">
        <f>G390</f>
        <v>0</v>
      </c>
      <c r="AI390" s="18"/>
      <c r="AJ390" s="15"/>
      <c r="AK390" s="34"/>
      <c r="AL390" s="364"/>
      <c r="AM390" s="34"/>
    </row>
    <row r="391" spans="1:39" s="750" customFormat="1" ht="14.1" hidden="1" customHeight="1" outlineLevel="2" x14ac:dyDescent="0.2">
      <c r="A391" s="85"/>
      <c r="B391" s="263" t="s">
        <v>42</v>
      </c>
      <c r="C391" s="151" t="s">
        <v>0</v>
      </c>
      <c r="D391" s="165"/>
      <c r="E391" s="165"/>
      <c r="G391" s="203">
        <f t="shared" si="47"/>
        <v>0</v>
      </c>
      <c r="H391" s="140">
        <f>AH391</f>
        <v>0</v>
      </c>
      <c r="I391" s="532"/>
      <c r="Y391" s="960"/>
      <c r="AB391" s="944"/>
      <c r="AC391" s="233">
        <f t="shared" si="46"/>
        <v>0</v>
      </c>
      <c r="AD391" s="19"/>
      <c r="AE391" s="19"/>
      <c r="AF391" s="19"/>
      <c r="AG391" s="25">
        <f>S.2AC.BEGIN</f>
        <v>0</v>
      </c>
      <c r="AH391" s="25">
        <f>G391</f>
        <v>0</v>
      </c>
      <c r="AI391" s="18"/>
      <c r="AJ391" s="15"/>
      <c r="AK391" s="34"/>
      <c r="AL391" s="364"/>
      <c r="AM391" s="34"/>
    </row>
    <row r="392" spans="1:39" s="750" customFormat="1" ht="14.1" hidden="1" customHeight="1" outlineLevel="2" thickBot="1" x14ac:dyDescent="0.25">
      <c r="A392" s="85"/>
      <c r="B392" s="263" t="s">
        <v>42</v>
      </c>
      <c r="C392" s="151" t="s">
        <v>0</v>
      </c>
      <c r="D392" s="165"/>
      <c r="E392" s="165"/>
      <c r="G392" s="203">
        <f t="shared" si="47"/>
        <v>0</v>
      </c>
      <c r="H392" s="140">
        <f>AH392</f>
        <v>0</v>
      </c>
      <c r="I392" s="532"/>
      <c r="Y392" s="960"/>
      <c r="AB392" s="944"/>
      <c r="AC392" s="233">
        <f t="shared" si="46"/>
        <v>0</v>
      </c>
      <c r="AD392" s="19"/>
      <c r="AE392" s="19"/>
      <c r="AF392" s="19"/>
      <c r="AG392" s="25">
        <f>S.2AC.BEGIN</f>
        <v>0</v>
      </c>
      <c r="AH392" s="25">
        <f>G392</f>
        <v>0</v>
      </c>
      <c r="AI392" s="18"/>
      <c r="AJ392" s="15"/>
      <c r="AK392" s="34"/>
      <c r="AL392" s="364"/>
      <c r="AM392" s="34"/>
    </row>
    <row r="393" spans="1:39" s="750" customFormat="1" ht="14.1" hidden="1" customHeight="1" outlineLevel="2" thickBot="1" x14ac:dyDescent="0.25">
      <c r="A393" s="85"/>
      <c r="B393" s="279" t="s">
        <v>54</v>
      </c>
      <c r="C393" s="350" t="s">
        <v>12</v>
      </c>
      <c r="D393" s="503"/>
      <c r="E393" s="503"/>
      <c r="G393" s="204"/>
      <c r="H393" s="204"/>
      <c r="I393" s="532"/>
      <c r="Y393" s="960"/>
      <c r="AB393" s="944"/>
      <c r="AC393" s="233">
        <f>IF(AND(S.AC.InvolveMeeting4="Y",S.AC.CommitteeInvolved="Y",S.AC.Presentation4="Y"),1,0)</f>
        <v>0</v>
      </c>
      <c r="AD393" s="19"/>
      <c r="AE393" s="19"/>
      <c r="AF393" s="19"/>
      <c r="AG393" s="9"/>
      <c r="AH393" s="9"/>
      <c r="AI393" s="9"/>
      <c r="AJ393" s="15"/>
      <c r="AK393" s="34"/>
      <c r="AL393" s="364"/>
      <c r="AM393" s="34"/>
    </row>
    <row r="394" spans="1:39" s="750" customFormat="1" ht="14.1" hidden="1" customHeight="1" outlineLevel="2" x14ac:dyDescent="0.2">
      <c r="A394" s="85"/>
      <c r="B394" s="280" t="s">
        <v>43</v>
      </c>
      <c r="C394" s="151" t="s">
        <v>0</v>
      </c>
      <c r="D394" s="205"/>
      <c r="E394" s="205"/>
      <c r="G394" s="202"/>
      <c r="H394" s="202"/>
      <c r="I394" s="532"/>
      <c r="Y394" s="960"/>
      <c r="AB394" s="944"/>
      <c r="AC394" s="233">
        <f t="shared" ref="AC394:AC400" si="48">$AC$393</f>
        <v>0</v>
      </c>
      <c r="AD394" s="19"/>
      <c r="AE394" s="19"/>
      <c r="AF394" s="19"/>
      <c r="AG394" s="9"/>
      <c r="AH394" s="9"/>
      <c r="AI394" s="18"/>
      <c r="AJ394" s="15"/>
      <c r="AK394" s="34"/>
      <c r="AL394" s="364"/>
      <c r="AM394" s="34"/>
    </row>
    <row r="395" spans="1:39" s="750" customFormat="1" ht="14.1" hidden="1" customHeight="1" outlineLevel="2" x14ac:dyDescent="0.2">
      <c r="A395" s="85"/>
      <c r="B395" s="281" t="str">
        <f>AB395</f>
        <v>* drafts optional AC.PRESENTATION.01.16.00</v>
      </c>
      <c r="C395" s="151" t="s">
        <v>0</v>
      </c>
      <c r="D395" s="165"/>
      <c r="E395" s="228"/>
      <c r="G395" s="203">
        <f t="shared" ref="G395" si="49">AG395</f>
        <v>0</v>
      </c>
      <c r="H395" s="140">
        <f>AH395</f>
        <v>0</v>
      </c>
      <c r="I395" s="532"/>
      <c r="Y395" s="960"/>
      <c r="AB395" s="934" t="str">
        <f>"* drafts optional AC.PRESENTATION."&amp;TEXT(S.AC.DateMeeting4,"mm.dd.yy")</f>
        <v>* drafts optional AC.PRESENTATION.01.16.00</v>
      </c>
      <c r="AC395" s="233">
        <f t="shared" si="48"/>
        <v>0</v>
      </c>
      <c r="AD395" s="19"/>
      <c r="AE395" s="19"/>
      <c r="AF395" s="19"/>
      <c r="AG395" s="25">
        <f>S.2AC.BEGIN</f>
        <v>0</v>
      </c>
      <c r="AH395" s="25">
        <f>G395</f>
        <v>0</v>
      </c>
      <c r="AI395" s="18"/>
      <c r="AJ395" s="15"/>
      <c r="AK395" s="34"/>
      <c r="AL395" s="364"/>
      <c r="AM395" s="34"/>
    </row>
    <row r="396" spans="1:39" s="750" customFormat="1" ht="14.1" hidden="1" customHeight="1" outlineLevel="2" x14ac:dyDescent="0.2">
      <c r="A396" s="85"/>
      <c r="B396" s="280" t="s">
        <v>43</v>
      </c>
      <c r="C396" s="151" t="s">
        <v>0</v>
      </c>
      <c r="D396" s="205"/>
      <c r="E396" s="205"/>
      <c r="G396" s="204"/>
      <c r="H396" s="204"/>
      <c r="I396" s="532"/>
      <c r="Y396" s="960"/>
      <c r="AB396" s="944"/>
      <c r="AC396" s="233">
        <f t="shared" si="48"/>
        <v>0</v>
      </c>
      <c r="AD396" s="19"/>
      <c r="AE396" s="19"/>
      <c r="AF396" s="19"/>
      <c r="AG396" s="9"/>
      <c r="AH396" s="9"/>
      <c r="AI396" s="18"/>
      <c r="AJ396" s="15"/>
      <c r="AK396" s="34"/>
      <c r="AL396" s="364"/>
      <c r="AM396" s="34"/>
    </row>
    <row r="397" spans="1:39" s="750" customFormat="1" ht="14.1" hidden="1" customHeight="1" outlineLevel="2" x14ac:dyDescent="0.2">
      <c r="A397" s="85"/>
      <c r="B397" s="282" t="s">
        <v>66</v>
      </c>
      <c r="C397" s="151" t="s">
        <v>0</v>
      </c>
      <c r="D397" s="165"/>
      <c r="E397" s="165"/>
      <c r="G397" s="203">
        <f t="shared" ref="G397:G398" si="50">AG397</f>
        <v>0</v>
      </c>
      <c r="H397" s="140">
        <f>AH397</f>
        <v>0</v>
      </c>
      <c r="I397" s="532"/>
      <c r="Y397" s="960"/>
      <c r="AB397" s="944"/>
      <c r="AC397" s="233">
        <f t="shared" si="48"/>
        <v>0</v>
      </c>
      <c r="AD397" s="19"/>
      <c r="AE397" s="19"/>
      <c r="AF397" s="19"/>
      <c r="AG397" s="25">
        <f>S.2AC.BEGIN</f>
        <v>0</v>
      </c>
      <c r="AH397" s="25">
        <f>G397</f>
        <v>0</v>
      </c>
      <c r="AI397" s="18"/>
      <c r="AJ397" s="15"/>
      <c r="AK397" s="34"/>
      <c r="AL397" s="364"/>
      <c r="AM397" s="34"/>
    </row>
    <row r="398" spans="1:39" s="750" customFormat="1" ht="14.1" hidden="1" customHeight="1" outlineLevel="2" x14ac:dyDescent="0.2">
      <c r="A398" s="85"/>
      <c r="B398" s="283" t="s">
        <v>79</v>
      </c>
      <c r="C398" s="151" t="s">
        <v>0</v>
      </c>
      <c r="D398" s="165"/>
      <c r="E398" s="165"/>
      <c r="G398" s="203">
        <f t="shared" si="50"/>
        <v>0</v>
      </c>
      <c r="H398" s="140">
        <f>AH398</f>
        <v>0</v>
      </c>
      <c r="I398" s="532"/>
      <c r="Y398" s="960"/>
      <c r="AB398" s="944"/>
      <c r="AC398" s="233">
        <f t="shared" si="48"/>
        <v>0</v>
      </c>
      <c r="AD398" s="19"/>
      <c r="AE398" s="19"/>
      <c r="AF398" s="19"/>
      <c r="AG398" s="25">
        <f>S.2AC.BEGIN</f>
        <v>0</v>
      </c>
      <c r="AH398" s="25">
        <f>G398</f>
        <v>0</v>
      </c>
      <c r="AI398" s="18" t="s">
        <v>0</v>
      </c>
      <c r="AJ398" s="15"/>
      <c r="AK398" s="34"/>
      <c r="AL398" s="364"/>
      <c r="AM398" s="34"/>
    </row>
    <row r="399" spans="1:39" s="750" customFormat="1" ht="14.1" hidden="1" customHeight="1" outlineLevel="2" x14ac:dyDescent="0.2">
      <c r="A399" s="85"/>
      <c r="B399" s="284" t="str">
        <f>AB399</f>
        <v>ProgLead submits Web Request to post presentation materials</v>
      </c>
      <c r="C399" s="330" t="str">
        <f>HYPERLINK("http://deq05/intranet/communication/WebRequests.htm","i")</f>
        <v>i</v>
      </c>
      <c r="D399" s="165"/>
      <c r="E399" s="536"/>
      <c r="I399" s="532"/>
      <c r="Y399" s="960"/>
      <c r="AB399" s="934" t="str">
        <f>S.Staff.Subject.Expert.FirstName&amp;" submits Web Request to post presentation materials"</f>
        <v>ProgLead submits Web Request to post presentation materials</v>
      </c>
      <c r="AC399" s="233">
        <f t="shared" si="48"/>
        <v>0</v>
      </c>
      <c r="AD399" s="19"/>
      <c r="AE399" s="19"/>
      <c r="AF399" s="19"/>
      <c r="AG399" s="9"/>
      <c r="AH399" s="9"/>
      <c r="AI399" s="18"/>
      <c r="AJ399" s="15"/>
      <c r="AK399" s="34"/>
      <c r="AL399" s="364"/>
      <c r="AM399" s="34"/>
    </row>
    <row r="400" spans="1:39" s="750" customFormat="1" ht="14.1" hidden="1" customHeight="1" outlineLevel="2" x14ac:dyDescent="0.2">
      <c r="A400" s="85"/>
      <c r="B400" s="283" t="s">
        <v>44</v>
      </c>
      <c r="C400" s="151" t="s">
        <v>0</v>
      </c>
      <c r="D400" s="165"/>
      <c r="E400" s="536"/>
      <c r="I400" s="532"/>
      <c r="Y400" s="960"/>
      <c r="AB400" s="944"/>
      <c r="AC400" s="233">
        <f t="shared" si="48"/>
        <v>0</v>
      </c>
      <c r="AD400" s="19"/>
      <c r="AE400" s="19"/>
      <c r="AF400" s="19"/>
      <c r="AG400" s="9"/>
      <c r="AH400" s="9"/>
      <c r="AI400" s="24"/>
      <c r="AJ400" s="24"/>
      <c r="AK400" s="34"/>
      <c r="AL400" s="364"/>
      <c r="AM400" s="34"/>
    </row>
    <row r="401" spans="1:39" s="750" customFormat="1" ht="14.1" hidden="1" customHeight="1" outlineLevel="2" x14ac:dyDescent="0.2">
      <c r="A401" s="85"/>
      <c r="B401" s="166" t="str">
        <f>AB401</f>
        <v>ProgLead facilitates, leads or supports:</v>
      </c>
      <c r="C401" s="142"/>
      <c r="D401" s="165"/>
      <c r="E401" s="165"/>
      <c r="G401" s="203">
        <f t="shared" ref="G401" si="51">AG401</f>
        <v>0</v>
      </c>
      <c r="H401" s="140">
        <f>AH401</f>
        <v>0</v>
      </c>
      <c r="I401" s="532"/>
      <c r="Y401" s="960"/>
      <c r="AB401" s="936" t="str">
        <f>S.Staff.Subject.Expert.FirstName&amp;" facilitates, leads or supports:"</f>
        <v>ProgLead facilitates, leads or supports:</v>
      </c>
      <c r="AC401" s="233">
        <f>$AC$378</f>
        <v>0</v>
      </c>
      <c r="AD401" s="19"/>
      <c r="AE401" s="19"/>
      <c r="AF401" s="19"/>
      <c r="AG401" s="25">
        <f>S.AC.SendInvitation</f>
        <v>0</v>
      </c>
      <c r="AH401" s="25">
        <f>G401</f>
        <v>0</v>
      </c>
      <c r="AI401" s="23"/>
      <c r="AJ401" s="15"/>
      <c r="AK401" s="34"/>
      <c r="AL401" s="364"/>
      <c r="AM401" s="34"/>
    </row>
    <row r="402" spans="1:39" s="750" customFormat="1" ht="12.75" hidden="1" customHeight="1" outlineLevel="2" x14ac:dyDescent="0.2">
      <c r="A402" s="85"/>
      <c r="B402" s="200" t="s">
        <v>511</v>
      </c>
      <c r="C402" s="151" t="s">
        <v>0</v>
      </c>
      <c r="H402" s="146">
        <f>AH402</f>
        <v>16</v>
      </c>
      <c r="I402" s="532"/>
      <c r="Y402" s="960"/>
      <c r="AB402" s="944"/>
      <c r="AC402" s="233">
        <f>$AC$378</f>
        <v>0</v>
      </c>
      <c r="AD402" s="19"/>
      <c r="AE402" s="19"/>
      <c r="AF402" s="19"/>
      <c r="AG402" s="24"/>
      <c r="AH402" s="25">
        <f>S.AC.DateMeeting4</f>
        <v>16</v>
      </c>
      <c r="AI402" s="24"/>
      <c r="AJ402" s="24"/>
      <c r="AK402" s="34"/>
      <c r="AL402" s="364"/>
      <c r="AM402" s="34"/>
    </row>
    <row r="403" spans="1:39" s="750" customFormat="1" ht="14.1" hidden="1" customHeight="1" outlineLevel="2" x14ac:dyDescent="0.2">
      <c r="A403" s="85"/>
      <c r="B403" s="199" t="str">
        <f>AB403</f>
        <v>* drafting of AC.MINUTES 01.16.00</v>
      </c>
      <c r="C403" s="328" t="str">
        <f>HYPERLINK("\\deq000\templates\General\Minutes Template.dotx","i")</f>
        <v>i</v>
      </c>
      <c r="D403" s="228"/>
      <c r="E403" s="228"/>
      <c r="G403" s="203">
        <f>AG403</f>
        <v>16</v>
      </c>
      <c r="H403" s="140">
        <f>AH403</f>
        <v>16</v>
      </c>
      <c r="I403" s="532"/>
      <c r="Y403" s="960"/>
      <c r="AB403" s="936" t="str">
        <f>"* drafting of AC.MINUTES "&amp;TEXT(S.AC.DateMeeting4,"mm.dd.yy")</f>
        <v>* drafting of AC.MINUTES 01.16.00</v>
      </c>
      <c r="AC403" s="233">
        <f>$AC$378</f>
        <v>0</v>
      </c>
      <c r="AD403" s="19"/>
      <c r="AE403" s="19"/>
      <c r="AF403" s="19"/>
      <c r="AG403" s="25">
        <f>S.AC.DateMeeting1</f>
        <v>16</v>
      </c>
      <c r="AH403" s="25">
        <f>G403</f>
        <v>16</v>
      </c>
      <c r="AI403" s="24"/>
      <c r="AJ403" s="24"/>
      <c r="AK403" s="34"/>
      <c r="AL403" s="364"/>
      <c r="AM403" s="34"/>
    </row>
    <row r="404" spans="1:39" s="750" customFormat="1" ht="14.1" hidden="1" customHeight="1" outlineLevel="2" x14ac:dyDescent="0.2">
      <c r="A404" s="85"/>
      <c r="B404" s="200" t="s">
        <v>512</v>
      </c>
      <c r="C404" s="151" t="s">
        <v>0</v>
      </c>
      <c r="D404" s="165"/>
      <c r="E404" s="165"/>
      <c r="G404" s="203">
        <f>AG404</f>
        <v>16</v>
      </c>
      <c r="H404" s="140">
        <f>AH404</f>
        <v>16</v>
      </c>
      <c r="I404" s="532"/>
      <c r="Y404" s="960"/>
      <c r="AB404" s="944"/>
      <c r="AC404" s="233">
        <f>$AC$378</f>
        <v>0</v>
      </c>
      <c r="AD404" s="19"/>
      <c r="AE404" s="19"/>
      <c r="AF404" s="19"/>
      <c r="AG404" s="25">
        <f>S.AC.DateMeeting1</f>
        <v>16</v>
      </c>
      <c r="AH404" s="25">
        <f>G404</f>
        <v>16</v>
      </c>
      <c r="AI404" s="24"/>
      <c r="AJ404" s="24"/>
      <c r="AK404" s="34"/>
      <c r="AL404" s="364"/>
      <c r="AM404" s="34"/>
    </row>
    <row r="405" spans="1:39" s="750" customFormat="1" ht="14.25" hidden="1" customHeight="1" outlineLevel="1" collapsed="1" thickBot="1" x14ac:dyDescent="0.25">
      <c r="A405" s="85"/>
      <c r="B405" s="199"/>
      <c r="C405" s="151"/>
      <c r="E405" s="228"/>
      <c r="I405" s="532"/>
      <c r="Y405" s="960"/>
      <c r="AB405" s="944"/>
      <c r="AC405" s="233">
        <v>1</v>
      </c>
      <c r="AD405" s="19"/>
      <c r="AE405" s="19"/>
      <c r="AF405" s="19"/>
      <c r="AG405" s="24"/>
      <c r="AH405" s="24"/>
      <c r="AI405" s="24"/>
      <c r="AJ405" s="24"/>
      <c r="AK405" s="34"/>
      <c r="AL405" s="364"/>
      <c r="AM405" s="34"/>
    </row>
    <row r="406" spans="1:39" s="6" customFormat="1" ht="14.1" hidden="1" customHeight="1" outlineLevel="1" thickBot="1" x14ac:dyDescent="0.25">
      <c r="A406" s="85"/>
      <c r="B406" s="236" t="s">
        <v>55</v>
      </c>
      <c r="C406" s="1010" t="s">
        <v>12</v>
      </c>
      <c r="D406" s="504"/>
      <c r="E406" s="504"/>
      <c r="F406" s="188"/>
      <c r="G406" s="139">
        <f>S.AC.DateMeeting4</f>
        <v>16</v>
      </c>
      <c r="H406" s="139" t="s">
        <v>25</v>
      </c>
      <c r="I406" s="532"/>
      <c r="J406"/>
      <c r="K406"/>
      <c r="L406"/>
      <c r="M406"/>
      <c r="N406"/>
      <c r="O406"/>
      <c r="P406"/>
      <c r="Q406"/>
      <c r="R406"/>
      <c r="S406"/>
      <c r="T406"/>
      <c r="U406"/>
      <c r="X406"/>
      <c r="Y406" s="960"/>
      <c r="AB406" s="944"/>
      <c r="AC406" s="233">
        <f t="shared" ref="AC406" si="52">IF(AND(S.AC.InvolveMeeting5="Y",S.AC.CommitteeInvolved="Y"),1,0)</f>
        <v>0</v>
      </c>
      <c r="AD406" s="19"/>
      <c r="AE406" s="19"/>
      <c r="AF406" s="19"/>
      <c r="AG406" s="25">
        <f>S.AC.DateMeeting4</f>
        <v>16</v>
      </c>
      <c r="AH406" s="9" t="s">
        <v>0</v>
      </c>
      <c r="AI406" s="9"/>
      <c r="AJ406" s="15"/>
      <c r="AK406" s="34"/>
      <c r="AL406" s="364"/>
      <c r="AM406" s="34"/>
    </row>
    <row r="407" spans="1:39" s="750" customFormat="1" ht="14.1" hidden="1" customHeight="1" outlineLevel="2" x14ac:dyDescent="0.2">
      <c r="A407" s="85"/>
      <c r="B407" s="261" t="s">
        <v>41</v>
      </c>
      <c r="C407" s="142"/>
      <c r="D407" s="165"/>
      <c r="E407" s="536"/>
      <c r="G407" s="142"/>
      <c r="H407" s="182"/>
      <c r="I407" s="532"/>
      <c r="Y407" s="960"/>
      <c r="AB407" s="929"/>
      <c r="AC407" s="233">
        <f t="shared" ref="AC407:AC420" si="53">$AC$406</f>
        <v>0</v>
      </c>
      <c r="AD407" s="19"/>
      <c r="AE407" s="19"/>
      <c r="AF407" s="19"/>
      <c r="AG407" s="9"/>
      <c r="AH407" s="9" t="s">
        <v>0</v>
      </c>
      <c r="AI407" s="18"/>
      <c r="AJ407" s="15"/>
      <c r="AK407" s="34"/>
      <c r="AL407" s="364"/>
      <c r="AM407" s="34"/>
    </row>
    <row r="408" spans="1:39" s="750" customFormat="1" ht="14.1" hidden="1" customHeight="1" outlineLevel="2" x14ac:dyDescent="0.2">
      <c r="A408" s="85"/>
      <c r="B408" s="166" t="str">
        <f>AB408</f>
        <v>ProgLead:</v>
      </c>
      <c r="C408" s="142"/>
      <c r="D408" s="165"/>
      <c r="E408" s="165"/>
      <c r="G408" s="203" t="e">
        <f>AG408</f>
        <v>#NUM!</v>
      </c>
      <c r="H408" s="140" t="e">
        <f>AH408</f>
        <v>#NUM!</v>
      </c>
      <c r="I408" s="532"/>
      <c r="Y408" s="960"/>
      <c r="AB408" s="936" t="str">
        <f>S.Staff.Subject.Expert.FirstName&amp;":"</f>
        <v>ProgLead:</v>
      </c>
      <c r="AC408" s="233">
        <f t="shared" si="53"/>
        <v>0</v>
      </c>
      <c r="AD408" s="19"/>
      <c r="AE408" s="19"/>
      <c r="AF408" s="19"/>
      <c r="AG408" s="25" t="e">
        <f>WORKDAY(S.AC.DateMeeting5,-28,S.DDL_DEQClosed)</f>
        <v>#NUM!</v>
      </c>
      <c r="AH408" s="25" t="e">
        <f>G408</f>
        <v>#NUM!</v>
      </c>
      <c r="AI408" s="23"/>
      <c r="AJ408" s="15"/>
      <c r="AK408" s="34"/>
      <c r="AL408" s="364"/>
      <c r="AM408" s="34"/>
    </row>
    <row r="409" spans="1:39" s="750" customFormat="1" ht="14.1" hidden="1" customHeight="1" outlineLevel="2" x14ac:dyDescent="0.2">
      <c r="A409" s="85"/>
      <c r="B409" s="201" t="s">
        <v>509</v>
      </c>
      <c r="C409" s="142"/>
      <c r="D409" s="165"/>
      <c r="E409" s="165"/>
      <c r="G409" s="142"/>
      <c r="H409" s="142"/>
      <c r="I409" s="532"/>
      <c r="Y409" s="960"/>
      <c r="AB409" s="936" t="str">
        <f>S.Staff.Subject.Expert.FirstName&amp;" coordinates drafting:"</f>
        <v>ProgLead coordinates drafting:</v>
      </c>
      <c r="AC409" s="233">
        <f t="shared" si="53"/>
        <v>0</v>
      </c>
      <c r="AD409" s="19"/>
      <c r="AE409" s="19"/>
      <c r="AF409" s="19"/>
      <c r="AG409" s="9"/>
      <c r="AH409" s="9"/>
      <c r="AI409" s="23"/>
      <c r="AJ409" s="15"/>
      <c r="AK409" s="34"/>
      <c r="AL409" s="364"/>
      <c r="AM409" s="34"/>
    </row>
    <row r="410" spans="1:39" s="750" customFormat="1" ht="14.1" hidden="1" customHeight="1" outlineLevel="2" x14ac:dyDescent="0.2">
      <c r="A410" s="85"/>
      <c r="B410" s="271" t="str">
        <f>AB410</f>
        <v>- AC.AGENDA.01.16.00</v>
      </c>
      <c r="C410" s="328" t="str">
        <f>HYPERLINK("\\deq000\templates\General\Agenda Template.dotx","i")</f>
        <v>i</v>
      </c>
      <c r="D410" s="228"/>
      <c r="E410" s="536"/>
      <c r="G410" s="142"/>
      <c r="H410" s="182"/>
      <c r="I410" s="532"/>
      <c r="Y410" s="960"/>
      <c r="AB410" s="936" t="str">
        <f>"- AC.AGENDA."&amp;TEXT(S.AC.DateMeeting5,"mm.dd.yy")</f>
        <v>- AC.AGENDA.01.16.00</v>
      </c>
      <c r="AC410" s="233">
        <f t="shared" si="53"/>
        <v>0</v>
      </c>
      <c r="AD410" s="19"/>
      <c r="AE410" s="19"/>
      <c r="AF410" s="19"/>
      <c r="AG410" s="9"/>
      <c r="AH410" s="9" t="s">
        <v>0</v>
      </c>
      <c r="AI410" s="24"/>
      <c r="AJ410" s="26"/>
      <c r="AK410" s="34"/>
      <c r="AL410" s="364"/>
      <c r="AM410" s="34"/>
    </row>
    <row r="411" spans="1:39" s="750" customFormat="1" ht="14.1" hidden="1" customHeight="1" outlineLevel="2" x14ac:dyDescent="0.2">
      <c r="A411" s="85"/>
      <c r="B411" s="271" t="str">
        <f>AB411</f>
        <v>- AC.GovDelivery.NOTICE.01.16.00</v>
      </c>
      <c r="C411" s="151" t="s">
        <v>0</v>
      </c>
      <c r="D411" s="165"/>
      <c r="E411" s="536"/>
      <c r="G411" s="142"/>
      <c r="H411" s="182"/>
      <c r="I411" s="532"/>
      <c r="Y411" s="960"/>
      <c r="AB411" s="936" t="str">
        <f>"- AC.GovDelivery.NOTICE."&amp;TEXT(S.AC.DateMeeting5,"mm.dd.yy")</f>
        <v>- AC.GovDelivery.NOTICE.01.16.00</v>
      </c>
      <c r="AC411" s="233">
        <f t="shared" si="53"/>
        <v>0</v>
      </c>
      <c r="AD411" s="19"/>
      <c r="AE411" s="19"/>
      <c r="AF411" s="19"/>
      <c r="AG411" s="9"/>
      <c r="AH411" s="9" t="s">
        <v>0</v>
      </c>
      <c r="AI411" s="24"/>
      <c r="AJ411" s="24"/>
      <c r="AK411" s="34"/>
      <c r="AL411" s="364"/>
      <c r="AM411" s="34"/>
    </row>
    <row r="412" spans="1:39" s="750" customFormat="1" ht="14.1" hidden="1" customHeight="1" outlineLevel="2" x14ac:dyDescent="0.2">
      <c r="A412" s="85"/>
      <c r="B412" s="271" t="str">
        <f>AB412</f>
        <v>- AC.WebRequest.ATTACHMENT.01.16.00</v>
      </c>
      <c r="C412" s="151" t="s">
        <v>0</v>
      </c>
      <c r="D412" s="165"/>
      <c r="E412" s="536"/>
      <c r="G412" s="142"/>
      <c r="H412" s="182"/>
      <c r="I412" s="532"/>
      <c r="Y412" s="960"/>
      <c r="AB412" s="936" t="str">
        <f>"- AC.WebRequest.ATTACHMENT."&amp;TEXT(S.AC.DateMeeting5,"mm.dd.yy")</f>
        <v>- AC.WebRequest.ATTACHMENT.01.16.00</v>
      </c>
      <c r="AC412" s="233">
        <f t="shared" si="53"/>
        <v>0</v>
      </c>
      <c r="AD412" s="19"/>
      <c r="AE412" s="19"/>
      <c r="AF412" s="19"/>
      <c r="AG412" s="9"/>
      <c r="AH412" s="9" t="s">
        <v>0</v>
      </c>
      <c r="AI412" s="24"/>
      <c r="AJ412" s="24"/>
      <c r="AK412" s="34"/>
      <c r="AL412" s="364"/>
      <c r="AM412" s="34"/>
    </row>
    <row r="413" spans="1:39" s="750" customFormat="1" ht="14.1" hidden="1" customHeight="1" outlineLevel="2" x14ac:dyDescent="0.2">
      <c r="A413" s="85"/>
      <c r="B413" s="201" t="str">
        <f>AB413</f>
        <v>* obtains team and ProgMgr input on agenda and GovDelivery notice</v>
      </c>
      <c r="C413" s="142"/>
      <c r="D413" s="165"/>
      <c r="E413" s="165"/>
      <c r="G413" s="142"/>
      <c r="H413" s="140" t="e">
        <f>AH413</f>
        <v>#NUM!</v>
      </c>
      <c r="I413" s="532"/>
      <c r="Y413" s="960"/>
      <c r="AB413" s="936" t="str">
        <f>"* obtains team and "&amp;S.Staff.Program.Mgr.FirstName&amp;" input on agenda and GovDelivery notice"</f>
        <v>* obtains team and ProgMgr input on agenda and GovDelivery notice</v>
      </c>
      <c r="AC413" s="233">
        <f t="shared" si="53"/>
        <v>0</v>
      </c>
      <c r="AD413" s="19"/>
      <c r="AE413" s="19"/>
      <c r="AF413" s="19"/>
      <c r="AG413" s="9"/>
      <c r="AH413" s="25" t="e">
        <f>H408</f>
        <v>#NUM!</v>
      </c>
      <c r="AI413" s="23"/>
      <c r="AJ413" s="15"/>
      <c r="AK413" s="34"/>
      <c r="AL413" s="364"/>
      <c r="AM413" s="34"/>
    </row>
    <row r="414" spans="1:39" s="750" customFormat="1" ht="14.1" hidden="1" customHeight="1" outlineLevel="2" x14ac:dyDescent="0.2">
      <c r="A414" s="85"/>
      <c r="B414" s="201" t="s">
        <v>510</v>
      </c>
      <c r="C414" s="328" t="str">
        <f>HYPERLINK("http://deq05/intranet/contentmanagement/login.asp","i")</f>
        <v>i</v>
      </c>
      <c r="D414" s="165"/>
      <c r="E414" s="165"/>
      <c r="G414" s="142"/>
      <c r="H414" s="140" t="e">
        <f>AH414</f>
        <v>#NUM!</v>
      </c>
      <c r="I414" s="532"/>
      <c r="Y414" s="960"/>
      <c r="AB414" s="944"/>
      <c r="AC414" s="233">
        <f t="shared" si="53"/>
        <v>0</v>
      </c>
      <c r="AD414" s="19"/>
      <c r="AE414" s="19"/>
      <c r="AF414" s="19"/>
      <c r="AG414" s="9"/>
      <c r="AH414" s="25" t="e">
        <f>H413</f>
        <v>#NUM!</v>
      </c>
      <c r="AI414" s="25">
        <f>WORKDAY(S.AC.DateMeeting5-8,1,S.DDL_DEQClosed)</f>
        <v>9</v>
      </c>
      <c r="AJ414" s="15"/>
      <c r="AK414" s="34"/>
      <c r="AL414" s="364"/>
      <c r="AM414" s="34"/>
    </row>
    <row r="415" spans="1:39" s="750" customFormat="1" ht="14.1" hidden="1" customHeight="1" outlineLevel="2" x14ac:dyDescent="0.2">
      <c r="A415" s="85"/>
      <c r="B415" s="197" t="str">
        <f>AB415</f>
        <v>* sends AC.GovDelivery.NOTICE.01.16.00 to committee Web page subscribers</v>
      </c>
      <c r="C415" s="151" t="s">
        <v>0</v>
      </c>
      <c r="D415" s="165"/>
      <c r="E415" s="536"/>
      <c r="G415" s="142"/>
      <c r="H415" s="182"/>
      <c r="I415" s="532"/>
      <c r="Y415" s="960"/>
      <c r="AB415" s="936" t="str">
        <f>"* sends AC.GovDelivery.NOTICE."&amp;TEXT(S.AC.DateMeeting5,"mm.dd.yy")&amp;" to committee Web page subscribers"</f>
        <v>* sends AC.GovDelivery.NOTICE.01.16.00 to committee Web page subscribers</v>
      </c>
      <c r="AC415" s="233">
        <f t="shared" si="53"/>
        <v>0</v>
      </c>
      <c r="AD415" s="19"/>
      <c r="AE415" s="19"/>
      <c r="AF415" s="19"/>
      <c r="AG415" s="9"/>
      <c r="AH415" s="9" t="s">
        <v>0</v>
      </c>
      <c r="AI415" s="24"/>
      <c r="AJ415" s="24"/>
      <c r="AK415" s="34"/>
      <c r="AL415" s="364"/>
      <c r="AM415" s="34"/>
    </row>
    <row r="416" spans="1:39" s="750" customFormat="1" ht="14.1" hidden="1" customHeight="1" outlineLevel="2" x14ac:dyDescent="0.2">
      <c r="A416" s="85"/>
      <c r="B416" s="180" t="s">
        <v>67</v>
      </c>
      <c r="C416" s="151" t="s">
        <v>0</v>
      </c>
      <c r="D416" s="165"/>
      <c r="E416" s="536"/>
      <c r="G416" s="142"/>
      <c r="H416" s="182"/>
      <c r="I416" s="532"/>
      <c r="Y416" s="960"/>
      <c r="AB416" s="944" t="s">
        <v>0</v>
      </c>
      <c r="AC416" s="233">
        <f t="shared" si="53"/>
        <v>0</v>
      </c>
      <c r="AD416" s="19"/>
      <c r="AE416" s="19"/>
      <c r="AF416" s="19"/>
      <c r="AG416" s="9"/>
      <c r="AH416" s="9" t="s">
        <v>0</v>
      </c>
      <c r="AI416" s="18"/>
      <c r="AJ416" s="15"/>
      <c r="AK416" s="34"/>
      <c r="AL416" s="364"/>
      <c r="AM416" s="34"/>
    </row>
    <row r="417" spans="1:39" s="750" customFormat="1" ht="14.1" hidden="1" customHeight="1" outlineLevel="2" x14ac:dyDescent="0.2">
      <c r="A417" s="85"/>
      <c r="B417" s="263" t="s">
        <v>42</v>
      </c>
      <c r="C417" s="151" t="s">
        <v>0</v>
      </c>
      <c r="D417" s="165"/>
      <c r="E417" s="165"/>
      <c r="G417" s="203">
        <f t="shared" ref="G417:G420" si="54">AG417</f>
        <v>0</v>
      </c>
      <c r="H417" s="140">
        <f>AH417</f>
        <v>0</v>
      </c>
      <c r="I417" s="532"/>
      <c r="Y417" s="960"/>
      <c r="AB417" s="944"/>
      <c r="AC417" s="233">
        <f t="shared" si="53"/>
        <v>0</v>
      </c>
      <c r="AD417" s="19"/>
      <c r="AE417" s="19"/>
      <c r="AF417" s="19"/>
      <c r="AG417" s="25">
        <f>S.2AC.BEGIN</f>
        <v>0</v>
      </c>
      <c r="AH417" s="25">
        <f>G417</f>
        <v>0</v>
      </c>
      <c r="AI417" s="18"/>
      <c r="AJ417" s="15"/>
      <c r="AK417" s="34"/>
      <c r="AL417" s="364"/>
      <c r="AM417" s="34"/>
    </row>
    <row r="418" spans="1:39" s="750" customFormat="1" ht="14.1" hidden="1" customHeight="1" outlineLevel="2" x14ac:dyDescent="0.2">
      <c r="A418" s="85"/>
      <c r="B418" s="263" t="s">
        <v>42</v>
      </c>
      <c r="C418" s="151" t="s">
        <v>0</v>
      </c>
      <c r="D418" s="165"/>
      <c r="E418" s="165"/>
      <c r="G418" s="203">
        <f t="shared" si="54"/>
        <v>0</v>
      </c>
      <c r="H418" s="140">
        <f>AH418</f>
        <v>0</v>
      </c>
      <c r="I418" s="532"/>
      <c r="Y418" s="960"/>
      <c r="AB418" s="944"/>
      <c r="AC418" s="233">
        <f t="shared" si="53"/>
        <v>0</v>
      </c>
      <c r="AD418" s="19"/>
      <c r="AE418" s="19"/>
      <c r="AF418" s="19"/>
      <c r="AG418" s="25">
        <f>S.2AC.BEGIN</f>
        <v>0</v>
      </c>
      <c r="AH418" s="25">
        <f>G418</f>
        <v>0</v>
      </c>
      <c r="AI418" s="18"/>
      <c r="AJ418" s="15"/>
      <c r="AK418" s="34"/>
      <c r="AL418" s="364"/>
      <c r="AM418" s="34"/>
    </row>
    <row r="419" spans="1:39" s="750" customFormat="1" ht="14.1" hidden="1" customHeight="1" outlineLevel="2" x14ac:dyDescent="0.2">
      <c r="A419" s="85"/>
      <c r="B419" s="263" t="s">
        <v>42</v>
      </c>
      <c r="C419" s="151" t="s">
        <v>0</v>
      </c>
      <c r="D419" s="165"/>
      <c r="E419" s="165"/>
      <c r="G419" s="203">
        <f t="shared" si="54"/>
        <v>0</v>
      </c>
      <c r="H419" s="140">
        <f>AH419</f>
        <v>0</v>
      </c>
      <c r="I419" s="532"/>
      <c r="Y419" s="960"/>
      <c r="AB419" s="944"/>
      <c r="AC419" s="233">
        <f t="shared" si="53"/>
        <v>0</v>
      </c>
      <c r="AD419" s="19"/>
      <c r="AE419" s="19"/>
      <c r="AF419" s="19"/>
      <c r="AG419" s="25">
        <f>S.2AC.BEGIN</f>
        <v>0</v>
      </c>
      <c r="AH419" s="25">
        <f>G419</f>
        <v>0</v>
      </c>
      <c r="AI419" s="18"/>
      <c r="AJ419" s="15"/>
      <c r="AK419" s="34"/>
      <c r="AL419" s="364"/>
      <c r="AM419" s="34"/>
    </row>
    <row r="420" spans="1:39" s="750" customFormat="1" ht="14.1" hidden="1" customHeight="1" outlineLevel="2" thickBot="1" x14ac:dyDescent="0.25">
      <c r="A420" s="85"/>
      <c r="B420" s="263" t="s">
        <v>42</v>
      </c>
      <c r="C420" s="151" t="s">
        <v>0</v>
      </c>
      <c r="D420" s="165"/>
      <c r="E420" s="165"/>
      <c r="G420" s="203">
        <f t="shared" si="54"/>
        <v>0</v>
      </c>
      <c r="H420" s="140">
        <f>AH420</f>
        <v>0</v>
      </c>
      <c r="I420" s="532"/>
      <c r="Y420" s="960"/>
      <c r="AB420" s="944"/>
      <c r="AC420" s="233">
        <f t="shared" si="53"/>
        <v>0</v>
      </c>
      <c r="AD420" s="19"/>
      <c r="AE420" s="19"/>
      <c r="AF420" s="19"/>
      <c r="AG420" s="25">
        <f>S.2AC.BEGIN</f>
        <v>0</v>
      </c>
      <c r="AH420" s="25">
        <f>G420</f>
        <v>0</v>
      </c>
      <c r="AI420" s="18"/>
      <c r="AJ420" s="15"/>
      <c r="AK420" s="34"/>
      <c r="AL420" s="364"/>
      <c r="AM420" s="34"/>
    </row>
    <row r="421" spans="1:39" s="750" customFormat="1" ht="14.1" hidden="1" customHeight="1" outlineLevel="2" thickBot="1" x14ac:dyDescent="0.25">
      <c r="A421" s="85"/>
      <c r="B421" s="279" t="s">
        <v>54</v>
      </c>
      <c r="C421" s="350" t="s">
        <v>77</v>
      </c>
      <c r="D421" s="503"/>
      <c r="E421" s="503"/>
      <c r="G421" s="204"/>
      <c r="H421" s="204"/>
      <c r="I421" s="532"/>
      <c r="Y421" s="960"/>
      <c r="AB421" s="944"/>
      <c r="AC421" s="233">
        <f>IF(AND(S.AC.InvolveMeeting5="Y",S.AC.CommitteeInvolved="Y",S.AC.Presentation5="Y"),1,0)</f>
        <v>0</v>
      </c>
      <c r="AD421" s="19"/>
      <c r="AE421" s="19"/>
      <c r="AF421" s="19"/>
      <c r="AG421" s="9"/>
      <c r="AH421" s="9"/>
      <c r="AI421" s="9"/>
      <c r="AJ421" s="15"/>
      <c r="AK421" s="34"/>
      <c r="AL421" s="364"/>
      <c r="AM421" s="34"/>
    </row>
    <row r="422" spans="1:39" s="750" customFormat="1" ht="14.1" hidden="1" customHeight="1" outlineLevel="2" x14ac:dyDescent="0.2">
      <c r="A422" s="85"/>
      <c r="B422" s="280" t="s">
        <v>43</v>
      </c>
      <c r="C422" s="151" t="s">
        <v>0</v>
      </c>
      <c r="D422" s="205"/>
      <c r="E422" s="205"/>
      <c r="G422" s="202"/>
      <c r="H422" s="202"/>
      <c r="I422" s="532"/>
      <c r="Y422" s="960"/>
      <c r="AB422" s="944"/>
      <c r="AC422" s="233">
        <f t="shared" ref="AC422:AC428" si="55">$AC$421</f>
        <v>0</v>
      </c>
      <c r="AD422" s="19"/>
      <c r="AE422" s="19"/>
      <c r="AF422" s="19"/>
      <c r="AG422" s="9"/>
      <c r="AH422" s="9"/>
      <c r="AI422" s="18"/>
      <c r="AJ422" s="15"/>
      <c r="AK422" s="34"/>
      <c r="AL422" s="364"/>
      <c r="AM422" s="34"/>
    </row>
    <row r="423" spans="1:39" s="750" customFormat="1" ht="14.1" hidden="1" customHeight="1" outlineLevel="2" x14ac:dyDescent="0.2">
      <c r="A423" s="85"/>
      <c r="B423" s="281" t="str">
        <f>AB423</f>
        <v>* drafts optional AC.PRESENTATION.01.16.00</v>
      </c>
      <c r="C423" s="151" t="s">
        <v>0</v>
      </c>
      <c r="D423" s="165"/>
      <c r="E423" s="228"/>
      <c r="G423" s="203">
        <f t="shared" ref="G423" si="56">AG423</f>
        <v>0</v>
      </c>
      <c r="H423" s="140">
        <f>AH423</f>
        <v>0</v>
      </c>
      <c r="I423" s="532"/>
      <c r="Y423" s="960"/>
      <c r="AB423" s="934" t="str">
        <f>"* drafts optional AC.PRESENTATION."&amp;TEXT(S.AC.DateMeeting5,"mm.dd.yy")</f>
        <v>* drafts optional AC.PRESENTATION.01.16.00</v>
      </c>
      <c r="AC423" s="233">
        <f t="shared" si="55"/>
        <v>0</v>
      </c>
      <c r="AD423" s="19"/>
      <c r="AE423" s="19"/>
      <c r="AF423" s="19"/>
      <c r="AG423" s="25">
        <f>S.2AC.BEGIN</f>
        <v>0</v>
      </c>
      <c r="AH423" s="25">
        <f>G423</f>
        <v>0</v>
      </c>
      <c r="AI423" s="18"/>
      <c r="AJ423" s="15"/>
      <c r="AK423" s="34"/>
      <c r="AL423" s="364"/>
      <c r="AM423" s="34"/>
    </row>
    <row r="424" spans="1:39" s="750" customFormat="1" ht="14.1" hidden="1" customHeight="1" outlineLevel="2" x14ac:dyDescent="0.2">
      <c r="A424" s="85"/>
      <c r="B424" s="280" t="s">
        <v>43</v>
      </c>
      <c r="C424" s="151" t="s">
        <v>0</v>
      </c>
      <c r="D424" s="205"/>
      <c r="E424" s="205"/>
      <c r="G424" s="204"/>
      <c r="H424" s="204"/>
      <c r="I424" s="532"/>
      <c r="Y424" s="960"/>
      <c r="AB424" s="944"/>
      <c r="AC424" s="233">
        <f t="shared" si="55"/>
        <v>0</v>
      </c>
      <c r="AD424" s="19"/>
      <c r="AE424" s="19"/>
      <c r="AF424" s="19"/>
      <c r="AG424" s="9"/>
      <c r="AH424" s="9"/>
      <c r="AI424" s="18"/>
      <c r="AJ424" s="15"/>
      <c r="AK424" s="34"/>
      <c r="AL424" s="364"/>
      <c r="AM424" s="34"/>
    </row>
    <row r="425" spans="1:39" s="750" customFormat="1" ht="14.1" hidden="1" customHeight="1" outlineLevel="2" x14ac:dyDescent="0.2">
      <c r="A425" s="85"/>
      <c r="B425" s="282" t="s">
        <v>66</v>
      </c>
      <c r="C425" s="151" t="s">
        <v>0</v>
      </c>
      <c r="D425" s="165"/>
      <c r="E425" s="165"/>
      <c r="G425" s="203">
        <f t="shared" ref="G425:G426" si="57">AG425</f>
        <v>0</v>
      </c>
      <c r="H425" s="140">
        <f>AH425</f>
        <v>0</v>
      </c>
      <c r="I425" s="532"/>
      <c r="Y425" s="960"/>
      <c r="AB425" s="944"/>
      <c r="AC425" s="233">
        <f t="shared" si="55"/>
        <v>0</v>
      </c>
      <c r="AD425" s="19"/>
      <c r="AE425" s="19"/>
      <c r="AF425" s="19"/>
      <c r="AG425" s="25">
        <f>S.2AC.BEGIN</f>
        <v>0</v>
      </c>
      <c r="AH425" s="25">
        <f>G425</f>
        <v>0</v>
      </c>
      <c r="AI425" s="18"/>
      <c r="AJ425" s="15"/>
      <c r="AK425" s="34"/>
      <c r="AL425" s="364"/>
      <c r="AM425" s="34"/>
    </row>
    <row r="426" spans="1:39" s="750" customFormat="1" ht="14.1" hidden="1" customHeight="1" outlineLevel="2" x14ac:dyDescent="0.2">
      <c r="A426" s="85"/>
      <c r="B426" s="283" t="s">
        <v>79</v>
      </c>
      <c r="C426" s="151" t="s">
        <v>0</v>
      </c>
      <c r="D426" s="165"/>
      <c r="E426" s="165"/>
      <c r="G426" s="203">
        <f t="shared" si="57"/>
        <v>0</v>
      </c>
      <c r="H426" s="140">
        <f>AH426</f>
        <v>0</v>
      </c>
      <c r="I426" s="532"/>
      <c r="Y426" s="960"/>
      <c r="AB426" s="944"/>
      <c r="AC426" s="233">
        <f t="shared" si="55"/>
        <v>0</v>
      </c>
      <c r="AD426" s="19"/>
      <c r="AE426" s="19"/>
      <c r="AF426" s="19"/>
      <c r="AG426" s="25">
        <f>S.2AC.BEGIN</f>
        <v>0</v>
      </c>
      <c r="AH426" s="25">
        <f>G426</f>
        <v>0</v>
      </c>
      <c r="AI426" s="18" t="s">
        <v>0</v>
      </c>
      <c r="AJ426" s="15"/>
      <c r="AK426" s="34"/>
      <c r="AL426" s="364"/>
      <c r="AM426" s="34"/>
    </row>
    <row r="427" spans="1:39" s="750" customFormat="1" ht="14.1" hidden="1" customHeight="1" outlineLevel="2" x14ac:dyDescent="0.2">
      <c r="A427" s="85"/>
      <c r="B427" s="284" t="str">
        <f>AB427</f>
        <v>ProgLead submits Web Request to post presentation materials</v>
      </c>
      <c r="C427" s="700" t="str">
        <f>HYPERLINK("http://deq05/intranet/communication/WebRequests.htm","i")</f>
        <v>i</v>
      </c>
      <c r="D427" s="165"/>
      <c r="E427" s="536"/>
      <c r="I427" s="532"/>
      <c r="Y427" s="960"/>
      <c r="AB427" s="934" t="str">
        <f>S.Staff.Subject.Expert.FirstName&amp;" submits Web Request to post presentation materials"</f>
        <v>ProgLead submits Web Request to post presentation materials</v>
      </c>
      <c r="AC427" s="233">
        <f t="shared" si="55"/>
        <v>0</v>
      </c>
      <c r="AD427" s="19"/>
      <c r="AE427" s="19"/>
      <c r="AF427" s="19"/>
      <c r="AG427" s="9"/>
      <c r="AH427" s="9"/>
      <c r="AI427" s="18"/>
      <c r="AJ427" s="15"/>
      <c r="AK427" s="34"/>
      <c r="AL427" s="364"/>
      <c r="AM427" s="34"/>
    </row>
    <row r="428" spans="1:39" s="750" customFormat="1" ht="14.1" hidden="1" customHeight="1" outlineLevel="2" x14ac:dyDescent="0.2">
      <c r="A428" s="85"/>
      <c r="B428" s="283" t="s">
        <v>44</v>
      </c>
      <c r="C428" s="151" t="s">
        <v>0</v>
      </c>
      <c r="D428" s="165"/>
      <c r="E428" s="536"/>
      <c r="I428" s="532"/>
      <c r="Y428" s="960"/>
      <c r="AB428" s="944"/>
      <c r="AC428" s="233">
        <f t="shared" si="55"/>
        <v>0</v>
      </c>
      <c r="AD428" s="19"/>
      <c r="AE428" s="19"/>
      <c r="AF428" s="19"/>
      <c r="AG428" s="9"/>
      <c r="AH428" s="9"/>
      <c r="AI428" s="24"/>
      <c r="AJ428" s="24"/>
      <c r="AK428" s="34"/>
      <c r="AL428" s="364"/>
      <c r="AM428" s="34"/>
    </row>
    <row r="429" spans="1:39" s="750" customFormat="1" ht="14.1" hidden="1" customHeight="1" outlineLevel="2" x14ac:dyDescent="0.2">
      <c r="A429" s="85"/>
      <c r="B429" s="166" t="str">
        <f>AB429</f>
        <v>ProgLead facilitates, leads or supports:</v>
      </c>
      <c r="C429" s="142"/>
      <c r="D429" s="165"/>
      <c r="E429" s="165"/>
      <c r="G429" s="203">
        <f>AG429</f>
        <v>0</v>
      </c>
      <c r="H429" s="140">
        <f>AH429</f>
        <v>0</v>
      </c>
      <c r="I429" s="532"/>
      <c r="Y429" s="960"/>
      <c r="AB429" s="936" t="str">
        <f>S.Staff.Subject.Expert.FirstName&amp;" facilitates, leads or supports:"</f>
        <v>ProgLead facilitates, leads or supports:</v>
      </c>
      <c r="AC429" s="233">
        <f t="shared" ref="AC429" si="58">IF(AND(S.AC.InvolveMeeting1="Y",S.AC.CommitteeInvolved="Y"),1,0)</f>
        <v>0</v>
      </c>
      <c r="AD429" s="19"/>
      <c r="AE429" s="19"/>
      <c r="AF429" s="19"/>
      <c r="AG429" s="25">
        <f>S.AC.SendInvitation</f>
        <v>0</v>
      </c>
      <c r="AH429" s="25">
        <f>G429</f>
        <v>0</v>
      </c>
      <c r="AI429" s="23"/>
      <c r="AJ429" s="15"/>
      <c r="AK429" s="34"/>
      <c r="AL429" s="364"/>
      <c r="AM429" s="34"/>
    </row>
    <row r="430" spans="1:39" s="750" customFormat="1" ht="12.75" hidden="1" customHeight="1" outlineLevel="2" x14ac:dyDescent="0.2">
      <c r="A430" s="85"/>
      <c r="B430" s="200" t="s">
        <v>511</v>
      </c>
      <c r="C430" s="151" t="s">
        <v>0</v>
      </c>
      <c r="H430" s="146">
        <f>AH430</f>
        <v>16</v>
      </c>
      <c r="I430" s="532"/>
      <c r="Y430" s="960"/>
      <c r="AB430" s="944"/>
      <c r="AC430" s="233">
        <f>IF(AND(S.AC.InvolveMeeting1="Y",S.AC.CommitteeInvolved="Y"),1,0)</f>
        <v>0</v>
      </c>
      <c r="AD430" s="19"/>
      <c r="AE430" s="19"/>
      <c r="AF430" s="19"/>
      <c r="AG430" s="24"/>
      <c r="AH430" s="25">
        <f>S.AC.DateMeeting5</f>
        <v>16</v>
      </c>
      <c r="AI430" s="24"/>
      <c r="AJ430" s="24"/>
      <c r="AK430" s="34"/>
      <c r="AL430" s="364"/>
      <c r="AM430" s="34"/>
    </row>
    <row r="431" spans="1:39" s="750" customFormat="1" ht="14.1" hidden="1" customHeight="1" outlineLevel="2" x14ac:dyDescent="0.2">
      <c r="A431" s="85"/>
      <c r="B431" s="199" t="str">
        <f>AB431</f>
        <v>* drafting of AC.MINUTES 01.16.00</v>
      </c>
      <c r="C431" s="699" t="str">
        <f>HYPERLINK("\\deq000\templates\General\Minutes Template.dotx","i")</f>
        <v>i</v>
      </c>
      <c r="D431" s="228"/>
      <c r="E431" s="228"/>
      <c r="G431" s="203">
        <f>AG431</f>
        <v>16</v>
      </c>
      <c r="H431" s="140">
        <f>AH431</f>
        <v>16</v>
      </c>
      <c r="I431" s="532"/>
      <c r="Y431" s="960"/>
      <c r="AB431" s="936" t="str">
        <f>"* drafting of AC.MINUTES "&amp;TEXT(S.AC.DateMeeting5,"mm.dd.yy")</f>
        <v>* drafting of AC.MINUTES 01.16.00</v>
      </c>
      <c r="AC431" s="233">
        <f>IF(AND(S.AC.InvolveMeeting1="Y",S.AC.CommitteeInvolved="Y"),1,0)</f>
        <v>0</v>
      </c>
      <c r="AD431" s="19"/>
      <c r="AE431" s="19"/>
      <c r="AF431" s="19"/>
      <c r="AG431" s="25">
        <f>S.AC.DateMeeting1</f>
        <v>16</v>
      </c>
      <c r="AH431" s="25">
        <f>G431</f>
        <v>16</v>
      </c>
      <c r="AI431" s="24"/>
      <c r="AJ431" s="24"/>
      <c r="AK431" s="34"/>
      <c r="AL431" s="364"/>
      <c r="AM431" s="34"/>
    </row>
    <row r="432" spans="1:39" s="750" customFormat="1" ht="14.1" hidden="1" customHeight="1" outlineLevel="2" x14ac:dyDescent="0.2">
      <c r="A432" s="85"/>
      <c r="B432" s="200" t="s">
        <v>512</v>
      </c>
      <c r="C432" s="151" t="s">
        <v>0</v>
      </c>
      <c r="D432" s="165"/>
      <c r="E432" s="165"/>
      <c r="G432" s="203">
        <f>AG432</f>
        <v>16</v>
      </c>
      <c r="H432" s="140">
        <f>AH432</f>
        <v>16</v>
      </c>
      <c r="I432" s="532"/>
      <c r="Y432" s="960"/>
      <c r="AB432" s="944"/>
      <c r="AC432" s="233">
        <f>IF(AND(S.AC.InvolveMeeting1="Y",S.AC.CommitteeInvolved="Y"),1,0)</f>
        <v>0</v>
      </c>
      <c r="AD432" s="19"/>
      <c r="AE432" s="19"/>
      <c r="AF432" s="19"/>
      <c r="AG432" s="25">
        <f>S.AC.DateMeeting1</f>
        <v>16</v>
      </c>
      <c r="AH432" s="25">
        <f>G432</f>
        <v>16</v>
      </c>
      <c r="AI432" s="24"/>
      <c r="AJ432" s="24"/>
      <c r="AK432" s="34"/>
      <c r="AL432" s="364"/>
      <c r="AM432" s="34"/>
    </row>
    <row r="433" spans="1:39" s="750" customFormat="1" ht="14.25" hidden="1" customHeight="1" outlineLevel="1" collapsed="1" x14ac:dyDescent="0.2">
      <c r="A433" s="85"/>
      <c r="B433" s="199"/>
      <c r="C433" s="151"/>
      <c r="E433" s="228"/>
      <c r="I433" s="532"/>
      <c r="Y433" s="960"/>
      <c r="AB433" s="936"/>
      <c r="AC433" s="233">
        <v>1</v>
      </c>
      <c r="AD433" s="19"/>
      <c r="AE433" s="19"/>
      <c r="AF433" s="19"/>
      <c r="AG433" s="24"/>
      <c r="AH433" s="24"/>
      <c r="AI433" s="24"/>
      <c r="AJ433" s="24"/>
      <c r="AK433" s="34"/>
      <c r="AL433" s="364"/>
      <c r="AM433" s="34"/>
    </row>
    <row r="434" spans="1:39" s="6" customFormat="1" ht="14.1" hidden="1" customHeight="1" outlineLevel="1" x14ac:dyDescent="0.2">
      <c r="A434" s="85"/>
      <c r="B434" s="126" t="str">
        <f>AB434</f>
        <v>ProgLead gathers all advisory committee emails for the Rule Record and saves as:</v>
      </c>
      <c r="C434" s="327" t="str">
        <f>HYPERLINK("\\deqhq1\Rule_Development\Currrent Plan","i")</f>
        <v>i</v>
      </c>
      <c r="D434" s="165"/>
      <c r="E434" s="165"/>
      <c r="F434"/>
      <c r="G434" s="173">
        <f>AG434</f>
        <v>0</v>
      </c>
      <c r="H434" s="173">
        <f>AH434</f>
        <v>0</v>
      </c>
      <c r="I434" s="532"/>
      <c r="J434"/>
      <c r="K434"/>
      <c r="L434"/>
      <c r="M434"/>
      <c r="N434"/>
      <c r="O434"/>
      <c r="P434"/>
      <c r="Q434"/>
      <c r="R434"/>
      <c r="S434"/>
      <c r="T434"/>
      <c r="U434"/>
      <c r="X434"/>
      <c r="Y434" s="960"/>
      <c r="AB434" s="936" t="str">
        <f>S.Staff.Subject.Expert.FirstName&amp;" gathers all advisory committee emails for the Rule Record and saves as:"</f>
        <v>ProgLead gathers all advisory committee emails for the Rule Record and saves as:</v>
      </c>
      <c r="AC434" s="233">
        <f t="shared" ref="AC434:AC435" si="59">IF(AND(S.AC.InvolveMeeting5="Y",S.AC.CommitteeInvolved="Y"),1,0)</f>
        <v>0</v>
      </c>
      <c r="AD434" s="19"/>
      <c r="AE434" s="19"/>
      <c r="AF434" s="19"/>
      <c r="AG434" s="25">
        <f>S.2AC.BEGIN</f>
        <v>0</v>
      </c>
      <c r="AH434" s="25">
        <f>S.2AC.END</f>
        <v>0</v>
      </c>
      <c r="AI434" s="23"/>
      <c r="AJ434" s="29"/>
      <c r="AK434" s="34"/>
      <c r="AL434" s="364"/>
      <c r="AM434" s="34"/>
    </row>
    <row r="435" spans="1:39" s="6" customFormat="1" ht="14.1" hidden="1" customHeight="1" outlineLevel="1" x14ac:dyDescent="0.2">
      <c r="A435" s="85"/>
      <c r="B435" s="125" t="s">
        <v>50</v>
      </c>
      <c r="C435" s="151"/>
      <c r="D435" s="151"/>
      <c r="E435" s="151"/>
      <c r="F435" s="145"/>
      <c r="G435" s="142"/>
      <c r="H435" s="142"/>
      <c r="I435" s="532"/>
      <c r="J435"/>
      <c r="K435"/>
      <c r="L435"/>
      <c r="M435"/>
      <c r="N435"/>
      <c r="O435"/>
      <c r="P435"/>
      <c r="Q435"/>
      <c r="R435"/>
      <c r="S435"/>
      <c r="T435"/>
      <c r="U435"/>
      <c r="X435"/>
      <c r="Y435" s="960"/>
      <c r="AB435" s="926" t="s">
        <v>0</v>
      </c>
      <c r="AC435" s="233">
        <f t="shared" si="59"/>
        <v>0</v>
      </c>
      <c r="AD435" s="19"/>
      <c r="AE435" s="19"/>
      <c r="AF435" s="19"/>
      <c r="AG435" s="23"/>
      <c r="AH435" s="23"/>
      <c r="AI435" s="23"/>
      <c r="AJ435" s="16"/>
      <c r="AK435" s="34"/>
      <c r="AL435" s="364"/>
      <c r="AM435" s="34"/>
    </row>
    <row r="436" spans="1:39" ht="14.25" customHeight="1" collapsed="1" x14ac:dyDescent="0.2">
      <c r="A436" s="85"/>
      <c r="B436" s="66"/>
      <c r="C436" s="49"/>
      <c r="D436" s="48"/>
      <c r="E436" s="48"/>
      <c r="F436" s="50"/>
      <c r="G436" s="49"/>
      <c r="H436" s="49"/>
      <c r="I436" s="532"/>
      <c r="AB436" s="944"/>
      <c r="AC436" s="232" t="s">
        <v>0</v>
      </c>
      <c r="AD436" s="19"/>
      <c r="AE436" s="19"/>
      <c r="AF436" s="19"/>
      <c r="AG436" s="18"/>
      <c r="AH436" s="18"/>
      <c r="AI436" s="24"/>
      <c r="AJ436" s="24"/>
      <c r="AK436" s="34"/>
      <c r="AL436" s="364"/>
      <c r="AM436" s="34"/>
    </row>
    <row r="437" spans="1:39" s="6" customFormat="1" ht="20.25" customHeight="1" x14ac:dyDescent="0.3">
      <c r="A437" s="85"/>
      <c r="B437" s="1037" t="str">
        <f>AB14</f>
        <v>Fees - not involved</v>
      </c>
      <c r="C437" s="1037"/>
      <c r="D437" s="1037"/>
      <c r="E437" s="1037"/>
      <c r="F437" s="1037"/>
      <c r="G437" s="1037"/>
      <c r="H437" s="1037"/>
      <c r="I437" s="532"/>
      <c r="J437"/>
      <c r="K437"/>
      <c r="L437"/>
      <c r="M437"/>
      <c r="N437"/>
      <c r="O437"/>
      <c r="P437"/>
      <c r="Q437"/>
      <c r="R437"/>
      <c r="S437"/>
      <c r="T437"/>
      <c r="U437"/>
      <c r="X437"/>
      <c r="Y437" s="960"/>
      <c r="AB437" s="932" t="str">
        <f>AB14</f>
        <v>Fees - not involved</v>
      </c>
      <c r="AC437" s="232" t="s">
        <v>0</v>
      </c>
      <c r="AD437" s="19"/>
      <c r="AE437" s="19"/>
      <c r="AF437" s="19"/>
      <c r="AG437" s="35"/>
      <c r="AH437" s="35"/>
      <c r="AI437" s="24"/>
      <c r="AJ437" s="30"/>
      <c r="AK437" s="34"/>
      <c r="AL437" s="364"/>
      <c r="AM437" s="34"/>
    </row>
    <row r="438" spans="1:39" s="244" customFormat="1" ht="14.1" hidden="1" customHeight="1" outlineLevel="1" x14ac:dyDescent="0.2">
      <c r="A438" s="241"/>
      <c r="B438" s="702" t="str">
        <f>S.General.CodeName</f>
        <v>CodeName</v>
      </c>
      <c r="C438" s="242" t="s">
        <v>0</v>
      </c>
      <c r="D438" s="242"/>
      <c r="E438" s="242"/>
      <c r="F438" s="249" t="s">
        <v>0</v>
      </c>
      <c r="G438" s="243" t="s">
        <v>26</v>
      </c>
      <c r="H438" s="243" t="s">
        <v>57</v>
      </c>
      <c r="I438" s="532"/>
      <c r="J438"/>
      <c r="K438"/>
      <c r="L438"/>
      <c r="M438"/>
      <c r="N438"/>
      <c r="O438"/>
      <c r="P438"/>
      <c r="Q438"/>
      <c r="R438"/>
      <c r="S438"/>
      <c r="T438"/>
      <c r="U438"/>
      <c r="V438" s="6"/>
      <c r="W438" s="6"/>
      <c r="X438"/>
      <c r="Y438" s="960"/>
      <c r="Z438" s="6"/>
      <c r="AA438" s="6"/>
      <c r="AB438" s="939"/>
      <c r="AC438" s="246" t="s">
        <v>0</v>
      </c>
      <c r="AD438" s="19"/>
      <c r="AE438" s="19"/>
      <c r="AF438" s="979"/>
      <c r="AG438" s="245"/>
      <c r="AH438" s="245"/>
      <c r="AI438" s="247"/>
      <c r="AJ438" s="248"/>
      <c r="AK438" s="470"/>
      <c r="AL438" s="985"/>
      <c r="AM438" s="470"/>
    </row>
    <row r="439" spans="1:39" ht="14.1" hidden="1" customHeight="1" outlineLevel="1" x14ac:dyDescent="0.25">
      <c r="A439" s="85"/>
      <c r="B439" s="250" t="s">
        <v>0</v>
      </c>
      <c r="C439" s="67"/>
      <c r="D439" s="63"/>
      <c r="E439" s="63"/>
      <c r="F439" s="68"/>
      <c r="G439" s="104">
        <f>S.3Fee.BEGIN</f>
        <v>0</v>
      </c>
      <c r="H439" s="104">
        <f>S.3Fee.END</f>
        <v>0</v>
      </c>
      <c r="I439" s="532"/>
      <c r="AB439" s="752"/>
      <c r="AC439" s="232" t="s">
        <v>0</v>
      </c>
      <c r="AD439" s="19"/>
      <c r="AE439" s="19"/>
      <c r="AF439" s="19"/>
      <c r="AG439" s="245"/>
      <c r="AH439" s="245"/>
      <c r="AI439" s="24"/>
      <c r="AJ439" s="24"/>
      <c r="AK439" s="34"/>
      <c r="AL439" s="364"/>
      <c r="AM439" s="34"/>
    </row>
    <row r="440" spans="1:39" ht="6" hidden="1" customHeight="1" outlineLevel="1" x14ac:dyDescent="0.2">
      <c r="A440" s="85"/>
      <c r="B440" s="60"/>
      <c r="C440" s="52"/>
      <c r="D440" s="485"/>
      <c r="E440" s="485"/>
      <c r="F440" s="53"/>
      <c r="G440" s="52"/>
      <c r="H440" s="52"/>
      <c r="I440" s="532"/>
      <c r="AB440" s="947"/>
      <c r="AC440" s="233" t="s">
        <v>0</v>
      </c>
      <c r="AD440" s="19"/>
      <c r="AE440" s="19"/>
      <c r="AF440" s="19"/>
      <c r="AG440" s="18"/>
      <c r="AH440" s="18"/>
      <c r="AI440" s="24"/>
      <c r="AJ440" s="24"/>
      <c r="AK440" s="34"/>
      <c r="AL440" s="364"/>
      <c r="AM440" s="34"/>
    </row>
    <row r="441" spans="1:39" s="6" customFormat="1" ht="14.1" hidden="1" customHeight="1" outlineLevel="1" x14ac:dyDescent="0.2">
      <c r="A441" s="85"/>
      <c r="B441" s="349" t="s">
        <v>138</v>
      </c>
      <c r="C441" s="327" t="str">
        <f>HYPERLINK("\\deqhq1\Rule_Resources\i\0-VersionHistory.pdf","i")</f>
        <v>i</v>
      </c>
      <c r="D441" s="486"/>
      <c r="E441" s="486"/>
      <c r="F441" s="39"/>
      <c r="G441" s="38"/>
      <c r="H441" s="38"/>
      <c r="I441" s="532"/>
      <c r="J441"/>
      <c r="K441"/>
      <c r="L441"/>
      <c r="M441"/>
      <c r="N441"/>
      <c r="O441"/>
      <c r="P441"/>
      <c r="Q441"/>
      <c r="R441"/>
      <c r="S441"/>
      <c r="T441"/>
      <c r="U441"/>
      <c r="X441"/>
      <c r="Y441" s="960"/>
      <c r="AB441" s="929"/>
      <c r="AC441" s="233" t="s">
        <v>0</v>
      </c>
      <c r="AD441" s="19"/>
      <c r="AE441" s="19"/>
      <c r="AF441" s="19"/>
      <c r="AG441" s="18"/>
      <c r="AH441" s="18"/>
      <c r="AI441" s="31"/>
      <c r="AJ441" s="31"/>
      <c r="AK441" s="34"/>
      <c r="AL441" s="364"/>
      <c r="AM441" s="34"/>
    </row>
    <row r="442" spans="1:39" s="6" customFormat="1" ht="14.1" hidden="1" customHeight="1" outlineLevel="1" x14ac:dyDescent="0.25">
      <c r="A442" s="85"/>
      <c r="B442" s="220" t="str">
        <f t="shared" ref="B442:B448" si="60">AB442</f>
        <v>ProgLead leads development of:</v>
      </c>
      <c r="C442" s="117"/>
      <c r="D442" s="500"/>
      <c r="E442" s="500"/>
      <c r="F442" s="112"/>
      <c r="G442" s="113"/>
      <c r="H442" s="114"/>
      <c r="I442" s="532"/>
      <c r="J442"/>
      <c r="K442"/>
      <c r="L442"/>
      <c r="M442"/>
      <c r="N442"/>
      <c r="O442"/>
      <c r="P442"/>
      <c r="Q442"/>
      <c r="R442"/>
      <c r="S442"/>
      <c r="T442"/>
      <c r="U442"/>
      <c r="X442"/>
      <c r="Y442" s="960"/>
      <c r="AB442" s="934" t="str">
        <f>S.Staff.Subject.Expert.FirstName&amp;" leads development of:"</f>
        <v>ProgLead leads development of:</v>
      </c>
      <c r="AC442" s="232">
        <f t="shared" ref="AC442:AC447" si="61">IF(S.Fee.Involved="N",0,1)</f>
        <v>0</v>
      </c>
      <c r="AD442" s="19"/>
      <c r="AE442" s="19"/>
      <c r="AF442" s="19"/>
      <c r="AG442" s="23"/>
      <c r="AH442" s="23"/>
      <c r="AI442" s="24"/>
      <c r="AJ442" s="15"/>
      <c r="AK442" s="34"/>
      <c r="AL442" s="364"/>
      <c r="AM442" s="34"/>
    </row>
    <row r="443" spans="1:39" s="6" customFormat="1" ht="14.1" hidden="1" customHeight="1" outlineLevel="1" x14ac:dyDescent="0.25">
      <c r="A443" s="85"/>
      <c r="B443" s="152" t="str">
        <f t="shared" si="60"/>
        <v>* Fee Approval Packet, with team and BudgetAnalyst</v>
      </c>
      <c r="C443" s="330" t="str">
        <f>HYPERLINK("\\deqhq1\Rule_Resources\i\3-FeeApproval.pdf","i")</f>
        <v>i</v>
      </c>
      <c r="D443" s="500"/>
      <c r="E443" s="165"/>
      <c r="F443" s="112"/>
      <c r="G443" s="337">
        <f>AG443</f>
        <v>0</v>
      </c>
      <c r="H443" s="337">
        <f>AH443</f>
        <v>0</v>
      </c>
      <c r="I443" s="532"/>
      <c r="J443"/>
      <c r="K443"/>
      <c r="L443"/>
      <c r="M443"/>
      <c r="N443"/>
      <c r="O443"/>
      <c r="P443"/>
      <c r="Q443"/>
      <c r="R443"/>
      <c r="S443"/>
      <c r="T443"/>
      <c r="U443"/>
      <c r="X443"/>
      <c r="Y443" s="960"/>
      <c r="AB443" s="934" t="str">
        <f>"* Fee Approval Packet, with team and "&amp;S.Staff.Budget</f>
        <v>* Fee Approval Packet, with team and BudgetAnalyst</v>
      </c>
      <c r="AC443" s="232">
        <f t="shared" si="61"/>
        <v>0</v>
      </c>
      <c r="AD443" s="19"/>
      <c r="AE443" s="19"/>
      <c r="AF443" s="19"/>
      <c r="AG443" s="25">
        <f>S.3Fee.BEGIN</f>
        <v>0</v>
      </c>
      <c r="AH443" s="25">
        <f>G443</f>
        <v>0</v>
      </c>
      <c r="AI443" s="24"/>
      <c r="AJ443" s="24"/>
      <c r="AK443" s="34"/>
      <c r="AL443" s="364"/>
      <c r="AM443" s="34"/>
    </row>
    <row r="444" spans="1:39" s="6" customFormat="1" ht="14.1" hidden="1" customHeight="1" outlineLevel="1" x14ac:dyDescent="0.2">
      <c r="A444" s="85"/>
      <c r="B444" s="270" t="str">
        <f t="shared" si="60"/>
        <v xml:space="preserve"> blank row</v>
      </c>
      <c r="C444" s="357" t="s">
        <v>0</v>
      </c>
      <c r="D444" s="165"/>
      <c r="E444" s="536"/>
      <c r="F444" s="324"/>
      <c r="G444" s="324"/>
      <c r="H444" s="377"/>
      <c r="I444" s="532"/>
      <c r="J444"/>
      <c r="K444"/>
      <c r="L444"/>
      <c r="M444"/>
      <c r="N444"/>
      <c r="O444"/>
      <c r="P444"/>
      <c r="Q444"/>
      <c r="R444"/>
      <c r="S444"/>
      <c r="T444"/>
      <c r="U444"/>
      <c r="X444"/>
      <c r="Y444" s="960"/>
      <c r="AB444" s="936" t="str">
        <f>IF(S.Fee.DASApprovalRequired="Y","a. FEE.ANALYSIS - SharePoint folder 3",IF(S.Fee.Involved="Y","a. FEE.ANALYSIS - SharePoint folder 3"," blank row"))</f>
        <v xml:space="preserve"> blank row</v>
      </c>
      <c r="AC444" s="232">
        <f t="shared" si="61"/>
        <v>0</v>
      </c>
      <c r="AD444" s="19"/>
      <c r="AE444" s="19"/>
      <c r="AF444" s="19"/>
      <c r="AG444" s="23"/>
      <c r="AH444" s="23"/>
      <c r="AI444" s="24"/>
      <c r="AJ444" s="24"/>
      <c r="AK444" s="34"/>
      <c r="AL444" s="364"/>
      <c r="AM444" s="34"/>
    </row>
    <row r="445" spans="1:39" s="6" customFormat="1" ht="14.1" hidden="1" customHeight="1" outlineLevel="1" x14ac:dyDescent="0.2">
      <c r="A445" s="85"/>
      <c r="B445" s="270" t="str">
        <f t="shared" si="60"/>
        <v xml:space="preserve">  blank row</v>
      </c>
      <c r="C445" s="357" t="s">
        <v>0</v>
      </c>
      <c r="D445" s="165"/>
      <c r="E445" s="536"/>
      <c r="F445" s="324"/>
      <c r="G445" s="324"/>
      <c r="H445" s="377"/>
      <c r="I445" s="532"/>
      <c r="J445"/>
      <c r="K445"/>
      <c r="L445"/>
      <c r="M445"/>
      <c r="N445"/>
      <c r="O445"/>
      <c r="P445"/>
      <c r="Q445"/>
      <c r="R445"/>
      <c r="S445"/>
      <c r="T445"/>
      <c r="U445"/>
      <c r="X445"/>
      <c r="Y445" s="960"/>
      <c r="AB445" s="936" t="str">
        <f>IF(S.Fee.DASApprovalRequired="Y","b. FEE.SUPPORT.DOCS",IF(S.Fee.Involved="Y","b. FEE.SUPPORT.DOCS","  blank row"))</f>
        <v xml:space="preserve">  blank row</v>
      </c>
      <c r="AC445" s="232">
        <f t="shared" si="61"/>
        <v>0</v>
      </c>
      <c r="AD445" s="19"/>
      <c r="AE445" s="19"/>
      <c r="AF445" s="19"/>
      <c r="AG445" s="23"/>
      <c r="AH445" s="23"/>
      <c r="AI445" s="24"/>
      <c r="AJ445" s="24"/>
      <c r="AK445" s="34"/>
      <c r="AL445" s="364"/>
      <c r="AM445" s="34"/>
    </row>
    <row r="446" spans="1:39" s="6" customFormat="1" ht="14.1" hidden="1" customHeight="1" outlineLevel="1" x14ac:dyDescent="0.2">
      <c r="A446" s="85"/>
      <c r="B446" s="270" t="str">
        <f t="shared" si="60"/>
        <v xml:space="preserve"> blank line</v>
      </c>
      <c r="C446" s="330" t="str">
        <f>HYPERLINK("http://www.oregon.gov/DAS/CFO/budgetkickoffmeetings/march2012/107bf21_feeapproval.doc","i")</f>
        <v>i</v>
      </c>
      <c r="D446" s="165"/>
      <c r="E446" s="536"/>
      <c r="F446" s="324"/>
      <c r="G446" s="324"/>
      <c r="H446" s="377"/>
      <c r="I446" s="532"/>
      <c r="J446"/>
      <c r="K446"/>
      <c r="L446"/>
      <c r="M446"/>
      <c r="N446"/>
      <c r="O446"/>
      <c r="P446"/>
      <c r="Q446"/>
      <c r="R446"/>
      <c r="S446"/>
      <c r="T446"/>
      <c r="U446"/>
      <c r="X446"/>
      <c r="Y446" s="960"/>
      <c r="AB446" s="936" t="str">
        <f>IF(S.Fee.DASApprovalRequired="Y","c. FEE.APPROVAL",IF(S.Fee.Involved="Y","      After completing task at bottom of Fee Approval section, "," blank line"))</f>
        <v xml:space="preserve"> blank line</v>
      </c>
      <c r="AC446" s="232">
        <f t="shared" si="61"/>
        <v>0</v>
      </c>
      <c r="AD446" s="19"/>
      <c r="AE446" s="19"/>
      <c r="AF446" s="19"/>
      <c r="AG446" s="23"/>
      <c r="AH446" s="23"/>
      <c r="AI446" s="24"/>
      <c r="AJ446" s="24"/>
      <c r="AK446" s="34"/>
      <c r="AL446" s="364"/>
      <c r="AM446" s="34"/>
    </row>
    <row r="447" spans="1:39" s="6" customFormat="1" ht="14.1" hidden="1" customHeight="1" outlineLevel="1" x14ac:dyDescent="0.2">
      <c r="A447" s="85"/>
      <c r="B447" s="270" t="str">
        <f t="shared" si="60"/>
        <v xml:space="preserve"> blank row</v>
      </c>
      <c r="C447" s="330" t="str">
        <f>HYPERLINK("http://www.oregon.gov/DAS/CFO/budgetkickoffmeetings/march2012/107bf22feechangedetail.xls","i")</f>
        <v>i</v>
      </c>
      <c r="D447" s="165"/>
      <c r="E447" s="536"/>
      <c r="F447" s="324"/>
      <c r="G447" s="324"/>
      <c r="H447" s="378"/>
      <c r="I447" s="532"/>
      <c r="J447"/>
      <c r="K447"/>
      <c r="L447"/>
      <c r="M447"/>
      <c r="N447"/>
      <c r="O447"/>
      <c r="P447"/>
      <c r="Q447"/>
      <c r="R447"/>
      <c r="S447"/>
      <c r="T447"/>
      <c r="U447"/>
      <c r="X447"/>
      <c r="Y447" s="960"/>
      <c r="AB447" s="936" t="str">
        <f>IF(S.Fee.DASApprovalRequired="Y","d. FEE.DETAIL",IF(S.Fee.Involved="Y","            the next DAS fee notification task is under 4-Notice"," blank row"))</f>
        <v xml:space="preserve"> blank row</v>
      </c>
      <c r="AC447" s="232">
        <f t="shared" si="61"/>
        <v>0</v>
      </c>
      <c r="AD447" s="19"/>
      <c r="AE447" s="19"/>
      <c r="AF447" s="19"/>
      <c r="AG447" s="23"/>
      <c r="AH447" s="23"/>
      <c r="AI447" s="24"/>
      <c r="AJ447" s="24"/>
      <c r="AK447" s="34"/>
      <c r="AL447" s="364"/>
      <c r="AM447" s="34"/>
    </row>
    <row r="448" spans="1:39" s="6" customFormat="1" ht="14.1" hidden="1" customHeight="1" outlineLevel="1" x14ac:dyDescent="0.25">
      <c r="A448" s="85"/>
      <c r="B448" s="152" t="str">
        <f t="shared" si="60"/>
        <v>* requests RGLead's review for sufficiency, tone, plain language, style guide</v>
      </c>
      <c r="C448" s="358" t="s">
        <v>0</v>
      </c>
      <c r="D448" s="165"/>
      <c r="E448" s="165"/>
      <c r="F448" s="112"/>
      <c r="G448" s="337">
        <f>AG448</f>
        <v>0</v>
      </c>
      <c r="H448" s="337">
        <f>AH448</f>
        <v>5</v>
      </c>
      <c r="I448" s="532"/>
      <c r="J448"/>
      <c r="K448"/>
      <c r="L448"/>
      <c r="M448"/>
      <c r="N448"/>
      <c r="O448"/>
      <c r="P448"/>
      <c r="Q448"/>
      <c r="R448"/>
      <c r="S448"/>
      <c r="T448"/>
      <c r="U448"/>
      <c r="X448"/>
      <c r="Y448" s="960"/>
      <c r="AB448" s="934" t="str">
        <f>"* requests "&amp;S.Staff.RG.Lead.FirstName&amp;"'s review for sufficiency, tone, plain language, style guide"</f>
        <v>* requests RGLead's review for sufficiency, tone, plain language, style guide</v>
      </c>
      <c r="AC448" s="232">
        <f>IF(AND(S.Fee.Involved="Y",S.Fee.DASApprovalRequired="Y"),1,0)</f>
        <v>0</v>
      </c>
      <c r="AD448" s="19"/>
      <c r="AE448" s="19"/>
      <c r="AF448" s="19"/>
      <c r="AG448" s="25">
        <f>H443</f>
        <v>0</v>
      </c>
      <c r="AH448" s="25">
        <f>WORKDAY(G448+4,1,S.DDL_DEQClosed)</f>
        <v>5</v>
      </c>
      <c r="AI448" s="24"/>
      <c r="AJ448" s="24"/>
      <c r="AK448" s="34"/>
      <c r="AL448" s="364"/>
      <c r="AM448" s="34"/>
    </row>
    <row r="449" spans="1:39" s="6" customFormat="1" ht="14.1" hidden="1" customHeight="1" outlineLevel="1" x14ac:dyDescent="0.2">
      <c r="A449" s="85" t="s">
        <v>0</v>
      </c>
      <c r="B449" s="376" t="s">
        <v>514</v>
      </c>
      <c r="C449" s="202"/>
      <c r="D449" s="505"/>
      <c r="E449" s="505"/>
      <c r="F449" s="169"/>
      <c r="G449" s="170"/>
      <c r="H449" s="170"/>
      <c r="I449" s="532"/>
      <c r="J449"/>
      <c r="K449"/>
      <c r="L449"/>
      <c r="M449"/>
      <c r="N449"/>
      <c r="O449"/>
      <c r="P449"/>
      <c r="Q449"/>
      <c r="R449"/>
      <c r="S449"/>
      <c r="T449"/>
      <c r="U449"/>
      <c r="X449"/>
      <c r="Y449" s="960"/>
      <c r="AB449" s="945"/>
      <c r="AC449" s="232">
        <f>IF(S.Fee.Involved="Y",1,0)</f>
        <v>0</v>
      </c>
      <c r="AD449" s="19"/>
      <c r="AE449" s="19"/>
      <c r="AF449" s="19"/>
      <c r="AG449" s="23"/>
      <c r="AH449" s="23"/>
      <c r="AI449" s="24"/>
      <c r="AJ449" s="24"/>
      <c r="AK449" s="34"/>
      <c r="AL449" s="364"/>
      <c r="AM449" s="34"/>
    </row>
    <row r="450" spans="1:39" ht="14.1" hidden="1" customHeight="1" outlineLevel="1" x14ac:dyDescent="0.2">
      <c r="A450" s="85"/>
      <c r="B450" s="152" t="str">
        <f t="shared" ref="B450:B455" si="62">AB450</f>
        <v>* initiates ProgMgr's Fee Approval Packet review, addresses suggestions</v>
      </c>
      <c r="C450" s="358" t="s">
        <v>0</v>
      </c>
      <c r="D450" s="165"/>
      <c r="E450" s="536"/>
      <c r="F450"/>
      <c r="G450"/>
      <c r="H450" s="140">
        <f>AH450</f>
        <v>5</v>
      </c>
      <c r="I450" s="532"/>
      <c r="AB450" s="934" t="str">
        <f>"* initiates "&amp;S.Staff.Program.Mgr.FirstName&amp;"'s Fee Approval Packet review, addresses suggestions"</f>
        <v>* initiates ProgMgr's Fee Approval Packet review, addresses suggestions</v>
      </c>
      <c r="AC450" s="232">
        <f>IF(AND(S.Fee.Involved="Y",S.Fee.DASApprovalRequired="Y"),1,0)</f>
        <v>0</v>
      </c>
      <c r="AD450" s="19"/>
      <c r="AE450" s="19"/>
      <c r="AF450" s="19"/>
      <c r="AG450" s="23"/>
      <c r="AH450" s="25">
        <f>H448</f>
        <v>5</v>
      </c>
      <c r="AI450" s="24"/>
      <c r="AJ450" s="24"/>
      <c r="AK450" s="34"/>
      <c r="AL450" s="364"/>
      <c r="AM450" s="34"/>
    </row>
    <row r="451" spans="1:39" ht="14.1" hidden="1" customHeight="1" outlineLevel="1" thickBot="1" x14ac:dyDescent="0.3">
      <c r="A451" s="85"/>
      <c r="B451" s="219" t="str">
        <f t="shared" si="62"/>
        <v>1st loop of ProgMgr's Fee Approval Packet review and approval</v>
      </c>
      <c r="C451" s="359"/>
      <c r="D451" s="165"/>
      <c r="E451" s="165"/>
      <c r="F451" s="112"/>
      <c r="G451" s="140">
        <f>AG451</f>
        <v>5</v>
      </c>
      <c r="H451" s="140">
        <f>AH451</f>
        <v>12</v>
      </c>
      <c r="I451" s="532"/>
      <c r="AB451" s="934" t="str">
        <f>"1st loop of "&amp;S.Staff.Program.Mgr.FirstName&amp;"'s Fee Approval Packet review and approval"</f>
        <v>1st loop of ProgMgr's Fee Approval Packet review and approval</v>
      </c>
      <c r="AC451" s="232">
        <f>IF(AND(S.Fee.Involved="Y",S.Fee.DASApprovalRequired="Y"),1,0)</f>
        <v>0</v>
      </c>
      <c r="AD451" s="19"/>
      <c r="AE451" s="19"/>
      <c r="AF451" s="19"/>
      <c r="AG451" s="25">
        <f>H450</f>
        <v>5</v>
      </c>
      <c r="AH451" s="25">
        <f>WORKDAY(G451,5,S.DDL_DEQClosed)</f>
        <v>12</v>
      </c>
      <c r="AI451" s="24"/>
      <c r="AJ451" s="24"/>
      <c r="AK451" s="34"/>
      <c r="AL451" s="364"/>
      <c r="AM451" s="34"/>
    </row>
    <row r="452" spans="1:39" ht="14.1" hidden="1" customHeight="1" outlineLevel="1" thickBot="1" x14ac:dyDescent="0.3">
      <c r="A452" s="85"/>
      <c r="B452" s="230" t="str">
        <f t="shared" si="62"/>
        <v>2nd loop of ProgMgr's Fee Approval Packet review and approval</v>
      </c>
      <c r="C452" s="308" t="s">
        <v>77</v>
      </c>
      <c r="D452" s="165"/>
      <c r="E452" s="165"/>
      <c r="F452" s="112"/>
      <c r="G452" s="140">
        <f>AG452</f>
        <v>0</v>
      </c>
      <c r="H452" s="140">
        <f>AH452</f>
        <v>0</v>
      </c>
      <c r="I452" s="532"/>
      <c r="AB452" s="934" t="str">
        <f>"2nd loop of "&amp;S.Staff.Program.Mgr.FirstName&amp;"'s Fee Approval Packet review and approval"</f>
        <v>2nd loop of ProgMgr's Fee Approval Packet review and approval</v>
      </c>
      <c r="AC452" s="232">
        <f>IF(AND(S.Fee.ApprovePacketLoop2="Y",S.Fee.Involved="Y",S.Fee.DASApprovalRequired="Y"),1,0)</f>
        <v>0</v>
      </c>
      <c r="AD452" s="19"/>
      <c r="AE452" s="19"/>
      <c r="AF452" s="19"/>
      <c r="AG452" s="25">
        <f>IF(S.Fee.ApprovePacketLoop2="N",,H451)</f>
        <v>0</v>
      </c>
      <c r="AH452" s="25">
        <f>IF(S.Fee.ApprovePacketLoop2="N",,S.Notice.SubmitToSOS)</f>
        <v>0</v>
      </c>
      <c r="AI452" s="24" t="s">
        <v>0</v>
      </c>
      <c r="AJ452" s="24"/>
      <c r="AK452" s="34"/>
      <c r="AL452" s="364"/>
      <c r="AM452" s="34"/>
    </row>
    <row r="453" spans="1:39" ht="14.1" hidden="1" customHeight="1" outlineLevel="1" thickBot="1" x14ac:dyDescent="0.3">
      <c r="A453" s="85"/>
      <c r="B453" s="217" t="str">
        <f t="shared" si="62"/>
        <v>3rd loop of ProgMgr's Fee Approval Packet review and approval</v>
      </c>
      <c r="C453" s="350" t="s">
        <v>77</v>
      </c>
      <c r="D453" s="165"/>
      <c r="E453" s="165"/>
      <c r="F453" s="112"/>
      <c r="G453" s="140">
        <f>AG453</f>
        <v>0</v>
      </c>
      <c r="H453" s="140">
        <f>AH453</f>
        <v>0</v>
      </c>
      <c r="I453" s="532"/>
      <c r="AB453" s="934" t="str">
        <f>"3rd loop of "&amp;S.Staff.Program.Mgr.FirstName&amp;"'s Fee Approval Packet review and approval"</f>
        <v>3rd loop of ProgMgr's Fee Approval Packet review and approval</v>
      </c>
      <c r="AC453" s="232">
        <f>IF(AND(S.Fee.ApprovePacketLoop3="Y",S.Fee.Involved="Y",S.Fee.DASApprovalRequired="Y"),1,0)</f>
        <v>0</v>
      </c>
      <c r="AD453" s="19"/>
      <c r="AE453" s="19"/>
      <c r="AF453" s="19"/>
      <c r="AG453" s="25">
        <f>IF(S.Fee.ApprovePacketLoop3="N",,H452)</f>
        <v>0</v>
      </c>
      <c r="AH453" s="25">
        <f>IF(S.Fee.ApprovePacketLoop3="N",,S.Notice.SubmitToSOS)</f>
        <v>0</v>
      </c>
      <c r="AI453" s="24" t="s">
        <v>0</v>
      </c>
      <c r="AJ453" s="24"/>
      <c r="AK453" s="34"/>
      <c r="AL453" s="364"/>
      <c r="AM453" s="34"/>
    </row>
    <row r="454" spans="1:39" ht="14.1" hidden="1" customHeight="1" outlineLevel="1" thickBot="1" x14ac:dyDescent="0.3">
      <c r="A454" s="85"/>
      <c r="B454" s="277" t="str">
        <f t="shared" si="62"/>
        <v>4th loop of ProgMgr's Fee Approval Packet review and approval</v>
      </c>
      <c r="C454" s="350" t="s">
        <v>77</v>
      </c>
      <c r="D454" s="165"/>
      <c r="E454" s="165"/>
      <c r="F454" s="112"/>
      <c r="G454" s="140">
        <f>AG454</f>
        <v>0</v>
      </c>
      <c r="H454" s="140">
        <f>AH454</f>
        <v>0</v>
      </c>
      <c r="I454" s="532"/>
      <c r="AB454" s="934" t="str">
        <f>"4th loop of "&amp;S.Staff.Program.Mgr.FirstName&amp;"'s Fee Approval Packet review and approval"</f>
        <v>4th loop of ProgMgr's Fee Approval Packet review and approval</v>
      </c>
      <c r="AC454" s="232">
        <f>IF(AND(S.Fee.ApprovePacketLoop4="Y",S.Fee.Involved="Y",S.Fee.DASApprovalRequired="Y"),1,0)</f>
        <v>0</v>
      </c>
      <c r="AD454" s="19"/>
      <c r="AE454" s="19"/>
      <c r="AF454" s="19"/>
      <c r="AG454" s="25">
        <f>IF(S.Fee.ApprovePacketLoop4="N",,H453)</f>
        <v>0</v>
      </c>
      <c r="AH454" s="25">
        <f>IF(S.Fee.ApprovePacketLoop4="N",,S.Notice.SubmitToSOS)</f>
        <v>0</v>
      </c>
      <c r="AI454" s="24"/>
      <c r="AJ454" s="24"/>
      <c r="AK454" s="34"/>
      <c r="AL454" s="364"/>
      <c r="AM454" s="34"/>
    </row>
    <row r="455" spans="1:39" ht="14.1" hidden="1" customHeight="1" outlineLevel="1" x14ac:dyDescent="0.2">
      <c r="A455" s="85"/>
      <c r="B455" s="150" t="str">
        <f t="shared" si="62"/>
        <v>RGLead coordinates:</v>
      </c>
      <c r="C455" s="151"/>
      <c r="D455" s="151"/>
      <c r="E455" s="151"/>
      <c r="F455" s="145"/>
      <c r="G455" s="142"/>
      <c r="H455" s="142"/>
      <c r="I455" s="532"/>
      <c r="AB455" s="934" t="str">
        <f>S.Staff.RG.Lead.FirstName&amp;" coordinates:"</f>
        <v>RGLead coordinates:</v>
      </c>
      <c r="AC455" s="232">
        <f t="shared" ref="AC455:AC462" si="63">IF(AND(S.Fee.Involved="Y",S.Fee.DASApprovalRequired="Y"),1,0)</f>
        <v>0</v>
      </c>
      <c r="AD455" s="19"/>
      <c r="AE455" s="19"/>
      <c r="AF455" s="19"/>
      <c r="AG455" s="23"/>
      <c r="AH455" s="23"/>
      <c r="AI455" s="23"/>
      <c r="AJ455" s="16"/>
      <c r="AK455" s="34"/>
      <c r="AL455" s="364"/>
      <c r="AM455" s="34"/>
    </row>
    <row r="456" spans="1:39" s="10" customFormat="1" ht="14.1" hidden="1" customHeight="1" outlineLevel="1" x14ac:dyDescent="0.2">
      <c r="A456" s="94"/>
      <c r="B456" s="152" t="s">
        <v>45</v>
      </c>
      <c r="C456" s="164" t="s">
        <v>0</v>
      </c>
      <c r="D456" s="165"/>
      <c r="E456" s="536"/>
      <c r="F456"/>
      <c r="G456" s="295"/>
      <c r="H456" s="140">
        <f>AH456</f>
        <v>0</v>
      </c>
      <c r="I456" s="532"/>
      <c r="J456"/>
      <c r="K456"/>
      <c r="L456"/>
      <c r="M456"/>
      <c r="N456"/>
      <c r="O456"/>
      <c r="P456"/>
      <c r="Q456"/>
      <c r="R456"/>
      <c r="S456"/>
      <c r="T456"/>
      <c r="U456"/>
      <c r="V456" s="6"/>
      <c r="W456" s="6"/>
      <c r="X456"/>
      <c r="Y456" s="960"/>
      <c r="Z456" s="6"/>
      <c r="AA456" s="6"/>
      <c r="AB456" s="947"/>
      <c r="AC456" s="232">
        <f t="shared" si="63"/>
        <v>0</v>
      </c>
      <c r="AD456" s="19"/>
      <c r="AE456" s="19"/>
      <c r="AF456" s="20"/>
      <c r="AG456" s="23"/>
      <c r="AH456" s="25">
        <f>S.Fee.SubmitToDAS</f>
        <v>0</v>
      </c>
      <c r="AI456" s="24"/>
      <c r="AJ456" s="24"/>
      <c r="AK456" s="975"/>
      <c r="AL456" s="364"/>
      <c r="AM456" s="975"/>
    </row>
    <row r="457" spans="1:39" s="6" customFormat="1" ht="14.1" hidden="1" customHeight="1" outlineLevel="1" x14ac:dyDescent="0.2">
      <c r="A457" s="85"/>
      <c r="B457" s="153" t="s">
        <v>46</v>
      </c>
      <c r="C457" s="151" t="s">
        <v>0</v>
      </c>
      <c r="D457" s="154"/>
      <c r="E457" s="154"/>
      <c r="F457" s="141" t="s">
        <v>0</v>
      </c>
      <c r="G457" s="142"/>
      <c r="H457" s="142"/>
      <c r="I457" s="532"/>
      <c r="J457"/>
      <c r="K457"/>
      <c r="L457"/>
      <c r="M457"/>
      <c r="N457"/>
      <c r="O457"/>
      <c r="P457"/>
      <c r="Q457"/>
      <c r="R457"/>
      <c r="S457"/>
      <c r="T457"/>
      <c r="U457"/>
      <c r="X457"/>
      <c r="Y457" s="960"/>
      <c r="AB457" s="944"/>
      <c r="AC457" s="232">
        <f t="shared" si="63"/>
        <v>0</v>
      </c>
      <c r="AD457" s="19"/>
      <c r="AE457" s="19"/>
      <c r="AF457" s="19"/>
      <c r="AG457" s="23" t="s">
        <v>0</v>
      </c>
      <c r="AH457" s="23"/>
      <c r="AI457" s="23"/>
      <c r="AJ457" s="29"/>
      <c r="AK457" s="34"/>
      <c r="AL457" s="364"/>
      <c r="AM457" s="34"/>
    </row>
    <row r="458" spans="1:39" s="6" customFormat="1" ht="14.1" hidden="1" customHeight="1" outlineLevel="1" x14ac:dyDescent="0.2">
      <c r="A458" s="85"/>
      <c r="B458" s="155" t="s">
        <v>515</v>
      </c>
      <c r="C458" s="151" t="s">
        <v>0</v>
      </c>
      <c r="D458" s="154"/>
      <c r="E458" s="154"/>
      <c r="F458" s="141" t="s">
        <v>0</v>
      </c>
      <c r="G458" s="142"/>
      <c r="H458" s="142"/>
      <c r="I458" s="532"/>
      <c r="J458"/>
      <c r="K458"/>
      <c r="L458"/>
      <c r="M458"/>
      <c r="N458"/>
      <c r="O458"/>
      <c r="P458"/>
      <c r="Q458"/>
      <c r="R458"/>
      <c r="S458"/>
      <c r="T458"/>
      <c r="U458"/>
      <c r="X458"/>
      <c r="Y458" s="960"/>
      <c r="AB458" s="944"/>
      <c r="AC458" s="232">
        <f t="shared" si="63"/>
        <v>0</v>
      </c>
      <c r="AD458" s="19"/>
      <c r="AE458" s="19"/>
      <c r="AF458" s="19"/>
      <c r="AG458" s="23" t="s">
        <v>0</v>
      </c>
      <c r="AH458" s="23"/>
      <c r="AI458" s="23"/>
      <c r="AJ458" s="29"/>
      <c r="AK458" s="34"/>
      <c r="AL458" s="364"/>
      <c r="AM458" s="34"/>
    </row>
    <row r="459" spans="1:39" ht="14.1" hidden="1" customHeight="1" outlineLevel="1" x14ac:dyDescent="0.25">
      <c r="A459" s="85"/>
      <c r="B459" s="124" t="s">
        <v>80</v>
      </c>
      <c r="C459" s="164" t="s">
        <v>0</v>
      </c>
      <c r="D459" s="165"/>
      <c r="E459" s="536"/>
      <c r="F459" s="112"/>
      <c r="G459"/>
      <c r="H459" s="140">
        <f t="shared" ref="H459:H466" si="64">AH459</f>
        <v>0</v>
      </c>
      <c r="I459" s="532"/>
      <c r="AB459" s="947"/>
      <c r="AC459" s="232">
        <f t="shared" si="63"/>
        <v>0</v>
      </c>
      <c r="AD459" s="19"/>
      <c r="AE459" s="19"/>
      <c r="AF459" s="19"/>
      <c r="AG459" s="23" t="s">
        <v>0</v>
      </c>
      <c r="AH459" s="25">
        <f>IF(AC459=0,,WORKDAY(H456+9,1,S.DDL_DEQClosed))</f>
        <v>0</v>
      </c>
      <c r="AI459" s="24"/>
      <c r="AJ459" s="24"/>
      <c r="AK459" s="34"/>
      <c r="AL459" s="364"/>
      <c r="AM459" s="34"/>
    </row>
    <row r="460" spans="1:39" s="6" customFormat="1" ht="14.1" hidden="1" customHeight="1" outlineLevel="1" x14ac:dyDescent="0.2">
      <c r="A460" s="85"/>
      <c r="B460" s="128" t="str">
        <f t="shared" ref="B460:B466" si="65">AB460</f>
        <v>DAS sends ProgLead response</v>
      </c>
      <c r="C460" s="164" t="s">
        <v>0</v>
      </c>
      <c r="D460" s="165"/>
      <c r="E460" s="536"/>
      <c r="F460"/>
      <c r="G460"/>
      <c r="H460" s="148">
        <f t="shared" si="64"/>
        <v>0</v>
      </c>
      <c r="I460" s="532"/>
      <c r="J460"/>
      <c r="K460"/>
      <c r="L460"/>
      <c r="M460"/>
      <c r="N460"/>
      <c r="O460"/>
      <c r="P460"/>
      <c r="Q460"/>
      <c r="R460"/>
      <c r="S460"/>
      <c r="T460"/>
      <c r="U460"/>
      <c r="X460"/>
      <c r="Y460" s="960"/>
      <c r="AB460" s="934" t="str">
        <f>"DAS sends "&amp;S.Staff.Subject.Expert.FirstName&amp;" response"</f>
        <v>DAS sends ProgLead response</v>
      </c>
      <c r="AC460" s="232">
        <f t="shared" si="63"/>
        <v>0</v>
      </c>
      <c r="AD460" s="19"/>
      <c r="AE460" s="19"/>
      <c r="AF460" s="19"/>
      <c r="AG460" s="23" t="s">
        <v>0</v>
      </c>
      <c r="AH460" s="25">
        <f>H459</f>
        <v>0</v>
      </c>
      <c r="AI460" s="24"/>
      <c r="AJ460" s="24"/>
      <c r="AK460" s="34"/>
      <c r="AL460" s="364"/>
      <c r="AM460" s="34"/>
    </row>
    <row r="461" spans="1:39" s="6" customFormat="1" ht="14.1" hidden="1" customHeight="1" outlineLevel="1" x14ac:dyDescent="0.25">
      <c r="A461" s="85"/>
      <c r="B461" s="125" t="str">
        <f t="shared" si="65"/>
        <v>If denied, ProgLead coordinates addressing DAS response</v>
      </c>
      <c r="C461" s="164" t="s">
        <v>0</v>
      </c>
      <c r="D461" s="165"/>
      <c r="E461" s="165"/>
      <c r="F461" s="112"/>
      <c r="G461" s="140">
        <f t="shared" ref="G461:G466" si="66">AG461</f>
        <v>0</v>
      </c>
      <c r="H461" s="140">
        <f t="shared" si="64"/>
        <v>0</v>
      </c>
      <c r="I461" s="532"/>
      <c r="J461"/>
      <c r="K461"/>
      <c r="L461"/>
      <c r="M461"/>
      <c r="N461"/>
      <c r="O461"/>
      <c r="P461"/>
      <c r="Q461"/>
      <c r="R461"/>
      <c r="S461"/>
      <c r="T461"/>
      <c r="U461"/>
      <c r="X461"/>
      <c r="Y461" s="960"/>
      <c r="AB461" s="934" t="str">
        <f>"If denied, "&amp;S.Staff.Subject.Expert.FirstName&amp;" coordinates addressing DAS response"</f>
        <v>If denied, ProgLead coordinates addressing DAS response</v>
      </c>
      <c r="AC461" s="232">
        <f t="shared" si="63"/>
        <v>0</v>
      </c>
      <c r="AD461" s="19"/>
      <c r="AE461" s="19"/>
      <c r="AF461" s="19"/>
      <c r="AG461" s="25">
        <f>H460</f>
        <v>0</v>
      </c>
      <c r="AH461" s="25">
        <f t="shared" ref="AH461:AH466" si="67">G461</f>
        <v>0</v>
      </c>
      <c r="AI461" s="24"/>
      <c r="AJ461" s="24"/>
      <c r="AK461" s="34"/>
      <c r="AL461" s="364"/>
      <c r="AM461" s="34"/>
    </row>
    <row r="462" spans="1:39" ht="14.1" hidden="1" customHeight="1" outlineLevel="1" thickBot="1" x14ac:dyDescent="0.3">
      <c r="A462" s="85"/>
      <c r="B462" s="219" t="str">
        <f t="shared" si="65"/>
        <v>1st loop of ProgMgr's approval of response to DAS denial</v>
      </c>
      <c r="C462" s="352" t="s">
        <v>0</v>
      </c>
      <c r="D462" s="165"/>
      <c r="E462" s="165"/>
      <c r="F462" s="112"/>
      <c r="G462" s="140">
        <f t="shared" si="66"/>
        <v>0</v>
      </c>
      <c r="H462" s="140">
        <f t="shared" si="64"/>
        <v>0</v>
      </c>
      <c r="I462" s="532"/>
      <c r="AB462" s="934" t="str">
        <f>"1st loop of "&amp;S.Staff.Program.Mgr.FirstName&amp;"'s approval of response to DAS denial"</f>
        <v>1st loop of ProgMgr's approval of response to DAS denial</v>
      </c>
      <c r="AC462" s="232">
        <f t="shared" si="63"/>
        <v>0</v>
      </c>
      <c r="AD462" s="19"/>
      <c r="AE462" s="19"/>
      <c r="AF462" s="19"/>
      <c r="AG462" s="25">
        <f>H460</f>
        <v>0</v>
      </c>
      <c r="AH462" s="25">
        <f t="shared" si="67"/>
        <v>0</v>
      </c>
      <c r="AI462" s="24"/>
      <c r="AJ462" s="24"/>
      <c r="AK462" s="34"/>
      <c r="AL462" s="364"/>
      <c r="AM462" s="34"/>
    </row>
    <row r="463" spans="1:39" ht="14.1" hidden="1" customHeight="1" outlineLevel="1" thickBot="1" x14ac:dyDescent="0.3">
      <c r="A463" s="85"/>
      <c r="B463" s="230" t="str">
        <f t="shared" si="65"/>
        <v>2nd loop of ProgMgr's approval of response to DAS denial</v>
      </c>
      <c r="C463" s="308" t="s">
        <v>77</v>
      </c>
      <c r="D463" s="165"/>
      <c r="E463" s="165"/>
      <c r="F463" s="112"/>
      <c r="G463" s="140">
        <f t="shared" si="66"/>
        <v>0</v>
      </c>
      <c r="H463" s="140">
        <f t="shared" si="64"/>
        <v>0</v>
      </c>
      <c r="I463" s="532"/>
      <c r="AB463" s="934" t="str">
        <f>"2nd loop of "&amp;S.Staff.Program.Mgr.FirstName&amp;"'s approval of response to DAS denial"</f>
        <v>2nd loop of ProgMgr's approval of response to DAS denial</v>
      </c>
      <c r="AC463" s="232">
        <f>IF(AND(S.Fee.ApproveDASdenialResponseLoop1="Y",S.Fee.Involved="Y",S.Fee.DASApprovalRequired="Y"),1,0)</f>
        <v>0</v>
      </c>
      <c r="AD463" s="19"/>
      <c r="AE463" s="19"/>
      <c r="AF463" s="19"/>
      <c r="AG463" s="25">
        <f>IF(S.Fee.ApproveDASdenialResponseLoop1="N",,H462)</f>
        <v>0</v>
      </c>
      <c r="AH463" s="25">
        <f t="shared" si="67"/>
        <v>0</v>
      </c>
      <c r="AI463" s="24"/>
      <c r="AJ463" s="24"/>
      <c r="AK463" s="34"/>
      <c r="AL463" s="364"/>
      <c r="AM463" s="34"/>
    </row>
    <row r="464" spans="1:39" ht="14.1" hidden="1" customHeight="1" outlineLevel="1" thickBot="1" x14ac:dyDescent="0.3">
      <c r="A464" s="85"/>
      <c r="B464" s="217" t="str">
        <f t="shared" si="65"/>
        <v>3rd loop of ProgMgr's approval of response to DAS denial</v>
      </c>
      <c r="C464" s="308" t="s">
        <v>77</v>
      </c>
      <c r="D464" s="165"/>
      <c r="E464" s="165"/>
      <c r="F464" s="112"/>
      <c r="G464" s="140">
        <f t="shared" si="66"/>
        <v>0</v>
      </c>
      <c r="H464" s="140">
        <f t="shared" si="64"/>
        <v>0</v>
      </c>
      <c r="I464" s="532"/>
      <c r="AB464" s="934" t="str">
        <f>"3rd loop of "&amp;S.Staff.Program.Mgr.FirstName&amp;"'s approval of response to DAS denial"</f>
        <v>3rd loop of ProgMgr's approval of response to DAS denial</v>
      </c>
      <c r="AC464" s="232">
        <f>IF(AND(S.Fee.ApproveDASdenialResponseLoop2="Y",S.Fee.Involved="Y",S.Fee.DASApprovalRequired="Y"),1,0)</f>
        <v>0</v>
      </c>
      <c r="AD464" s="19"/>
      <c r="AE464" s="19"/>
      <c r="AF464" s="19"/>
      <c r="AG464" s="25">
        <f>IF(S.Fee.ApproveDASdenialResponseLoop2="N",,H463)</f>
        <v>0</v>
      </c>
      <c r="AH464" s="25">
        <f t="shared" si="67"/>
        <v>0</v>
      </c>
      <c r="AI464" s="24"/>
      <c r="AJ464" s="24"/>
      <c r="AK464" s="34"/>
      <c r="AL464" s="364"/>
      <c r="AM464" s="34"/>
    </row>
    <row r="465" spans="1:39" ht="14.1" hidden="1" customHeight="1" outlineLevel="1" thickBot="1" x14ac:dyDescent="0.3">
      <c r="A465" s="85"/>
      <c r="B465" s="277" t="str">
        <f t="shared" si="65"/>
        <v>4th loop of ProgMgr's approval of response to DAS denial</v>
      </c>
      <c r="C465" s="308" t="s">
        <v>77</v>
      </c>
      <c r="D465" s="165"/>
      <c r="E465" s="165"/>
      <c r="F465" s="112"/>
      <c r="G465" s="140">
        <f t="shared" si="66"/>
        <v>0</v>
      </c>
      <c r="H465" s="140">
        <f t="shared" si="64"/>
        <v>0</v>
      </c>
      <c r="I465" s="532"/>
      <c r="AB465" s="934" t="str">
        <f>"4th loop of "&amp;S.Staff.Program.Mgr.FirstName&amp;"'s approval of response to DAS denial"</f>
        <v>4th loop of ProgMgr's approval of response to DAS denial</v>
      </c>
      <c r="AC465" s="232">
        <f>IF(AND(S.Fee.ApproveDASdenialResponseLoop4="Y",S.Fee.Involved="Y",S.Fee.DASApprovalRequired="Y"),1,0)</f>
        <v>0</v>
      </c>
      <c r="AD465" s="19"/>
      <c r="AE465" s="19"/>
      <c r="AF465" s="19"/>
      <c r="AG465" s="25">
        <f>IF(S.Fee.ApproveDASdenialResponseLoop4="N",,H464)</f>
        <v>0</v>
      </c>
      <c r="AH465" s="25">
        <f t="shared" si="67"/>
        <v>0</v>
      </c>
      <c r="AI465" s="24"/>
      <c r="AJ465" s="24"/>
      <c r="AK465" s="34"/>
      <c r="AL465" s="364"/>
      <c r="AM465" s="34"/>
    </row>
    <row r="466" spans="1:39" s="6" customFormat="1" ht="14.1" hidden="1" customHeight="1" outlineLevel="1" x14ac:dyDescent="0.25">
      <c r="A466" s="85"/>
      <c r="B466" s="158" t="str">
        <f t="shared" si="65"/>
        <v>If approved, ProgLead scans and files DAS.PART1.pdf</v>
      </c>
      <c r="C466" s="164" t="s">
        <v>0</v>
      </c>
      <c r="D466" s="165"/>
      <c r="E466" s="536"/>
      <c r="F466" s="112"/>
      <c r="G466" s="366">
        <f t="shared" si="66"/>
        <v>0</v>
      </c>
      <c r="H466" s="148">
        <f t="shared" si="64"/>
        <v>0</v>
      </c>
      <c r="I466" s="532"/>
      <c r="J466"/>
      <c r="K466"/>
      <c r="L466"/>
      <c r="M466"/>
      <c r="N466"/>
      <c r="O466"/>
      <c r="P466"/>
      <c r="Q466"/>
      <c r="R466"/>
      <c r="S466"/>
      <c r="T466"/>
      <c r="U466"/>
      <c r="X466"/>
      <c r="Y466" s="960"/>
      <c r="AB466" s="932" t="str">
        <f>"If approved, "&amp;S.Staff.Subject.Expert.FirstName&amp;" scans and files DAS.PART1.pdf"</f>
        <v>If approved, ProgLead scans and files DAS.PART1.pdf</v>
      </c>
      <c r="AC466" s="232">
        <f>IF(AND(S.Fee.Involved="Y",S.Fee.DASApprovalRequired="Y"),1,0)</f>
        <v>0</v>
      </c>
      <c r="AD466" s="19"/>
      <c r="AE466" s="19"/>
      <c r="AF466" s="19"/>
      <c r="AG466" s="25">
        <f>H460</f>
        <v>0</v>
      </c>
      <c r="AH466" s="25">
        <f t="shared" si="67"/>
        <v>0</v>
      </c>
      <c r="AI466" s="24"/>
      <c r="AJ466" s="24"/>
      <c r="AK466" s="34"/>
      <c r="AL466" s="364"/>
      <c r="AM466" s="34"/>
    </row>
    <row r="467" spans="1:39" s="6" customFormat="1" ht="14.1" hidden="1" customHeight="1" outlineLevel="1" x14ac:dyDescent="0.25">
      <c r="A467" s="85"/>
      <c r="B467" s="156" t="s">
        <v>516</v>
      </c>
      <c r="C467" s="151" t="s">
        <v>0</v>
      </c>
      <c r="D467" s="157"/>
      <c r="E467" s="157"/>
      <c r="F467" s="112"/>
      <c r="G467" s="142"/>
      <c r="H467" s="142"/>
      <c r="I467" s="532"/>
      <c r="J467"/>
      <c r="K467"/>
      <c r="L467"/>
      <c r="M467"/>
      <c r="N467"/>
      <c r="O467"/>
      <c r="P467"/>
      <c r="Q467"/>
      <c r="R467"/>
      <c r="S467"/>
      <c r="T467"/>
      <c r="U467"/>
      <c r="X467"/>
      <c r="Y467" s="960"/>
      <c r="AB467" s="944"/>
      <c r="AC467" s="232">
        <f>IF(AND(S.Fee.Involved="Y",S.Fee.DASApprovalRequired="Y"),1,0)</f>
        <v>0</v>
      </c>
      <c r="AD467" s="19"/>
      <c r="AE467" s="19"/>
      <c r="AF467" s="19"/>
      <c r="AG467" s="23" t="s">
        <v>0</v>
      </c>
      <c r="AH467" s="23"/>
      <c r="AI467" s="23"/>
      <c r="AJ467" s="29"/>
      <c r="AK467" s="34"/>
      <c r="AL467" s="364"/>
      <c r="AM467" s="34"/>
    </row>
    <row r="468" spans="1:39" s="6" customFormat="1" ht="14.1" hidden="1" customHeight="1" outlineLevel="1" x14ac:dyDescent="0.25">
      <c r="A468" s="85"/>
      <c r="B468" s="126" t="str">
        <f>AB468</f>
        <v>ProgLead gathers all fee emails for the Rule Record and saves as:</v>
      </c>
      <c r="C468" s="327" t="str">
        <f>HYPERLINK("\\deqhq1\Rule_Development\Currrent Plan","i")</f>
        <v>i</v>
      </c>
      <c r="D468" s="165"/>
      <c r="E468" s="165"/>
      <c r="F468" s="112"/>
      <c r="G468" s="140">
        <f>AG468</f>
        <v>0</v>
      </c>
      <c r="H468" s="140">
        <f>AH468</f>
        <v>0</v>
      </c>
      <c r="I468" s="532"/>
      <c r="J468"/>
      <c r="K468"/>
      <c r="L468"/>
      <c r="M468"/>
      <c r="N468"/>
      <c r="O468"/>
      <c r="P468"/>
      <c r="Q468"/>
      <c r="R468"/>
      <c r="S468"/>
      <c r="T468"/>
      <c r="U468"/>
      <c r="X468"/>
      <c r="Y468" s="960"/>
      <c r="AB468" s="932" t="str">
        <f>S.Staff.Subject.Expert.FirstName&amp;" gathers all fee emails for the Rule Record and saves as:"</f>
        <v>ProgLead gathers all fee emails for the Rule Record and saves as:</v>
      </c>
      <c r="AC468" s="232">
        <f>IF(AND(S.Fee.Involved="Y",S.Fee.DASApprovalRequired="Y"),1,0)</f>
        <v>0</v>
      </c>
      <c r="AD468" s="19"/>
      <c r="AE468" s="19"/>
      <c r="AF468" s="19"/>
      <c r="AG468" s="25">
        <f>H462</f>
        <v>0</v>
      </c>
      <c r="AH468" s="25">
        <f>G468</f>
        <v>0</v>
      </c>
      <c r="AI468" s="23"/>
      <c r="AJ468" s="29"/>
      <c r="AK468" s="34"/>
      <c r="AL468" s="364"/>
      <c r="AM468" s="34"/>
    </row>
    <row r="469" spans="1:39" s="6" customFormat="1" ht="14.1" hidden="1" customHeight="1" outlineLevel="1" x14ac:dyDescent="0.2">
      <c r="A469" s="85"/>
      <c r="B469" s="125" t="s">
        <v>50</v>
      </c>
      <c r="C469" s="151"/>
      <c r="D469" s="151"/>
      <c r="E469" s="151"/>
      <c r="F469" s="145"/>
      <c r="G469" s="142"/>
      <c r="H469" s="142"/>
      <c r="I469" s="532"/>
      <c r="J469"/>
      <c r="K469"/>
      <c r="L469"/>
      <c r="M469"/>
      <c r="N469"/>
      <c r="O469"/>
      <c r="P469"/>
      <c r="Q469"/>
      <c r="R469"/>
      <c r="S469"/>
      <c r="T469"/>
      <c r="U469"/>
      <c r="X469"/>
      <c r="Y469" s="960"/>
      <c r="AB469" s="926" t="s">
        <v>0</v>
      </c>
      <c r="AC469" s="232">
        <f>IF(S.Fee.Involved="Y",1,0)</f>
        <v>0</v>
      </c>
      <c r="AD469" s="19"/>
      <c r="AE469" s="19"/>
      <c r="AF469" s="19"/>
      <c r="AG469" s="23"/>
      <c r="AH469" s="23"/>
      <c r="AI469" s="23"/>
      <c r="AJ469" s="16"/>
      <c r="AK469" s="34"/>
      <c r="AL469" s="364"/>
      <c r="AM469" s="34"/>
    </row>
    <row r="470" spans="1:39" ht="13.5" customHeight="1" collapsed="1" x14ac:dyDescent="0.2">
      <c r="A470" s="85"/>
      <c r="B470" s="69"/>
      <c r="C470" s="54"/>
      <c r="D470" s="70"/>
      <c r="E470" s="70"/>
      <c r="F470" s="39"/>
      <c r="G470" s="71"/>
      <c r="H470" s="72"/>
      <c r="I470" s="532"/>
      <c r="AB470" s="947"/>
      <c r="AC470" s="232" t="s">
        <v>0</v>
      </c>
      <c r="AD470" s="19"/>
      <c r="AE470" s="19"/>
      <c r="AF470" s="19"/>
      <c r="AG470" s="18"/>
      <c r="AH470" s="18"/>
      <c r="AI470" s="24"/>
      <c r="AJ470" s="24"/>
      <c r="AK470" s="34"/>
      <c r="AL470" s="364"/>
      <c r="AM470" s="34"/>
    </row>
    <row r="471" spans="1:39" s="6" customFormat="1" ht="20.25" customHeight="1" x14ac:dyDescent="0.3">
      <c r="A471" s="85"/>
      <c r="B471" s="1044" t="str">
        <f>AB22</f>
        <v>Public Notice</v>
      </c>
      <c r="C471" s="1044"/>
      <c r="D471" s="1044"/>
      <c r="E471" s="1044"/>
      <c r="F471" s="1044"/>
      <c r="G471" s="1044"/>
      <c r="H471" s="1044"/>
      <c r="I471" s="532"/>
      <c r="J471"/>
      <c r="K471"/>
      <c r="L471"/>
      <c r="M471"/>
      <c r="N471"/>
      <c r="O471"/>
      <c r="P471"/>
      <c r="Q471"/>
      <c r="R471"/>
      <c r="S471"/>
      <c r="T471"/>
      <c r="U471"/>
      <c r="X471"/>
      <c r="Y471" s="960"/>
      <c r="AB471" s="926"/>
      <c r="AC471" s="232" t="s">
        <v>0</v>
      </c>
      <c r="AD471" s="19"/>
      <c r="AE471" s="19"/>
      <c r="AF471" s="19"/>
      <c r="AG471" s="35"/>
      <c r="AH471" s="35"/>
      <c r="AI471" s="24"/>
      <c r="AJ471" s="30"/>
      <c r="AK471" s="34"/>
      <c r="AL471" s="364"/>
      <c r="AM471" s="34"/>
    </row>
    <row r="472" spans="1:39" s="6" customFormat="1" ht="14.1" hidden="1" customHeight="1" outlineLevel="1" x14ac:dyDescent="0.2">
      <c r="A472" s="85"/>
      <c r="B472" s="702" t="str">
        <f>S.General.CodeName</f>
        <v>CodeName</v>
      </c>
      <c r="C472" s="42" t="s">
        <v>0</v>
      </c>
      <c r="D472" s="100"/>
      <c r="E472" s="100"/>
      <c r="F472" s="100"/>
      <c r="G472" s="243" t="s">
        <v>26</v>
      </c>
      <c r="H472" s="243" t="s">
        <v>57</v>
      </c>
      <c r="I472" s="532"/>
      <c r="J472"/>
      <c r="K472"/>
      <c r="L472"/>
      <c r="M472"/>
      <c r="N472"/>
      <c r="O472"/>
      <c r="P472"/>
      <c r="Q472"/>
      <c r="R472"/>
      <c r="S472"/>
      <c r="T472"/>
      <c r="U472"/>
      <c r="X472"/>
      <c r="Y472" s="960"/>
      <c r="AB472" s="926"/>
      <c r="AC472" s="232" t="s">
        <v>0</v>
      </c>
      <c r="AD472" s="19"/>
      <c r="AE472" s="19"/>
      <c r="AF472" s="19"/>
      <c r="AG472" s="35"/>
      <c r="AH472" s="35"/>
      <c r="AI472" s="24"/>
      <c r="AJ472" s="30"/>
      <c r="AK472" s="34"/>
      <c r="AL472" s="364"/>
      <c r="AM472" s="34"/>
    </row>
    <row r="473" spans="1:39" ht="14.1" hidden="1" customHeight="1" outlineLevel="1" x14ac:dyDescent="0.25">
      <c r="A473" s="85"/>
      <c r="B473" s="1067" t="s">
        <v>0</v>
      </c>
      <c r="C473" s="1067"/>
      <c r="D473" s="1067"/>
      <c r="E473" s="1067"/>
      <c r="F473" s="1067"/>
      <c r="G473" s="104">
        <f>S.4Notice.BEGIN</f>
        <v>0</v>
      </c>
      <c r="H473" s="75">
        <f>S.4Notice.END</f>
        <v>0</v>
      </c>
      <c r="I473" s="532"/>
      <c r="AB473" s="947"/>
      <c r="AC473" s="232" t="s">
        <v>0</v>
      </c>
      <c r="AD473" s="19"/>
      <c r="AE473" s="19"/>
      <c r="AF473" s="19"/>
      <c r="AG473" s="35"/>
      <c r="AH473" s="35"/>
      <c r="AI473" s="24"/>
      <c r="AJ473" s="24"/>
      <c r="AK473" s="34"/>
      <c r="AL473" s="364"/>
      <c r="AM473" s="34"/>
    </row>
    <row r="474" spans="1:39" ht="6" hidden="1" customHeight="1" outlineLevel="1" x14ac:dyDescent="0.2">
      <c r="A474" s="85">
        <v>111</v>
      </c>
      <c r="B474" s="73"/>
      <c r="C474" s="52"/>
      <c r="D474" s="485"/>
      <c r="E474" s="485"/>
      <c r="F474" s="53"/>
      <c r="G474" s="52"/>
      <c r="H474" s="52"/>
      <c r="I474" s="532"/>
      <c r="AB474" s="944"/>
      <c r="AC474" s="232" t="s">
        <v>0</v>
      </c>
      <c r="AD474" s="19"/>
      <c r="AE474" s="19"/>
      <c r="AF474" s="19"/>
      <c r="AG474" s="18"/>
      <c r="AH474" s="18"/>
      <c r="AI474" s="18"/>
      <c r="AJ474" s="16"/>
      <c r="AK474" s="34"/>
      <c r="AL474" s="364"/>
      <c r="AM474" s="34"/>
    </row>
    <row r="475" spans="1:39" s="6" customFormat="1" ht="14.1" hidden="1" customHeight="1" outlineLevel="1" x14ac:dyDescent="0.2">
      <c r="A475" s="85"/>
      <c r="B475" s="349" t="s">
        <v>414</v>
      </c>
      <c r="C475" s="327" t="str">
        <f>HYPERLINK("\\deqhq1\Rule_Resources\i\0-VersionHistory.pdf","i")</f>
        <v>i</v>
      </c>
      <c r="D475" s="486"/>
      <c r="E475" s="486"/>
      <c r="F475" s="39"/>
      <c r="G475" s="38"/>
      <c r="H475" s="38"/>
      <c r="I475" s="532"/>
      <c r="J475"/>
      <c r="K475"/>
      <c r="L475"/>
      <c r="M475"/>
      <c r="N475"/>
      <c r="O475"/>
      <c r="P475"/>
      <c r="Q475"/>
      <c r="R475"/>
      <c r="S475"/>
      <c r="T475"/>
      <c r="U475"/>
      <c r="X475"/>
      <c r="Y475" s="960"/>
      <c r="AB475" s="929"/>
      <c r="AC475" s="233" t="s">
        <v>0</v>
      </c>
      <c r="AD475" s="19"/>
      <c r="AE475" s="19"/>
      <c r="AF475" s="19"/>
      <c r="AG475" s="18"/>
      <c r="AH475" s="24"/>
      <c r="AI475" s="31"/>
      <c r="AJ475" s="31"/>
      <c r="AK475" s="34"/>
      <c r="AL475" s="364"/>
      <c r="AM475" s="34"/>
    </row>
    <row r="476" spans="1:39" s="883" customFormat="1" ht="16.5" hidden="1" customHeight="1" outlineLevel="1" x14ac:dyDescent="0.2">
      <c r="A476" s="85"/>
      <c r="B476" s="789" t="s">
        <v>654</v>
      </c>
      <c r="C476" s="188"/>
      <c r="D476" s="515"/>
      <c r="E476" s="651"/>
      <c r="H476" s="142"/>
      <c r="I476" s="532"/>
      <c r="Y476" s="960"/>
      <c r="AB476" s="944"/>
      <c r="AC476" s="232">
        <f>IF(S.Fee.Involved="Y",1,0)</f>
        <v>0</v>
      </c>
      <c r="AD476" s="19"/>
      <c r="AE476" s="19"/>
      <c r="AF476" s="19"/>
      <c r="AG476" s="33"/>
      <c r="AH476" s="36"/>
      <c r="AI476" s="24"/>
      <c r="AJ476" s="26"/>
      <c r="AK476" s="34"/>
      <c r="AL476" s="364"/>
      <c r="AM476" s="34"/>
    </row>
    <row r="477" spans="1:39" s="6" customFormat="1" ht="20.25" hidden="1" customHeight="1" outlineLevel="1" thickBot="1" x14ac:dyDescent="0.25">
      <c r="A477" s="85"/>
      <c r="B477" s="334" t="s">
        <v>320</v>
      </c>
      <c r="D477" s="499"/>
      <c r="E477" s="499"/>
      <c r="I477" s="532"/>
      <c r="Y477" s="960"/>
      <c r="AB477" s="751"/>
      <c r="AC477" s="232">
        <f t="shared" ref="AC477" si="68">IF(S.Notice.Involved="Y",1,0)</f>
        <v>1</v>
      </c>
      <c r="AD477" s="19"/>
      <c r="AE477" s="19"/>
      <c r="AF477" s="19"/>
      <c r="AG477" s="24"/>
      <c r="AH477" s="24"/>
      <c r="AI477" s="24"/>
      <c r="AJ477" s="27"/>
      <c r="AK477" s="34"/>
      <c r="AL477" s="364"/>
      <c r="AM477" s="34"/>
    </row>
    <row r="478" spans="1:39" ht="14.1" hidden="1" customHeight="1" outlineLevel="1" x14ac:dyDescent="0.2">
      <c r="A478" s="85"/>
      <c r="B478" s="136" t="str">
        <f>AB478</f>
        <v>ProgLead leads core team in developing Notice Packet that includes:</v>
      </c>
      <c r="C478" s="356" t="s">
        <v>0</v>
      </c>
      <c r="D478" s="507"/>
      <c r="E478" s="643"/>
      <c r="F478" s="6"/>
      <c r="G478" s="682">
        <f t="shared" ref="G478" si="69">AG478</f>
        <v>0</v>
      </c>
      <c r="H478" s="683">
        <f t="shared" ref="H478" si="70">AH478</f>
        <v>42097</v>
      </c>
      <c r="I478" s="532"/>
      <c r="AB478" s="934" t="str">
        <f>S.Staff.Subject.Expert.FirstName&amp;" leads core team in developing Notice Packet that includes:"</f>
        <v>ProgLead leads core team in developing Notice Packet that includes:</v>
      </c>
      <c r="AC478" s="232">
        <f t="shared" ref="AC478:AC497" si="71">$AC$477</f>
        <v>1</v>
      </c>
      <c r="AD478" s="19"/>
      <c r="AE478" s="19"/>
      <c r="AF478" s="19"/>
      <c r="AG478" s="372">
        <f>IF(AC478=0,,S.4Notice.BEGIN)</f>
        <v>0</v>
      </c>
      <c r="AH478" s="372">
        <f>IF(AC478=0,,WORKDAY(S.Notice.Submit.ToSponsoringMgr-1,-1,S.DDL_DEQClosed))</f>
        <v>42097</v>
      </c>
      <c r="AI478" s="18"/>
      <c r="AJ478" s="16"/>
      <c r="AK478" s="34"/>
      <c r="AL478" s="364"/>
      <c r="AM478" s="34"/>
    </row>
    <row r="479" spans="1:39" s="6" customFormat="1" ht="14.1" hidden="1" customHeight="1" outlineLevel="1" x14ac:dyDescent="0.2">
      <c r="A479" s="85"/>
      <c r="B479" s="135" t="s">
        <v>579</v>
      </c>
      <c r="C479" s="356" t="s">
        <v>0</v>
      </c>
      <c r="D479" s="507"/>
      <c r="F479"/>
      <c r="G479" s="13"/>
      <c r="H479" s="13"/>
      <c r="I479" s="532"/>
      <c r="Y479" s="960"/>
      <c r="AB479" s="751"/>
      <c r="AC479" s="232">
        <f t="shared" si="71"/>
        <v>1</v>
      </c>
      <c r="AD479" s="19"/>
      <c r="AE479" s="19"/>
      <c r="AF479" s="19"/>
      <c r="AG479" s="23"/>
      <c r="AH479" s="23"/>
      <c r="AI479" s="24"/>
      <c r="AJ479" s="24"/>
      <c r="AK479" s="34"/>
      <c r="AL479" s="364"/>
      <c r="AM479" s="34"/>
    </row>
    <row r="480" spans="1:39" s="883" customFormat="1" ht="14.1" hidden="1" customHeight="1" outlineLevel="1" x14ac:dyDescent="0.2">
      <c r="A480" s="85"/>
      <c r="B480" s="914" t="s">
        <v>667</v>
      </c>
      <c r="C480" s="164" t="s">
        <v>0</v>
      </c>
      <c r="G480" s="13"/>
      <c r="H480" s="13"/>
      <c r="I480" s="532"/>
      <c r="Y480" s="960"/>
      <c r="AB480" s="944"/>
      <c r="AC480" s="232">
        <f t="shared" si="71"/>
        <v>1</v>
      </c>
      <c r="AD480" s="19"/>
      <c r="AE480" s="19"/>
      <c r="AF480" s="19"/>
      <c r="AG480" s="23"/>
      <c r="AH480" s="23"/>
      <c r="AI480" s="24"/>
      <c r="AJ480" s="24"/>
      <c r="AK480" s="34"/>
      <c r="AL480" s="364"/>
      <c r="AM480" s="34"/>
    </row>
    <row r="481" spans="1:39" s="883" customFormat="1" ht="14.1" hidden="1" customHeight="1" outlineLevel="1" x14ac:dyDescent="0.25">
      <c r="A481" s="85"/>
      <c r="B481" s="915" t="s">
        <v>666</v>
      </c>
      <c r="C481" s="164" t="s">
        <v>0</v>
      </c>
      <c r="G481" s="13"/>
      <c r="H481" s="13"/>
      <c r="I481" s="532"/>
      <c r="Y481" s="960"/>
      <c r="AB481" s="944"/>
      <c r="AC481" s="232">
        <f t="shared" si="71"/>
        <v>1</v>
      </c>
      <c r="AD481" s="19"/>
      <c r="AE481" s="19"/>
      <c r="AF481" s="19"/>
      <c r="AG481" s="23"/>
      <c r="AH481" s="23"/>
      <c r="AI481" s="24"/>
      <c r="AJ481" s="24"/>
      <c r="AK481" s="34"/>
      <c r="AL481" s="364"/>
      <c r="AM481" s="34"/>
    </row>
    <row r="482" spans="1:39" s="6" customFormat="1" ht="14.1" hidden="1" customHeight="1" outlineLevel="1" x14ac:dyDescent="0.2">
      <c r="A482" s="85"/>
      <c r="B482" s="184" t="s">
        <v>580</v>
      </c>
      <c r="C482" s="353"/>
      <c r="D482" s="507"/>
      <c r="F482"/>
      <c r="G482" s="13"/>
      <c r="H482" s="13"/>
      <c r="I482" s="532"/>
      <c r="Y482" s="960"/>
      <c r="AB482" s="944"/>
      <c r="AC482" s="232">
        <f t="shared" si="71"/>
        <v>1</v>
      </c>
      <c r="AD482" s="19"/>
      <c r="AE482" s="19"/>
      <c r="AF482" s="19"/>
      <c r="AG482" s="23"/>
      <c r="AH482" s="23"/>
      <c r="AI482" s="24"/>
      <c r="AJ482" s="24"/>
      <c r="AK482" s="34"/>
      <c r="AL482" s="364"/>
      <c r="AM482" s="34"/>
    </row>
    <row r="483" spans="1:39" s="6" customFormat="1" ht="14.1" hidden="1" customHeight="1" outlineLevel="1" x14ac:dyDescent="0.2">
      <c r="A483" s="85"/>
      <c r="B483" s="553" t="s">
        <v>347</v>
      </c>
      <c r="C483" s="164" t="s">
        <v>0</v>
      </c>
      <c r="D483"/>
      <c r="G483" s="13"/>
      <c r="H483" s="13"/>
      <c r="I483" s="532"/>
      <c r="Y483" s="960"/>
      <c r="AB483" s="944"/>
      <c r="AC483" s="232">
        <f t="shared" si="71"/>
        <v>1</v>
      </c>
      <c r="AD483" s="19"/>
      <c r="AE483" s="19"/>
      <c r="AF483" s="19"/>
      <c r="AG483" s="23"/>
      <c r="AH483" s="23"/>
      <c r="AI483" s="24"/>
      <c r="AJ483" s="24"/>
      <c r="AK483" s="34"/>
      <c r="AL483" s="364"/>
      <c r="AM483" s="34"/>
    </row>
    <row r="484" spans="1:39" s="6" customFormat="1" ht="14.1" hidden="1" customHeight="1" outlineLevel="1" x14ac:dyDescent="0.2">
      <c r="A484" s="85"/>
      <c r="B484" s="553" t="s">
        <v>348</v>
      </c>
      <c r="C484" s="164" t="s">
        <v>0</v>
      </c>
      <c r="D484"/>
      <c r="G484" s="13"/>
      <c r="H484" s="13"/>
      <c r="I484" s="532"/>
      <c r="Y484" s="960"/>
      <c r="AB484" s="944"/>
      <c r="AC484" s="232">
        <f t="shared" si="71"/>
        <v>1</v>
      </c>
      <c r="AD484" s="19"/>
      <c r="AE484" s="19"/>
      <c r="AF484" s="19"/>
      <c r="AG484" s="23"/>
      <c r="AH484" s="23"/>
      <c r="AI484" s="24"/>
      <c r="AJ484" s="24"/>
      <c r="AK484" s="34"/>
      <c r="AL484" s="364"/>
      <c r="AM484" s="34"/>
    </row>
    <row r="485" spans="1:39" s="6" customFormat="1" ht="14.1" hidden="1" customHeight="1" outlineLevel="1" x14ac:dyDescent="0.2">
      <c r="A485" s="85"/>
      <c r="B485" s="553" t="s">
        <v>349</v>
      </c>
      <c r="C485" s="164" t="s">
        <v>0</v>
      </c>
      <c r="D485"/>
      <c r="G485" s="13"/>
      <c r="H485" s="13"/>
      <c r="I485" s="532"/>
      <c r="Y485" s="960"/>
      <c r="AB485" s="944"/>
      <c r="AC485" s="232">
        <f t="shared" si="71"/>
        <v>1</v>
      </c>
      <c r="AD485" s="19"/>
      <c r="AE485" s="19"/>
      <c r="AF485" s="19"/>
      <c r="AG485" s="23"/>
      <c r="AH485" s="23"/>
      <c r="AI485" s="24"/>
      <c r="AJ485" s="24"/>
      <c r="AK485" s="34"/>
      <c r="AL485" s="364"/>
      <c r="AM485" s="34"/>
    </row>
    <row r="486" spans="1:39" s="6" customFormat="1" ht="14.1" hidden="1" customHeight="1" outlineLevel="1" x14ac:dyDescent="0.2">
      <c r="A486" s="85"/>
      <c r="B486" s="553" t="s">
        <v>350</v>
      </c>
      <c r="C486" s="164" t="s">
        <v>0</v>
      </c>
      <c r="G486" s="13"/>
      <c r="H486" s="13"/>
      <c r="I486" s="532"/>
      <c r="Y486" s="960"/>
      <c r="AB486" s="944"/>
      <c r="AC486" s="232">
        <f t="shared" si="71"/>
        <v>1</v>
      </c>
      <c r="AD486" s="19"/>
      <c r="AE486" s="19"/>
      <c r="AF486" s="19"/>
      <c r="AG486" s="23"/>
      <c r="AH486" s="23"/>
      <c r="AI486" s="24"/>
      <c r="AJ486" s="24"/>
      <c r="AK486" s="34"/>
      <c r="AL486" s="364"/>
      <c r="AM486" s="34"/>
    </row>
    <row r="487" spans="1:39" s="6" customFormat="1" ht="14.1" hidden="1" customHeight="1" outlineLevel="1" x14ac:dyDescent="0.2">
      <c r="A487" s="85"/>
      <c r="B487" s="553" t="s">
        <v>351</v>
      </c>
      <c r="C487" s="164" t="s">
        <v>0</v>
      </c>
      <c r="G487" s="13"/>
      <c r="H487" s="13"/>
      <c r="I487" s="532"/>
      <c r="Y487" s="960"/>
      <c r="AB487" s="944"/>
      <c r="AC487" s="232">
        <f t="shared" si="71"/>
        <v>1</v>
      </c>
      <c r="AD487" s="19"/>
      <c r="AE487" s="19"/>
      <c r="AF487" s="19"/>
      <c r="AG487" s="23"/>
      <c r="AH487" s="23"/>
      <c r="AI487" s="24"/>
      <c r="AJ487" s="24"/>
      <c r="AK487" s="34"/>
      <c r="AL487" s="364"/>
      <c r="AM487" s="34"/>
    </row>
    <row r="488" spans="1:39" s="6" customFormat="1" ht="14.1" hidden="1" customHeight="1" outlineLevel="1" x14ac:dyDescent="0.2">
      <c r="A488" s="85"/>
      <c r="B488" s="553" t="s">
        <v>352</v>
      </c>
      <c r="C488" s="164" t="s">
        <v>0</v>
      </c>
      <c r="D488"/>
      <c r="G488" s="13"/>
      <c r="H488" s="13"/>
      <c r="I488" s="532"/>
      <c r="Y488" s="960"/>
      <c r="AB488" s="944"/>
      <c r="AC488" s="232">
        <f t="shared" si="71"/>
        <v>1</v>
      </c>
      <c r="AD488" s="19"/>
      <c r="AE488" s="19"/>
      <c r="AF488" s="19"/>
      <c r="AG488" s="23"/>
      <c r="AH488" s="23"/>
      <c r="AI488" s="24"/>
      <c r="AJ488" s="24"/>
      <c r="AK488" s="34"/>
      <c r="AL488" s="364"/>
      <c r="AM488" s="34"/>
    </row>
    <row r="489" spans="1:39" s="6" customFormat="1" ht="14.1" hidden="1" customHeight="1" outlineLevel="1" x14ac:dyDescent="0.2">
      <c r="A489" s="85"/>
      <c r="B489" s="553" t="s">
        <v>353</v>
      </c>
      <c r="C489" s="164" t="s">
        <v>0</v>
      </c>
      <c r="D489"/>
      <c r="G489" s="13"/>
      <c r="H489" s="13"/>
      <c r="I489" s="532"/>
      <c r="Y489" s="960"/>
      <c r="AB489" s="944"/>
      <c r="AC489" s="232">
        <f t="shared" si="71"/>
        <v>1</v>
      </c>
      <c r="AD489" s="19"/>
      <c r="AE489" s="19"/>
      <c r="AF489" s="19"/>
      <c r="AG489" s="23"/>
      <c r="AH489" s="23"/>
      <c r="AI489" s="24"/>
      <c r="AJ489" s="24"/>
      <c r="AK489" s="34"/>
      <c r="AL489" s="364"/>
      <c r="AM489" s="34"/>
    </row>
    <row r="490" spans="1:39" s="6" customFormat="1" ht="14.1" hidden="1" customHeight="1" outlineLevel="1" x14ac:dyDescent="0.2">
      <c r="A490" s="85"/>
      <c r="B490" s="554" t="s">
        <v>354</v>
      </c>
      <c r="C490" s="164" t="s">
        <v>0</v>
      </c>
      <c r="D490"/>
      <c r="G490" s="13"/>
      <c r="H490" s="13"/>
      <c r="I490" s="532"/>
      <c r="Y490" s="960"/>
      <c r="AB490" s="944"/>
      <c r="AC490" s="232">
        <f t="shared" si="71"/>
        <v>1</v>
      </c>
      <c r="AD490" s="19"/>
      <c r="AE490" s="19"/>
      <c r="AF490" s="19"/>
      <c r="AG490" s="23"/>
      <c r="AH490" s="23"/>
      <c r="AI490" s="24"/>
      <c r="AJ490" s="24"/>
      <c r="AK490" s="34"/>
      <c r="AL490" s="364"/>
      <c r="AM490" s="34"/>
    </row>
    <row r="491" spans="1:39" s="6" customFormat="1" ht="14.1" hidden="1" customHeight="1" outlineLevel="1" x14ac:dyDescent="0.2">
      <c r="A491" s="85"/>
      <c r="B491" s="135" t="s">
        <v>581</v>
      </c>
      <c r="C491" s="356" t="s">
        <v>0</v>
      </c>
      <c r="D491" s="507"/>
      <c r="F491"/>
      <c r="G491" s="13"/>
      <c r="H491" s="13"/>
      <c r="I491" s="532"/>
      <c r="Y491" s="960"/>
      <c r="AB491" s="944"/>
      <c r="AC491" s="232">
        <f t="shared" si="71"/>
        <v>1</v>
      </c>
      <c r="AD491" s="19"/>
      <c r="AE491" s="19"/>
      <c r="AF491" s="19"/>
      <c r="AG491" s="23"/>
      <c r="AH491" s="23"/>
      <c r="AI491" s="24"/>
      <c r="AJ491" s="24"/>
      <c r="AK491" s="34"/>
      <c r="AL491" s="364"/>
      <c r="AM491" s="34"/>
    </row>
    <row r="492" spans="1:39" s="6" customFormat="1" ht="14.1" hidden="1" customHeight="1" outlineLevel="1" x14ac:dyDescent="0.2">
      <c r="A492" s="85"/>
      <c r="B492" s="265" t="s">
        <v>582</v>
      </c>
      <c r="D492" s="507"/>
      <c r="E492" s="499"/>
      <c r="G492" s="13"/>
      <c r="H492" s="13"/>
      <c r="I492" s="532"/>
      <c r="Y492" s="960"/>
      <c r="AB492" s="751"/>
      <c r="AC492" s="232">
        <f t="shared" si="71"/>
        <v>1</v>
      </c>
      <c r="AD492" s="19"/>
      <c r="AE492" s="19"/>
      <c r="AF492" s="19"/>
      <c r="AG492" s="24"/>
      <c r="AH492" s="24"/>
      <c r="AI492" s="24"/>
      <c r="AJ492" s="27"/>
      <c r="AK492" s="34"/>
      <c r="AL492" s="364"/>
      <c r="AM492" s="34"/>
    </row>
    <row r="493" spans="1:39" s="765" customFormat="1" ht="6" hidden="1" customHeight="1" outlineLevel="1" x14ac:dyDescent="0.2">
      <c r="A493" s="85"/>
      <c r="B493" s="135"/>
      <c r="C493" s="356"/>
      <c r="G493" s="13"/>
      <c r="H493" s="13"/>
      <c r="I493" s="532"/>
      <c r="Y493" s="960"/>
      <c r="AB493" s="944"/>
      <c r="AC493" s="232">
        <f t="shared" si="71"/>
        <v>1</v>
      </c>
      <c r="AD493" s="19"/>
      <c r="AE493" s="19"/>
      <c r="AF493" s="19"/>
      <c r="AG493" s="23"/>
      <c r="AH493" s="23"/>
      <c r="AI493" s="24"/>
      <c r="AJ493" s="24"/>
      <c r="AK493" s="34"/>
      <c r="AL493" s="364"/>
      <c r="AM493" s="34"/>
    </row>
    <row r="494" spans="1:39" s="750" customFormat="1" ht="20.25" hidden="1" customHeight="1" outlineLevel="1" x14ac:dyDescent="0.2">
      <c r="A494" s="85"/>
      <c r="B494" s="766" t="s">
        <v>521</v>
      </c>
      <c r="C494" s="356"/>
      <c r="G494" s="521"/>
      <c r="H494" s="13"/>
      <c r="I494" s="532"/>
      <c r="Y494" s="960"/>
      <c r="AB494" s="944"/>
      <c r="AC494" s="232">
        <f t="shared" si="71"/>
        <v>1</v>
      </c>
      <c r="AD494" s="19"/>
      <c r="AE494" s="19"/>
      <c r="AF494" s="19"/>
      <c r="AG494" s="23"/>
      <c r="AH494" s="23"/>
      <c r="AI494" s="24"/>
      <c r="AJ494" s="24"/>
      <c r="AK494" s="34"/>
      <c r="AL494" s="364"/>
      <c r="AM494" s="34"/>
    </row>
    <row r="495" spans="1:39" s="6" customFormat="1" ht="14.1" hidden="1" customHeight="1" outlineLevel="1" x14ac:dyDescent="0.2">
      <c r="A495" s="85"/>
      <c r="B495" s="150" t="str">
        <f>AB495</f>
        <v xml:space="preserve">ProgLead asks RESOURCES for help and input, especially: </v>
      </c>
      <c r="C495" s="151"/>
      <c r="D495" s="764"/>
      <c r="E495" s="643"/>
      <c r="F495"/>
      <c r="G495" s="684">
        <f t="shared" ref="G495" si="72">AG495</f>
        <v>0</v>
      </c>
      <c r="H495" s="685">
        <f t="shared" ref="H495" si="73">AH495</f>
        <v>42097</v>
      </c>
      <c r="I495" s="532"/>
      <c r="Y495" s="960"/>
      <c r="AB495" s="934" t="str">
        <f>S.Staff.Subject.Expert.FirstName&amp;" asks RESOURCES for help and input, especially: "</f>
        <v xml:space="preserve">ProgLead asks RESOURCES for help and input, especially: </v>
      </c>
      <c r="AC495" s="232">
        <f t="shared" si="71"/>
        <v>1</v>
      </c>
      <c r="AD495" s="19"/>
      <c r="AE495" s="19"/>
      <c r="AF495" s="19"/>
      <c r="AG495" s="372">
        <f>IF(AC495=0,,S.4Notice.BEGIN)</f>
        <v>0</v>
      </c>
      <c r="AH495" s="372">
        <f>IF(AC495=0,,WORKDAY(S.Notice.Submit.ToSponsoringMgr-1,-1,S.DDL_DEQClosed))</f>
        <v>42097</v>
      </c>
      <c r="AI495" s="23"/>
      <c r="AJ495" s="16"/>
      <c r="AK495" s="34"/>
      <c r="AL495" s="364"/>
      <c r="AM495" s="34"/>
    </row>
    <row r="496" spans="1:39" s="6" customFormat="1" ht="14.1" hidden="1" customHeight="1" outlineLevel="1" x14ac:dyDescent="0.2">
      <c r="A496" s="85"/>
      <c r="B496" s="152" t="str">
        <f>AB496</f>
        <v>* RGLead for process, organization, edits, plain language</v>
      </c>
      <c r="C496" s="151"/>
      <c r="D496" s="507"/>
      <c r="E496" s="643"/>
      <c r="F496"/>
      <c r="G496"/>
      <c r="H496"/>
      <c r="I496" s="532"/>
      <c r="Y496" s="960"/>
      <c r="AB496" s="934" t="str">
        <f>"* "&amp;S.Staff.RG.Lead.FirstName&amp;" for process, organization, edits, plain language"</f>
        <v>* RGLead for process, organization, edits, plain language</v>
      </c>
      <c r="AC496" s="232">
        <f t="shared" si="71"/>
        <v>1</v>
      </c>
      <c r="AD496" s="19"/>
      <c r="AE496" s="19"/>
      <c r="AF496" s="19"/>
      <c r="AG496" s="23"/>
      <c r="AH496" s="23"/>
      <c r="AI496" s="23"/>
      <c r="AJ496" s="16"/>
      <c r="AK496" s="34"/>
      <c r="AL496" s="364"/>
      <c r="AM496" s="34"/>
    </row>
    <row r="497" spans="1:39" s="6" customFormat="1" ht="14.1" hidden="1" customHeight="1" outlineLevel="1" x14ac:dyDescent="0.2">
      <c r="A497" s="85"/>
      <c r="B497" s="201" t="s">
        <v>522</v>
      </c>
      <c r="C497" s="164" t="s">
        <v>0</v>
      </c>
      <c r="D497" s="506"/>
      <c r="E497" s="644"/>
      <c r="F497"/>
      <c r="G497"/>
      <c r="H497"/>
      <c r="I497" s="532"/>
      <c r="J497"/>
      <c r="K497"/>
      <c r="L497"/>
      <c r="M497"/>
      <c r="N497"/>
      <c r="O497"/>
      <c r="P497"/>
      <c r="Q497"/>
      <c r="R497"/>
      <c r="S497"/>
      <c r="T497"/>
      <c r="U497"/>
      <c r="X497"/>
      <c r="Y497" s="960"/>
      <c r="AB497" s="944"/>
      <c r="AC497" s="232">
        <f t="shared" si="71"/>
        <v>1</v>
      </c>
      <c r="AD497" s="19"/>
      <c r="AE497" s="19"/>
      <c r="AF497" s="19"/>
      <c r="AG497" s="23"/>
      <c r="AH497" s="23"/>
      <c r="AI497" s="24"/>
      <c r="AJ497" s="24"/>
      <c r="AK497" s="34"/>
      <c r="AL497" s="364"/>
      <c r="AM497" s="34"/>
    </row>
    <row r="498" spans="1:39" s="6" customFormat="1" ht="14.1" hidden="1" customHeight="1" outlineLevel="1" x14ac:dyDescent="0.2">
      <c r="A498" s="85"/>
      <c r="B498" s="201" t="str">
        <f>AB498</f>
        <v>* AndreaG, for SIP consultation</v>
      </c>
      <c r="C498" s="356" t="s">
        <v>0</v>
      </c>
      <c r="D498" s="506"/>
      <c r="E498" s="644"/>
      <c r="F498"/>
      <c r="G498"/>
      <c r="H498"/>
      <c r="I498" s="532"/>
      <c r="J498"/>
      <c r="K498"/>
      <c r="L498"/>
      <c r="M498"/>
      <c r="N498"/>
      <c r="O498"/>
      <c r="P498"/>
      <c r="Q498"/>
      <c r="R498"/>
      <c r="S498"/>
      <c r="T498"/>
      <c r="U498"/>
      <c r="X498"/>
      <c r="Y498" s="960"/>
      <c r="AB498" s="936" t="str">
        <f>IF(S.SIP.Involved="Y","* "&amp;S.Staff.SIPCo&amp;", for SIP consultation","* SIP not involved")</f>
        <v>* AndreaG, for SIP consultation</v>
      </c>
      <c r="AC498" s="232">
        <f>IF(AND(S.SIP.Involved="Y",S.Notice.Involved="Y"),1,0)</f>
        <v>1</v>
      </c>
      <c r="AD498" s="19"/>
      <c r="AE498" s="19"/>
      <c r="AF498" s="19"/>
      <c r="AG498" s="23"/>
      <c r="AH498" s="23"/>
      <c r="AI498" s="24"/>
      <c r="AJ498" s="24"/>
      <c r="AK498" s="34"/>
      <c r="AL498" s="364"/>
      <c r="AM498" s="34"/>
    </row>
    <row r="499" spans="1:39" s="6" customFormat="1" ht="14.1" hidden="1" customHeight="1" outlineLevel="1" x14ac:dyDescent="0.2">
      <c r="A499" s="85"/>
      <c r="B499" s="135" t="str">
        <f>AB499</f>
        <v>* ProgMgr for direction and subject consultation, especially to ensure drafts:</v>
      </c>
      <c r="C499" s="356" t="s">
        <v>0</v>
      </c>
      <c r="D499" s="507"/>
      <c r="E499" s="643"/>
      <c r="F499"/>
      <c r="G499"/>
      <c r="H499"/>
      <c r="I499" s="532"/>
      <c r="Y499" s="960"/>
      <c r="AB499" s="934" t="str">
        <f>"* "&amp;S.Staff.Program.Mgr.FirstName&amp;" for direction and subject consultation, especially to ensure drafts:"</f>
        <v>* ProgMgr for direction and subject consultation, especially to ensure drafts:</v>
      </c>
      <c r="AC499" s="232">
        <f>$AC$477</f>
        <v>1</v>
      </c>
      <c r="AD499" s="19"/>
      <c r="AE499" s="19"/>
      <c r="AF499" s="19"/>
      <c r="AG499" s="23"/>
      <c r="AH499" s="23"/>
      <c r="AI499" s="18"/>
      <c r="AJ499" s="16"/>
      <c r="AK499" s="34"/>
      <c r="AL499" s="364"/>
      <c r="AM499" s="34"/>
    </row>
    <row r="500" spans="1:39" s="6" customFormat="1" ht="14.1" hidden="1" customHeight="1" outlineLevel="1" x14ac:dyDescent="0.2">
      <c r="A500" s="85"/>
      <c r="B500" s="447" t="s">
        <v>359</v>
      </c>
      <c r="C500" s="164" t="s">
        <v>0</v>
      </c>
      <c r="D500"/>
      <c r="F500"/>
      <c r="G500" s="764"/>
      <c r="H500" s="764"/>
      <c r="I500" s="532"/>
      <c r="Y500" s="960"/>
      <c r="AB500" s="944"/>
      <c r="AC500" s="232">
        <f>$AC$477</f>
        <v>1</v>
      </c>
      <c r="AD500" s="19"/>
      <c r="AE500" s="19"/>
      <c r="AF500" s="19"/>
      <c r="AG500" s="24"/>
      <c r="AH500" s="24"/>
      <c r="AI500" s="24"/>
      <c r="AJ500" s="24"/>
      <c r="AK500" s="34"/>
      <c r="AL500" s="364"/>
      <c r="AM500" s="34"/>
    </row>
    <row r="501" spans="1:39" s="6" customFormat="1" ht="14.1" hidden="1" customHeight="1" outlineLevel="1" x14ac:dyDescent="0.2">
      <c r="A501" s="85"/>
      <c r="B501" s="447" t="s">
        <v>360</v>
      </c>
      <c r="C501" s="164" t="s">
        <v>0</v>
      </c>
      <c r="D501"/>
      <c r="F501"/>
      <c r="G501" s="764"/>
      <c r="H501" s="764"/>
      <c r="I501" s="532"/>
      <c r="Y501" s="960"/>
      <c r="AB501" s="944"/>
      <c r="AC501" s="232">
        <f>$AC$477</f>
        <v>1</v>
      </c>
      <c r="AD501" s="19"/>
      <c r="AE501" s="19"/>
      <c r="AF501" s="19"/>
      <c r="AG501" s="24"/>
      <c r="AH501" s="24"/>
      <c r="AI501" s="24"/>
      <c r="AJ501" s="24"/>
      <c r="AK501" s="34"/>
      <c r="AL501" s="364"/>
      <c r="AM501" s="34"/>
    </row>
    <row r="502" spans="1:39" s="6" customFormat="1" ht="14.1" hidden="1" customHeight="1" outlineLevel="1" x14ac:dyDescent="0.2">
      <c r="A502" s="85"/>
      <c r="B502" s="152" t="str">
        <f>AB502</f>
        <v>* BrianW for any updates to communication plan, message map, news release</v>
      </c>
      <c r="C502" s="151"/>
      <c r="D502" s="507"/>
      <c r="E502" s="643"/>
      <c r="F502"/>
      <c r="G502" s="764"/>
      <c r="H502" s="764"/>
      <c r="I502" s="532"/>
      <c r="Y502" s="960"/>
      <c r="AB502" s="934" t="str">
        <f>IF(S.PublicInformartionOfficer.Involved="Y","* "&amp;S.Staff.PublicAffairsOfficer&amp;" for any updates to communication plan, message map, news release","-blank-")</f>
        <v>* BrianW for any updates to communication plan, message map, news release</v>
      </c>
      <c r="AC502" s="232">
        <f>$AC$477</f>
        <v>1</v>
      </c>
      <c r="AD502" s="19"/>
      <c r="AE502" s="19"/>
      <c r="AF502" s="19"/>
      <c r="AG502" s="24"/>
      <c r="AH502" s="24"/>
      <c r="AI502" s="23"/>
      <c r="AJ502" s="16"/>
      <c r="AK502" s="34"/>
      <c r="AL502" s="364"/>
      <c r="AM502" s="34"/>
    </row>
    <row r="503" spans="1:39" s="6" customFormat="1" ht="14.1" hidden="1" customHeight="1" outlineLevel="1" x14ac:dyDescent="0.2">
      <c r="A503" s="85"/>
      <c r="B503" s="201" t="str">
        <f>AB503</f>
        <v>* Meyer for legal consultation and discuss need for AAG input</v>
      </c>
      <c r="C503" s="356" t="s">
        <v>0</v>
      </c>
      <c r="D503" s="506"/>
      <c r="E503" s="644"/>
      <c r="F503"/>
      <c r="G503" s="764"/>
      <c r="H503" s="764"/>
      <c r="I503" s="532"/>
      <c r="Y503" s="960"/>
      <c r="AB503" s="936" t="str">
        <f>"* "&amp;S.Staff.AgencyRulesCoordinator&amp;" for legal consultation and discuss need for AAG input"</f>
        <v>* Meyer for legal consultation and discuss need for AAG input</v>
      </c>
      <c r="AC503" s="232">
        <f>$AC$477</f>
        <v>1</v>
      </c>
      <c r="AD503" s="19"/>
      <c r="AE503" s="19"/>
      <c r="AF503" s="19"/>
      <c r="AG503" s="24"/>
      <c r="AH503" s="24"/>
      <c r="AI503" s="24"/>
      <c r="AJ503" s="24"/>
      <c r="AK503" s="34"/>
      <c r="AL503" s="364"/>
      <c r="AM503" s="34"/>
    </row>
    <row r="504" spans="1:39" s="6" customFormat="1" ht="14.1" hidden="1" customHeight="1" outlineLevel="1" x14ac:dyDescent="0.2">
      <c r="A504" s="85"/>
      <c r="B504" s="529" t="str">
        <f>AB504</f>
        <v/>
      </c>
      <c r="C504" s="164" t="s">
        <v>0</v>
      </c>
      <c r="D504" s="506"/>
      <c r="E504" s="644"/>
      <c r="F504"/>
      <c r="G504" s="764"/>
      <c r="H504" s="764"/>
      <c r="I504" s="532"/>
      <c r="J504"/>
      <c r="K504"/>
      <c r="L504"/>
      <c r="M504"/>
      <c r="N504"/>
      <c r="O504"/>
      <c r="P504"/>
      <c r="Q504"/>
      <c r="R504"/>
      <c r="S504"/>
      <c r="T504"/>
      <c r="U504"/>
      <c r="X504"/>
      <c r="Y504" s="960"/>
      <c r="AB504" s="936" t="str">
        <f>IF(S.AC.CommitteeInvolved="Y","* Advisory Committee for fiscal impact","")</f>
        <v/>
      </c>
      <c r="AC504" s="232">
        <f>IF(S.Notice.Involved="N",0,IF(S.AC.CommitteeInvolved="N",0,1))</f>
        <v>0</v>
      </c>
      <c r="AD504" s="19"/>
      <c r="AE504" s="19"/>
      <c r="AF504" s="19"/>
      <c r="AG504" s="24"/>
      <c r="AH504" s="24"/>
      <c r="AI504" s="24"/>
      <c r="AJ504" s="24"/>
      <c r="AK504" s="34"/>
      <c r="AL504" s="364"/>
      <c r="AM504" s="34"/>
    </row>
    <row r="505" spans="1:39" s="6" customFormat="1" ht="14.1" hidden="1" customHeight="1" outlineLevel="1" x14ac:dyDescent="0.2">
      <c r="A505" s="85"/>
      <c r="B505" s="530" t="s">
        <v>321</v>
      </c>
      <c r="C505" s="356" t="s">
        <v>0</v>
      </c>
      <c r="D505" s="506"/>
      <c r="E505" s="644"/>
      <c r="F505"/>
      <c r="G505" s="764"/>
      <c r="H505" s="764"/>
      <c r="I505" s="532"/>
      <c r="J505"/>
      <c r="K505"/>
      <c r="L505"/>
      <c r="M505"/>
      <c r="N505"/>
      <c r="O505"/>
      <c r="P505"/>
      <c r="Q505"/>
      <c r="R505"/>
      <c r="S505"/>
      <c r="T505"/>
      <c r="U505"/>
      <c r="X505"/>
      <c r="Y505" s="960"/>
      <c r="AB505" s="944"/>
      <c r="AC505" s="232">
        <f t="shared" ref="AC505:AC536" si="74">$AC$477</f>
        <v>1</v>
      </c>
      <c r="AD505" s="19"/>
      <c r="AE505" s="19"/>
      <c r="AF505" s="19"/>
      <c r="AG505" s="24"/>
      <c r="AH505" s="24"/>
      <c r="AI505" s="24"/>
      <c r="AJ505" s="24"/>
      <c r="AK505" s="34"/>
      <c r="AL505" s="364"/>
      <c r="AM505" s="34"/>
    </row>
    <row r="506" spans="1:39" s="6" customFormat="1" ht="14.1" hidden="1" customHeight="1" outlineLevel="1" x14ac:dyDescent="0.2">
      <c r="A506" s="85"/>
      <c r="B506" s="530" t="s">
        <v>321</v>
      </c>
      <c r="C506" s="356" t="s">
        <v>0</v>
      </c>
      <c r="D506" s="506"/>
      <c r="E506" s="644"/>
      <c r="F506"/>
      <c r="G506" s="764"/>
      <c r="H506" s="764"/>
      <c r="I506" s="532"/>
      <c r="J506"/>
      <c r="K506"/>
      <c r="L506"/>
      <c r="M506"/>
      <c r="N506"/>
      <c r="O506"/>
      <c r="P506"/>
      <c r="Q506"/>
      <c r="R506"/>
      <c r="S506"/>
      <c r="T506"/>
      <c r="U506"/>
      <c r="X506"/>
      <c r="Y506" s="960"/>
      <c r="AB506" s="944"/>
      <c r="AC506" s="232">
        <f t="shared" si="74"/>
        <v>1</v>
      </c>
      <c r="AD506" s="19"/>
      <c r="AE506" s="19"/>
      <c r="AF506" s="19"/>
      <c r="AG506" s="24"/>
      <c r="AH506" s="24"/>
      <c r="AI506" s="24"/>
      <c r="AJ506" s="24"/>
      <c r="AK506" s="34"/>
      <c r="AL506" s="364"/>
      <c r="AM506" s="34"/>
    </row>
    <row r="507" spans="1:39" s="6" customFormat="1" ht="14.1" hidden="1" customHeight="1" outlineLevel="1" x14ac:dyDescent="0.2">
      <c r="A507" s="85"/>
      <c r="B507" s="530" t="s">
        <v>321</v>
      </c>
      <c r="C507" s="356" t="s">
        <v>0</v>
      </c>
      <c r="D507" s="506"/>
      <c r="E507" s="644"/>
      <c r="F507"/>
      <c r="G507" s="764"/>
      <c r="H507" s="764"/>
      <c r="I507" s="532"/>
      <c r="J507"/>
      <c r="K507"/>
      <c r="L507"/>
      <c r="M507"/>
      <c r="N507"/>
      <c r="O507"/>
      <c r="P507"/>
      <c r="Q507"/>
      <c r="R507"/>
      <c r="S507"/>
      <c r="T507"/>
      <c r="U507"/>
      <c r="X507"/>
      <c r="Y507" s="960"/>
      <c r="AB507" s="944"/>
      <c r="AC507" s="232">
        <f t="shared" si="74"/>
        <v>1</v>
      </c>
      <c r="AD507" s="19"/>
      <c r="AE507" s="19"/>
      <c r="AF507" s="19"/>
      <c r="AG507" s="24"/>
      <c r="AH507" s="24"/>
      <c r="AI507" s="24"/>
      <c r="AJ507" s="24"/>
      <c r="AK507" s="34"/>
      <c r="AL507" s="364"/>
      <c r="AM507" s="34"/>
    </row>
    <row r="508" spans="1:39" s="6" customFormat="1" ht="13.5" hidden="1" customHeight="1" outlineLevel="1" collapsed="1" x14ac:dyDescent="0.2">
      <c r="A508" s="85"/>
      <c r="B508" s="150" t="str">
        <f>AB508</f>
        <v>ProgLead continually refines draft Notice Packet and</v>
      </c>
      <c r="C508" s="151"/>
      <c r="D508" s="507"/>
      <c r="E508" s="643"/>
      <c r="F508"/>
      <c r="G508" s="764"/>
      <c r="H508" s="764"/>
      <c r="I508" s="532"/>
      <c r="Y508" s="960"/>
      <c r="AB508" s="934" t="str">
        <f>S.Staff.Subject.Expert.FirstName&amp;" continually refines draft Notice Packet and"</f>
        <v>ProgLead continually refines draft Notice Packet and</v>
      </c>
      <c r="AC508" s="232">
        <f t="shared" si="74"/>
        <v>1</v>
      </c>
      <c r="AD508" s="19"/>
      <c r="AE508" s="19"/>
      <c r="AF508" s="19"/>
      <c r="AG508" s="24"/>
      <c r="AH508" s="24"/>
      <c r="AI508" s="23"/>
      <c r="AJ508" s="16"/>
      <c r="AK508" s="34"/>
      <c r="AL508" s="364"/>
      <c r="AM508" s="34"/>
    </row>
    <row r="509" spans="1:39" s="764" customFormat="1" ht="14.1" hidden="1" customHeight="1" outlineLevel="1" x14ac:dyDescent="0.2">
      <c r="A509" s="85"/>
      <c r="B509" s="201" t="s">
        <v>523</v>
      </c>
      <c r="C509" s="164" t="s">
        <v>0</v>
      </c>
      <c r="D509" s="507"/>
      <c r="E509" s="164"/>
      <c r="I509" s="532"/>
      <c r="Y509" s="960"/>
      <c r="AB509" s="944"/>
      <c r="AC509" s="232">
        <f t="shared" si="74"/>
        <v>1</v>
      </c>
      <c r="AD509" s="19"/>
      <c r="AE509" s="19"/>
      <c r="AF509" s="19"/>
      <c r="AG509" s="24"/>
      <c r="AH509" s="24"/>
      <c r="AI509" s="24"/>
      <c r="AJ509" s="24"/>
      <c r="AK509" s="34"/>
      <c r="AL509" s="364"/>
      <c r="AM509" s="34"/>
    </row>
    <row r="510" spans="1:39" s="6" customFormat="1" ht="14.1" hidden="1" customHeight="1" outlineLevel="1" x14ac:dyDescent="0.2">
      <c r="A510" s="85"/>
      <c r="B510" s="201" t="s">
        <v>568</v>
      </c>
      <c r="C510" s="164" t="s">
        <v>0</v>
      </c>
      <c r="D510" s="507"/>
      <c r="E510" s="164"/>
      <c r="I510" s="532"/>
      <c r="Y510" s="960"/>
      <c r="AB510" s="944"/>
      <c r="AC510" s="232">
        <f t="shared" si="74"/>
        <v>1</v>
      </c>
      <c r="AD510" s="19"/>
      <c r="AE510" s="19"/>
      <c r="AF510" s="19"/>
      <c r="AG510" s="24"/>
      <c r="AH510" s="24"/>
      <c r="AI510" s="24"/>
      <c r="AJ510" s="24"/>
      <c r="AK510" s="34"/>
      <c r="AL510" s="364"/>
      <c r="AM510" s="34"/>
    </row>
    <row r="511" spans="1:39" s="6" customFormat="1" ht="14.1" hidden="1" customHeight="1" outlineLevel="1" x14ac:dyDescent="0.2">
      <c r="A511" s="85"/>
      <c r="B511" s="152" t="str">
        <f>AB511</f>
        <v>* asks AAG for input if needed &amp; copies Meyer on all AAG emails</v>
      </c>
      <c r="C511" s="151"/>
      <c r="D511" s="507"/>
      <c r="E511" s="164"/>
      <c r="F511"/>
      <c r="I511" s="532"/>
      <c r="Y511" s="960"/>
      <c r="AB511" s="934" t="str">
        <f>"* asks "&amp;S.Staff.AAG&amp;" for input if needed &amp; copies "&amp;S.Staff.AgencyRulesCoordinator&amp;" on all "&amp;S.Staff.AAG&amp;" emails"</f>
        <v>* asks AAG for input if needed &amp; copies Meyer on all AAG emails</v>
      </c>
      <c r="AC511" s="232">
        <f t="shared" si="74"/>
        <v>1</v>
      </c>
      <c r="AD511" s="19"/>
      <c r="AE511" s="19"/>
      <c r="AF511" s="19"/>
      <c r="AG511" s="24"/>
      <c r="AH511" s="24"/>
      <c r="AI511" s="23"/>
      <c r="AJ511" s="16"/>
      <c r="AK511" s="34"/>
      <c r="AL511" s="364"/>
      <c r="AM511" s="34"/>
    </row>
    <row r="512" spans="1:39" s="6" customFormat="1" ht="14.1" hidden="1" customHeight="1" outlineLevel="1" x14ac:dyDescent="0.2">
      <c r="A512" s="85"/>
      <c r="B512" s="152" t="str">
        <f>AB512</f>
        <v>* addresses legal concerns and discusses with ProgMgr as needed</v>
      </c>
      <c r="C512" s="151"/>
      <c r="D512" s="507"/>
      <c r="E512" s="164"/>
      <c r="F512"/>
      <c r="I512" s="532"/>
      <c r="Y512" s="960"/>
      <c r="AB512" s="934" t="str">
        <f>"* addresses legal concerns and discusses with "&amp;S.Staff.Program.Mgr.FirstName&amp;" as needed"</f>
        <v>* addresses legal concerns and discusses with ProgMgr as needed</v>
      </c>
      <c r="AC512" s="232">
        <f t="shared" si="74"/>
        <v>1</v>
      </c>
      <c r="AD512" s="19"/>
      <c r="AE512" s="19"/>
      <c r="AF512" s="19"/>
      <c r="AG512" s="24"/>
      <c r="AH512" s="24"/>
      <c r="AI512" s="23"/>
      <c r="AJ512" s="16"/>
      <c r="AK512" s="34"/>
      <c r="AL512" s="364"/>
      <c r="AM512" s="34"/>
    </row>
    <row r="513" spans="1:39" s="6" customFormat="1" ht="14.1" hidden="1" customHeight="1" outlineLevel="1" x14ac:dyDescent="0.2">
      <c r="A513" s="85"/>
      <c r="B513" s="135" t="str">
        <f>AB513</f>
        <v>* informs ProgMgr about the approach, issues and potential delays</v>
      </c>
      <c r="C513" s="356" t="s">
        <v>0</v>
      </c>
      <c r="D513" s="507"/>
      <c r="I513" s="532"/>
      <c r="Y513" s="960"/>
      <c r="AB513" s="934" t="str">
        <f>"* informs "&amp;S.Staff.Program.Mgr.FirstName&amp;" about the approach, issues and potential delays"</f>
        <v>* informs ProgMgr about the approach, issues and potential delays</v>
      </c>
      <c r="AC513" s="232">
        <f t="shared" si="74"/>
        <v>1</v>
      </c>
      <c r="AD513" s="19"/>
      <c r="AE513" s="19"/>
      <c r="AF513" s="19"/>
      <c r="AG513" s="24"/>
      <c r="AH513" s="24"/>
      <c r="AI513" s="18"/>
      <c r="AJ513" s="16"/>
      <c r="AK513" s="34"/>
      <c r="AL513" s="364"/>
      <c r="AM513" s="34"/>
    </row>
    <row r="514" spans="1:39" s="6" customFormat="1" ht="14.1" hidden="1" customHeight="1" outlineLevel="1" x14ac:dyDescent="0.2">
      <c r="A514" s="85"/>
      <c r="B514" s="135" t="s">
        <v>569</v>
      </c>
      <c r="C514" s="135"/>
      <c r="D514" s="507"/>
      <c r="E514" s="135"/>
      <c r="F514" s="135"/>
      <c r="G514" s="13"/>
      <c r="I514" s="532"/>
      <c r="Y514" s="960"/>
      <c r="AB514" s="944"/>
      <c r="AC514" s="232">
        <f t="shared" si="74"/>
        <v>1</v>
      </c>
      <c r="AD514" s="19"/>
      <c r="AE514" s="19"/>
      <c r="AF514" s="19"/>
      <c r="AG514" s="24"/>
      <c r="AH514" s="24"/>
      <c r="AI514" s="18"/>
      <c r="AJ514" s="16"/>
      <c r="AK514" s="34"/>
      <c r="AL514" s="364"/>
      <c r="AM514" s="34"/>
    </row>
    <row r="515" spans="1:39" s="6" customFormat="1" ht="14.1" hidden="1" customHeight="1" outlineLevel="1" x14ac:dyDescent="0.2">
      <c r="A515" s="85"/>
      <c r="B515" s="152" t="str">
        <f>AB515</f>
        <v>* informs RGLead about potential delays and develop contingency, if needed</v>
      </c>
      <c r="C515" s="151"/>
      <c r="D515" s="507"/>
      <c r="E515" s="164"/>
      <c r="I515" s="532"/>
      <c r="Y515" s="960"/>
      <c r="AB515" s="934" t="str">
        <f>"* informs "&amp;S.Staff.RG.Lead.FirstName&amp;" about potential delays and develop contingency, if needed"</f>
        <v>* informs RGLead about potential delays and develop contingency, if needed</v>
      </c>
      <c r="AC515" s="232">
        <f t="shared" si="74"/>
        <v>1</v>
      </c>
      <c r="AD515" s="19"/>
      <c r="AE515" s="19"/>
      <c r="AF515" s="19"/>
      <c r="AG515" s="24"/>
      <c r="AH515" s="24"/>
      <c r="AI515" s="23"/>
      <c r="AJ515" s="16"/>
      <c r="AK515" s="34"/>
      <c r="AL515" s="364"/>
      <c r="AM515" s="34"/>
    </row>
    <row r="516" spans="1:39" s="6" customFormat="1" ht="14.1" hidden="1" customHeight="1" outlineLevel="1" thickBot="1" x14ac:dyDescent="0.25">
      <c r="A516" s="85"/>
      <c r="B516" s="559" t="str">
        <f>AB516</f>
        <v>ProgLead asks contributors, including ProgMgr for consensus on</v>
      </c>
      <c r="C516" s="164" t="s">
        <v>0</v>
      </c>
      <c r="D516" s="507"/>
      <c r="E516" s="643"/>
      <c r="G516" s="686">
        <f>AG516</f>
        <v>0</v>
      </c>
      <c r="H516" s="687">
        <f t="shared" ref="H516" si="75">AH516</f>
        <v>42097</v>
      </c>
      <c r="I516" s="532"/>
      <c r="Y516" s="960"/>
      <c r="AB516" s="934" t="str">
        <f>S.Staff.Subject.Expert.FirstName&amp;" asks contributors, including "&amp;S.Staff.Program.Mgr.FirstName&amp;" for consensus on"</f>
        <v>ProgLead asks contributors, including ProgMgr for consensus on</v>
      </c>
      <c r="AC516" s="232">
        <f t="shared" si="74"/>
        <v>1</v>
      </c>
      <c r="AD516" s="19"/>
      <c r="AE516" s="19"/>
      <c r="AF516" s="19"/>
      <c r="AG516" s="372">
        <f>$G$495</f>
        <v>0</v>
      </c>
      <c r="AH516" s="372">
        <f>$H$495</f>
        <v>42097</v>
      </c>
      <c r="AI516" s="24"/>
      <c r="AJ516" s="24"/>
      <c r="AK516" s="34"/>
      <c r="AL516" s="364"/>
      <c r="AM516" s="34"/>
    </row>
    <row r="517" spans="1:39" s="6" customFormat="1" ht="13.5" hidden="1" customHeight="1" outlineLevel="1" x14ac:dyDescent="0.2">
      <c r="A517" s="85"/>
      <c r="B517" s="787" t="s">
        <v>655</v>
      </c>
      <c r="C517" s="135"/>
      <c r="D517" s="135"/>
      <c r="E517" s="135"/>
      <c r="F517" s="135"/>
      <c r="G517" s="13"/>
      <c r="I517" s="532"/>
      <c r="Y517" s="960"/>
      <c r="AB517" s="944"/>
      <c r="AC517" s="232">
        <f t="shared" si="74"/>
        <v>1</v>
      </c>
      <c r="AD517" s="19"/>
      <c r="AE517" s="19"/>
      <c r="AF517" s="19"/>
      <c r="AG517" s="18"/>
      <c r="AH517" s="18"/>
      <c r="AI517" s="18"/>
      <c r="AJ517" s="16"/>
      <c r="AK517" s="34"/>
      <c r="AL517" s="364"/>
      <c r="AM517" s="34"/>
    </row>
    <row r="518" spans="1:39" s="6" customFormat="1" ht="20.25" hidden="1" customHeight="1" outlineLevel="1" x14ac:dyDescent="0.2">
      <c r="A518" s="85"/>
      <c r="B518" s="334" t="s">
        <v>323</v>
      </c>
      <c r="C518" s="164"/>
      <c r="I518" s="532"/>
      <c r="Y518" s="960"/>
      <c r="AB518" s="944"/>
      <c r="AC518" s="232">
        <f t="shared" si="74"/>
        <v>1</v>
      </c>
      <c r="AD518" s="19"/>
      <c r="AE518" s="19"/>
      <c r="AF518" s="19"/>
      <c r="AG518" s="23"/>
      <c r="AH518" s="23"/>
      <c r="AI518" s="24"/>
      <c r="AJ518" s="24"/>
      <c r="AK518" s="34"/>
      <c r="AL518" s="364"/>
      <c r="AM518" s="34"/>
    </row>
    <row r="519" spans="1:39" s="6" customFormat="1" ht="14.1" hidden="1" customHeight="1" outlineLevel="1" x14ac:dyDescent="0.2">
      <c r="A519" s="85"/>
      <c r="B519" s="166" t="str">
        <f t="shared" ref="B519:B525" si="76">AB519</f>
        <v>ProgLead asks DAAssistant to schedule future time on MediaLead's calendar for:</v>
      </c>
      <c r="C519" s="1040" t="s">
        <v>357</v>
      </c>
      <c r="D519" s="1040"/>
      <c r="E519" s="1040"/>
      <c r="F519" s="1040"/>
      <c r="G519" s="1041"/>
      <c r="H519" s="140">
        <f t="shared" ref="H519" si="77">AH519</f>
        <v>42090</v>
      </c>
      <c r="I519" s="532"/>
      <c r="J519"/>
      <c r="K519"/>
      <c r="L519"/>
      <c r="M519"/>
      <c r="N519"/>
      <c r="O519"/>
      <c r="P519"/>
      <c r="Q519"/>
      <c r="R519"/>
      <c r="S519"/>
      <c r="T519"/>
      <c r="U519"/>
      <c r="X519"/>
      <c r="Y519" s="960"/>
      <c r="AB519" s="934" t="str">
        <f>S.Staff.Subject.Expert.FirstName&amp;" asks "&amp;S.Staff.DA.Support.ForProgram.FirstName&amp;" to schedule future time on "&amp;S.Staff.Assistant.DA.ShortName&amp;"'s calendar for:"</f>
        <v>ProgLead asks DAAssistant to schedule future time on MediaLead's calendar for:</v>
      </c>
      <c r="AC519" s="232">
        <f t="shared" si="74"/>
        <v>1</v>
      </c>
      <c r="AD519" s="19"/>
      <c r="AE519" s="19"/>
      <c r="AF519" s="19"/>
      <c r="AG519" s="23"/>
      <c r="AH519" s="25">
        <f>IF(AC519=0,,WORKDAY(S.Notice.Submit.ToADA-59,-1,S.DDL_DEQClosed))</f>
        <v>42090</v>
      </c>
      <c r="AI519" s="24"/>
      <c r="AJ519" s="24"/>
      <c r="AK519" s="34"/>
      <c r="AL519" s="364"/>
      <c r="AM519" s="34"/>
    </row>
    <row r="520" spans="1:39" s="6" customFormat="1" ht="14.1" hidden="1" customHeight="1" outlineLevel="1" x14ac:dyDescent="0.2">
      <c r="A520" s="85"/>
      <c r="B520" s="201" t="str">
        <f t="shared" si="76"/>
        <v>* briefing meeting with ProgLead, ProgMgr and RGLead</v>
      </c>
      <c r="C520" s="1040" t="s">
        <v>356</v>
      </c>
      <c r="D520" s="1042"/>
      <c r="E520" s="1042"/>
      <c r="F520" s="1042"/>
      <c r="G520" s="1043"/>
      <c r="H520" s="146">
        <f>AH520</f>
        <v>42150</v>
      </c>
      <c r="I520" s="532"/>
      <c r="J520"/>
      <c r="K520"/>
      <c r="L520"/>
      <c r="M520"/>
      <c r="N520"/>
      <c r="O520"/>
      <c r="P520"/>
      <c r="Q520"/>
      <c r="R520"/>
      <c r="S520"/>
      <c r="T520"/>
      <c r="U520"/>
      <c r="X520"/>
      <c r="Y520" s="960"/>
      <c r="AB520" s="934" t="str">
        <f>"* briefing meeting with "&amp;S.Staff.Subject.Expert.FirstName&amp;", "&amp;S.Staff.Program.Mgr.FirstName&amp;" and "&amp;S.Staff.RG.Lead.FirstName</f>
        <v>* briefing meeting with ProgLead, ProgMgr and RGLead</v>
      </c>
      <c r="AC520" s="232">
        <f t="shared" si="74"/>
        <v>1</v>
      </c>
      <c r="AD520" s="19"/>
      <c r="AE520" s="19"/>
      <c r="AF520" s="19"/>
      <c r="AG520" s="23"/>
      <c r="AH520" s="25">
        <f>IF(AC520=0,,WORKDAY(S.Notice.Submit.ToADA,-1,S.DDL_DEQClosed))</f>
        <v>42150</v>
      </c>
      <c r="AI520" s="24"/>
      <c r="AJ520" s="24"/>
      <c r="AK520" s="34"/>
      <c r="AL520" s="364"/>
      <c r="AM520" s="34"/>
    </row>
    <row r="521" spans="1:39" s="6" customFormat="1" ht="14.1" hidden="1" customHeight="1" outlineLevel="1" x14ac:dyDescent="0.2">
      <c r="A521" s="85"/>
      <c r="B521" s="529" t="str">
        <f t="shared" si="76"/>
        <v>* decument review by blocking time to review Notice Packet during preview week</v>
      </c>
      <c r="C521" s="1040" t="s">
        <v>355</v>
      </c>
      <c r="D521" s="1040"/>
      <c r="E521" s="1040"/>
      <c r="F521" s="1040"/>
      <c r="G521" s="1041"/>
      <c r="H521" s="146">
        <f>AH521</f>
        <v>42151</v>
      </c>
      <c r="I521" s="532"/>
      <c r="J521"/>
      <c r="K521"/>
      <c r="L521"/>
      <c r="M521"/>
      <c r="N521"/>
      <c r="O521"/>
      <c r="P521"/>
      <c r="Q521"/>
      <c r="R521"/>
      <c r="S521"/>
      <c r="T521"/>
      <c r="U521"/>
      <c r="X521"/>
      <c r="Y521" s="960"/>
      <c r="AB521" s="934" t="str">
        <f>"* decument review by blocking time to review Notice Packet during preview week"</f>
        <v>* decument review by blocking time to review Notice Packet during preview week</v>
      </c>
      <c r="AC521" s="232">
        <f t="shared" si="74"/>
        <v>1</v>
      </c>
      <c r="AD521" s="19"/>
      <c r="AE521" s="19"/>
      <c r="AF521" s="19"/>
      <c r="AG521" s="23"/>
      <c r="AH521" s="25">
        <f>IF(AC521=0,,S.Notice.Submit.ToADA)</f>
        <v>42151</v>
      </c>
      <c r="AI521" s="24"/>
      <c r="AJ521" s="24"/>
      <c r="AK521" s="34"/>
      <c r="AL521" s="364"/>
      <c r="AM521" s="34"/>
    </row>
    <row r="522" spans="1:39" s="6" customFormat="1" ht="14.1" hidden="1" customHeight="1" outlineLevel="1" x14ac:dyDescent="0.2">
      <c r="A522" s="85"/>
      <c r="B522" s="136" t="str">
        <f t="shared" si="76"/>
        <v>ProgLead schedules time on ProgMgr calendar to review Notice Packet</v>
      </c>
      <c r="C522" s="356" t="s">
        <v>0</v>
      </c>
      <c r="D522"/>
      <c r="F522"/>
      <c r="I522" s="532"/>
      <c r="Y522" s="960"/>
      <c r="AB522" s="934" t="str">
        <f>S.Staff.Subject.Expert.FirstName&amp;" schedules time on "&amp;S.Staff.Program.Mgr.FirstName&amp;" calendar to review Notice Packet"</f>
        <v>ProgLead schedules time on ProgMgr calendar to review Notice Packet</v>
      </c>
      <c r="AC522" s="232">
        <f t="shared" si="74"/>
        <v>1</v>
      </c>
      <c r="AD522" s="19"/>
      <c r="AE522" s="19"/>
      <c r="AF522" s="19"/>
      <c r="AG522" s="23"/>
      <c r="AH522" s="23"/>
      <c r="AI522" s="18"/>
      <c r="AJ522" s="16"/>
      <c r="AK522" s="34"/>
      <c r="AL522" s="364"/>
      <c r="AM522" s="34"/>
    </row>
    <row r="523" spans="1:39" s="6" customFormat="1" ht="14.1" hidden="1" customHeight="1" outlineLevel="1" x14ac:dyDescent="0.2">
      <c r="A523" s="85"/>
      <c r="B523" s="166" t="str">
        <f t="shared" si="76"/>
        <v>ProgLead verifies/adjusts previously scheduled briefing &amp; review with management</v>
      </c>
      <c r="C523" s="164" t="s">
        <v>0</v>
      </c>
      <c r="D523" s="164" t="s">
        <v>0</v>
      </c>
      <c r="E523" s="164"/>
      <c r="F523"/>
      <c r="G523"/>
      <c r="H523"/>
      <c r="I523" s="532"/>
      <c r="J523"/>
      <c r="K523"/>
      <c r="L523"/>
      <c r="M523"/>
      <c r="N523"/>
      <c r="O523"/>
      <c r="P523"/>
      <c r="Q523"/>
      <c r="R523"/>
      <c r="S523"/>
      <c r="T523"/>
      <c r="U523"/>
      <c r="X523"/>
      <c r="Y523" s="960"/>
      <c r="AB523" s="934" t="str">
        <f>S.Staff.Subject.Expert.FirstName&amp;" verifies/adjusts previously scheduled briefing &amp; review with management"</f>
        <v>ProgLead verifies/adjusts previously scheduled briefing &amp; review with management</v>
      </c>
      <c r="AC523" s="232">
        <f t="shared" si="74"/>
        <v>1</v>
      </c>
      <c r="AD523" s="19"/>
      <c r="AE523" s="19"/>
      <c r="AF523" s="19"/>
      <c r="AG523" s="24"/>
      <c r="AH523" s="24"/>
      <c r="AI523" s="24"/>
      <c r="AJ523" s="24"/>
      <c r="AK523" s="34"/>
      <c r="AL523" s="364"/>
      <c r="AM523" s="34"/>
    </row>
    <row r="524" spans="1:39" s="6" customFormat="1" ht="14.1" hidden="1" customHeight="1" outlineLevel="1" x14ac:dyDescent="0.2">
      <c r="A524" s="85"/>
      <c r="B524" s="136" t="str">
        <f t="shared" si="76"/>
        <v>ProgLead keeps ProgMgr informed about progress, risks &amp; delays</v>
      </c>
      <c r="C524" s="1040" t="s">
        <v>355</v>
      </c>
      <c r="D524" s="1040"/>
      <c r="E524" s="1040"/>
      <c r="F524" s="1040"/>
      <c r="G524" s="1041"/>
      <c r="H524" s="146">
        <f>AH524</f>
        <v>42101</v>
      </c>
      <c r="I524" s="532"/>
      <c r="Y524" s="960"/>
      <c r="AB524" s="934" t="str">
        <f>S.Staff.Subject.Expert.FirstName&amp;" keeps "&amp;S.Staff.Program.Mgr.FirstName&amp;" informed about progress, risks &amp; delays"</f>
        <v>ProgLead keeps ProgMgr informed about progress, risks &amp; delays</v>
      </c>
      <c r="AC524" s="232">
        <f t="shared" si="74"/>
        <v>1</v>
      </c>
      <c r="AD524" s="19"/>
      <c r="AE524" s="19"/>
      <c r="AF524" s="19"/>
      <c r="AG524" s="23"/>
      <c r="AH524" s="25">
        <f>IF(AC524=0,,S.Notice.Submit.ToSponsoringMgr)</f>
        <v>42101</v>
      </c>
      <c r="AI524" s="18"/>
      <c r="AJ524" s="16"/>
      <c r="AK524" s="34"/>
      <c r="AL524" s="364"/>
      <c r="AM524" s="34"/>
    </row>
    <row r="525" spans="1:39" s="6" customFormat="1" ht="14.1" hidden="1" customHeight="1" outlineLevel="1" x14ac:dyDescent="0.2">
      <c r="A525" s="85"/>
      <c r="B525" s="136" t="str">
        <f t="shared" si="76"/>
        <v>ProgMgr keeps her or his management teams informed about progress, risks &amp; delays</v>
      </c>
      <c r="C525" s="356" t="s">
        <v>0</v>
      </c>
      <c r="D525"/>
      <c r="F525"/>
      <c r="I525" s="532"/>
      <c r="Y525" s="960"/>
      <c r="AB525" s="934" t="str">
        <f>S.Staff.Program.Mgr.FirstName&amp;" keeps her or his management teams informed about progress, risks &amp; delays"</f>
        <v>ProgMgr keeps her or his management teams informed about progress, risks &amp; delays</v>
      </c>
      <c r="AC525" s="232">
        <f t="shared" si="74"/>
        <v>1</v>
      </c>
      <c r="AD525" s="19"/>
      <c r="AE525" s="19"/>
      <c r="AF525" s="19"/>
      <c r="AG525" s="23"/>
      <c r="AH525" s="23"/>
      <c r="AI525" s="18"/>
      <c r="AJ525" s="16"/>
      <c r="AK525" s="34"/>
      <c r="AL525" s="364"/>
      <c r="AM525" s="34"/>
    </row>
    <row r="526" spans="1:39" s="6" customFormat="1" ht="20.25" hidden="1" customHeight="1" outlineLevel="2" thickBot="1" x14ac:dyDescent="0.25">
      <c r="A526" s="85"/>
      <c r="B526" s="334" t="s">
        <v>332</v>
      </c>
      <c r="C526" s="164"/>
      <c r="F526"/>
      <c r="I526" s="532"/>
      <c r="Y526" s="960"/>
      <c r="AB526" s="944"/>
      <c r="AC526" s="232">
        <f t="shared" si="74"/>
        <v>1</v>
      </c>
      <c r="AD526" s="19"/>
      <c r="AE526" s="19"/>
      <c r="AF526" s="19"/>
      <c r="AG526" s="23"/>
      <c r="AH526" s="23"/>
      <c r="AI526" s="24"/>
      <c r="AJ526" s="24"/>
      <c r="AK526" s="34"/>
      <c r="AL526" s="364"/>
      <c r="AM526" s="34"/>
    </row>
    <row r="527" spans="1:39" s="6" customFormat="1" ht="14.1" hidden="1" customHeight="1" outlineLevel="2" thickBot="1" x14ac:dyDescent="0.25">
      <c r="A527" s="85"/>
      <c r="B527" s="296" t="s">
        <v>120</v>
      </c>
      <c r="C527" s="260" t="s">
        <v>77</v>
      </c>
      <c r="D527" s="165"/>
      <c r="E527" s="536"/>
      <c r="F527"/>
      <c r="G527" s="173">
        <f t="shared" ref="G527:G538" si="78">AG527</f>
        <v>0</v>
      </c>
      <c r="H527" s="173">
        <f t="shared" ref="H527:H538" si="79">AH527</f>
        <v>42146</v>
      </c>
      <c r="I527" s="532"/>
      <c r="J527"/>
      <c r="K527"/>
      <c r="L527"/>
      <c r="M527"/>
      <c r="N527"/>
      <c r="O527"/>
      <c r="P527"/>
      <c r="Q527"/>
      <c r="R527"/>
      <c r="S527"/>
      <c r="T527"/>
      <c r="U527"/>
      <c r="X527"/>
      <c r="Y527" s="960"/>
      <c r="AB527" s="944"/>
      <c r="AC527" s="232">
        <f t="shared" si="74"/>
        <v>1</v>
      </c>
      <c r="AD527" s="19"/>
      <c r="AE527" s="19"/>
      <c r="AF527" s="19"/>
      <c r="AG527" s="25">
        <f t="shared" ref="AG527:AG538" si="80">IF(AC527=0,,S.4Notice.BEGIN)</f>
        <v>0</v>
      </c>
      <c r="AH527" s="25">
        <f t="shared" ref="AH527:AH538" si="81">IF(AC527=0,,WORKDAY(S.Notice.ADABriefing,-1,S.DDL_DEQClosed))</f>
        <v>42146</v>
      </c>
      <c r="AI527" s="24"/>
      <c r="AJ527" s="16"/>
      <c r="AK527" s="34"/>
      <c r="AL527" s="364"/>
      <c r="AM527" s="34"/>
    </row>
    <row r="528" spans="1:39" s="6" customFormat="1" ht="14.1" hidden="1" customHeight="1" outlineLevel="2" x14ac:dyDescent="0.2">
      <c r="A528" s="85"/>
      <c r="B528" s="297" t="s">
        <v>95</v>
      </c>
      <c r="C528" s="356" t="s">
        <v>0</v>
      </c>
      <c r="D528" s="508"/>
      <c r="E528" s="645"/>
      <c r="F528"/>
      <c r="G528" s="173">
        <f t="shared" si="78"/>
        <v>0</v>
      </c>
      <c r="H528" s="173">
        <f t="shared" si="79"/>
        <v>42146</v>
      </c>
      <c r="I528" s="532"/>
      <c r="J528"/>
      <c r="K528"/>
      <c r="L528"/>
      <c r="M528"/>
      <c r="N528"/>
      <c r="O528"/>
      <c r="P528"/>
      <c r="Q528"/>
      <c r="R528"/>
      <c r="S528"/>
      <c r="T528"/>
      <c r="U528"/>
      <c r="X528"/>
      <c r="Y528" s="960"/>
      <c r="AB528" s="944"/>
      <c r="AC528" s="232">
        <f t="shared" si="74"/>
        <v>1</v>
      </c>
      <c r="AD528" s="19"/>
      <c r="AE528" s="19"/>
      <c r="AF528" s="19"/>
      <c r="AG528" s="25">
        <f t="shared" si="80"/>
        <v>0</v>
      </c>
      <c r="AH528" s="25">
        <f t="shared" si="81"/>
        <v>42146</v>
      </c>
      <c r="AI528" s="24"/>
      <c r="AJ528" s="89"/>
      <c r="AK528" s="34"/>
      <c r="AL528" s="364"/>
      <c r="AM528" s="34"/>
    </row>
    <row r="529" spans="1:39" s="6" customFormat="1" ht="14.1" hidden="1" customHeight="1" outlineLevel="2" x14ac:dyDescent="0.2">
      <c r="A529" s="85"/>
      <c r="B529" s="297" t="s">
        <v>95</v>
      </c>
      <c r="C529" s="356" t="s">
        <v>0</v>
      </c>
      <c r="D529" s="508"/>
      <c r="E529" s="645"/>
      <c r="F529"/>
      <c r="G529" s="173">
        <f t="shared" si="78"/>
        <v>0</v>
      </c>
      <c r="H529" s="173">
        <f t="shared" si="79"/>
        <v>42146</v>
      </c>
      <c r="I529" s="532"/>
      <c r="J529"/>
      <c r="K529"/>
      <c r="L529"/>
      <c r="M529"/>
      <c r="N529"/>
      <c r="O529"/>
      <c r="P529"/>
      <c r="Q529"/>
      <c r="R529"/>
      <c r="S529"/>
      <c r="T529"/>
      <c r="U529"/>
      <c r="X529"/>
      <c r="Y529" s="960"/>
      <c r="AB529" s="944"/>
      <c r="AC529" s="232">
        <f t="shared" si="74"/>
        <v>1</v>
      </c>
      <c r="AD529" s="19"/>
      <c r="AE529" s="19"/>
      <c r="AF529" s="19"/>
      <c r="AG529" s="25">
        <f t="shared" si="80"/>
        <v>0</v>
      </c>
      <c r="AH529" s="25">
        <f t="shared" si="81"/>
        <v>42146</v>
      </c>
      <c r="AI529" s="24"/>
      <c r="AJ529" s="89"/>
      <c r="AK529" s="34"/>
      <c r="AL529" s="364"/>
      <c r="AM529" s="34"/>
    </row>
    <row r="530" spans="1:39" s="6" customFormat="1" ht="14.1" hidden="1" customHeight="1" outlineLevel="2" thickBot="1" x14ac:dyDescent="0.25">
      <c r="A530" s="85"/>
      <c r="B530" s="297" t="s">
        <v>95</v>
      </c>
      <c r="C530" s="356" t="s">
        <v>0</v>
      </c>
      <c r="D530" s="508"/>
      <c r="E530" s="645"/>
      <c r="F530"/>
      <c r="G530" s="173">
        <f t="shared" si="78"/>
        <v>0</v>
      </c>
      <c r="H530" s="173">
        <f t="shared" si="79"/>
        <v>42146</v>
      </c>
      <c r="I530" s="532"/>
      <c r="J530"/>
      <c r="K530"/>
      <c r="L530"/>
      <c r="M530"/>
      <c r="N530"/>
      <c r="O530"/>
      <c r="P530"/>
      <c r="Q530"/>
      <c r="R530"/>
      <c r="S530"/>
      <c r="T530"/>
      <c r="U530"/>
      <c r="X530"/>
      <c r="Y530" s="960"/>
      <c r="AB530" s="944"/>
      <c r="AC530" s="232">
        <f t="shared" si="74"/>
        <v>1</v>
      </c>
      <c r="AD530" s="19"/>
      <c r="AE530" s="19"/>
      <c r="AF530" s="19"/>
      <c r="AG530" s="25">
        <f t="shared" si="80"/>
        <v>0</v>
      </c>
      <c r="AH530" s="25">
        <f t="shared" si="81"/>
        <v>42146</v>
      </c>
      <c r="AI530" s="24"/>
      <c r="AJ530" s="89"/>
      <c r="AK530" s="34"/>
      <c r="AL530" s="364"/>
      <c r="AM530" s="34"/>
    </row>
    <row r="531" spans="1:39" s="6" customFormat="1" ht="14.1" hidden="1" customHeight="1" outlineLevel="2" thickBot="1" x14ac:dyDescent="0.25">
      <c r="A531" s="85"/>
      <c r="B531" s="298" t="s">
        <v>96</v>
      </c>
      <c r="C531" s="260" t="s">
        <v>77</v>
      </c>
      <c r="D531" s="165"/>
      <c r="E531" s="536"/>
      <c r="F531"/>
      <c r="G531" s="173">
        <f t="shared" si="78"/>
        <v>0</v>
      </c>
      <c r="H531" s="173">
        <f t="shared" si="79"/>
        <v>42146</v>
      </c>
      <c r="I531" s="532"/>
      <c r="J531"/>
      <c r="K531"/>
      <c r="L531"/>
      <c r="M531"/>
      <c r="N531"/>
      <c r="O531"/>
      <c r="P531"/>
      <c r="Q531"/>
      <c r="R531"/>
      <c r="S531"/>
      <c r="T531"/>
      <c r="U531"/>
      <c r="X531"/>
      <c r="Y531" s="960"/>
      <c r="AB531" s="944"/>
      <c r="AC531" s="232">
        <f t="shared" si="74"/>
        <v>1</v>
      </c>
      <c r="AD531" s="19"/>
      <c r="AE531" s="19"/>
      <c r="AF531" s="19"/>
      <c r="AG531" s="25">
        <f t="shared" si="80"/>
        <v>0</v>
      </c>
      <c r="AH531" s="25">
        <f t="shared" si="81"/>
        <v>42146</v>
      </c>
      <c r="AI531" s="24"/>
      <c r="AJ531" s="16"/>
      <c r="AK531" s="34"/>
      <c r="AL531" s="364"/>
      <c r="AM531" s="34"/>
    </row>
    <row r="532" spans="1:39" s="6" customFormat="1" ht="14.1" hidden="1" customHeight="1" outlineLevel="2" x14ac:dyDescent="0.2">
      <c r="A532" s="85"/>
      <c r="B532" s="299" t="s">
        <v>95</v>
      </c>
      <c r="C532" s="356" t="s">
        <v>0</v>
      </c>
      <c r="D532" s="508"/>
      <c r="E532" s="645"/>
      <c r="F532"/>
      <c r="G532" s="173">
        <f t="shared" si="78"/>
        <v>0</v>
      </c>
      <c r="H532" s="173">
        <f t="shared" si="79"/>
        <v>42146</v>
      </c>
      <c r="I532" s="532"/>
      <c r="J532"/>
      <c r="K532"/>
      <c r="L532"/>
      <c r="M532"/>
      <c r="N532"/>
      <c r="O532"/>
      <c r="P532"/>
      <c r="Q532"/>
      <c r="R532"/>
      <c r="S532"/>
      <c r="T532"/>
      <c r="U532"/>
      <c r="X532"/>
      <c r="Y532" s="960"/>
      <c r="AB532" s="944"/>
      <c r="AC532" s="232">
        <f t="shared" si="74"/>
        <v>1</v>
      </c>
      <c r="AD532" s="19"/>
      <c r="AE532" s="19"/>
      <c r="AF532" s="19"/>
      <c r="AG532" s="25">
        <f t="shared" si="80"/>
        <v>0</v>
      </c>
      <c r="AH532" s="25">
        <f t="shared" si="81"/>
        <v>42146</v>
      </c>
      <c r="AI532" s="24"/>
      <c r="AJ532" s="89"/>
      <c r="AK532" s="34"/>
      <c r="AL532" s="364"/>
      <c r="AM532" s="34"/>
    </row>
    <row r="533" spans="1:39" s="6" customFormat="1" ht="14.1" hidden="1" customHeight="1" outlineLevel="2" x14ac:dyDescent="0.2">
      <c r="A533" s="85"/>
      <c r="B533" s="299" t="s">
        <v>95</v>
      </c>
      <c r="C533" s="356" t="s">
        <v>0</v>
      </c>
      <c r="D533" s="508"/>
      <c r="E533" s="645"/>
      <c r="F533"/>
      <c r="G533" s="173">
        <f t="shared" si="78"/>
        <v>0</v>
      </c>
      <c r="H533" s="173">
        <f t="shared" si="79"/>
        <v>42146</v>
      </c>
      <c r="I533" s="532"/>
      <c r="J533"/>
      <c r="K533"/>
      <c r="L533"/>
      <c r="M533"/>
      <c r="N533"/>
      <c r="O533"/>
      <c r="P533"/>
      <c r="Q533"/>
      <c r="R533"/>
      <c r="S533"/>
      <c r="T533"/>
      <c r="U533"/>
      <c r="X533"/>
      <c r="Y533" s="960"/>
      <c r="AB533" s="944"/>
      <c r="AC533" s="232">
        <f t="shared" si="74"/>
        <v>1</v>
      </c>
      <c r="AD533" s="19"/>
      <c r="AE533" s="19"/>
      <c r="AF533" s="19"/>
      <c r="AG533" s="25">
        <f t="shared" si="80"/>
        <v>0</v>
      </c>
      <c r="AH533" s="25">
        <f t="shared" si="81"/>
        <v>42146</v>
      </c>
      <c r="AI533" s="24"/>
      <c r="AJ533" s="89"/>
      <c r="AK533" s="34"/>
      <c r="AL533" s="364"/>
      <c r="AM533" s="34"/>
    </row>
    <row r="534" spans="1:39" s="6" customFormat="1" ht="14.1" hidden="1" customHeight="1" outlineLevel="2" thickBot="1" x14ac:dyDescent="0.25">
      <c r="A534" s="85"/>
      <c r="B534" s="299" t="s">
        <v>95</v>
      </c>
      <c r="C534" s="356" t="s">
        <v>0</v>
      </c>
      <c r="D534" s="508"/>
      <c r="E534" s="645"/>
      <c r="F534"/>
      <c r="G534" s="173">
        <f t="shared" si="78"/>
        <v>0</v>
      </c>
      <c r="H534" s="173">
        <f t="shared" si="79"/>
        <v>42146</v>
      </c>
      <c r="I534" s="532"/>
      <c r="J534"/>
      <c r="K534"/>
      <c r="L534"/>
      <c r="M534"/>
      <c r="N534"/>
      <c r="O534"/>
      <c r="P534"/>
      <c r="Q534"/>
      <c r="R534"/>
      <c r="S534"/>
      <c r="T534"/>
      <c r="U534"/>
      <c r="X534"/>
      <c r="Y534" s="960"/>
      <c r="AB534" s="944"/>
      <c r="AC534" s="232">
        <f t="shared" si="74"/>
        <v>1</v>
      </c>
      <c r="AD534" s="19"/>
      <c r="AE534" s="19"/>
      <c r="AF534" s="19"/>
      <c r="AG534" s="25">
        <f t="shared" si="80"/>
        <v>0</v>
      </c>
      <c r="AH534" s="25">
        <f t="shared" si="81"/>
        <v>42146</v>
      </c>
      <c r="AI534" s="24"/>
      <c r="AJ534" s="89"/>
      <c r="AK534" s="34"/>
      <c r="AL534" s="364"/>
      <c r="AM534" s="34"/>
    </row>
    <row r="535" spans="1:39" s="6" customFormat="1" ht="14.1" hidden="1" customHeight="1" outlineLevel="2" thickBot="1" x14ac:dyDescent="0.25">
      <c r="A535" s="85"/>
      <c r="B535" s="300" t="s">
        <v>97</v>
      </c>
      <c r="C535" s="260" t="s">
        <v>77</v>
      </c>
      <c r="D535" s="165"/>
      <c r="E535" s="536"/>
      <c r="F535"/>
      <c r="G535" s="173">
        <f t="shared" si="78"/>
        <v>0</v>
      </c>
      <c r="H535" s="173">
        <f t="shared" si="79"/>
        <v>42146</v>
      </c>
      <c r="I535" s="532"/>
      <c r="J535"/>
      <c r="K535"/>
      <c r="L535"/>
      <c r="M535"/>
      <c r="N535"/>
      <c r="O535"/>
      <c r="P535"/>
      <c r="Q535"/>
      <c r="R535"/>
      <c r="S535"/>
      <c r="T535"/>
      <c r="U535"/>
      <c r="X535"/>
      <c r="Y535" s="960"/>
      <c r="AB535" s="944"/>
      <c r="AC535" s="232">
        <f t="shared" si="74"/>
        <v>1</v>
      </c>
      <c r="AD535" s="19"/>
      <c r="AE535" s="19"/>
      <c r="AF535" s="19"/>
      <c r="AG535" s="25">
        <f t="shared" si="80"/>
        <v>0</v>
      </c>
      <c r="AH535" s="25">
        <f t="shared" si="81"/>
        <v>42146</v>
      </c>
      <c r="AI535" s="24"/>
      <c r="AJ535" s="16"/>
      <c r="AK535" s="34"/>
      <c r="AL535" s="364"/>
      <c r="AM535" s="34"/>
    </row>
    <row r="536" spans="1:39" s="6" customFormat="1" ht="14.1" hidden="1" customHeight="1" outlineLevel="2" x14ac:dyDescent="0.2">
      <c r="A536" s="85"/>
      <c r="B536" s="301" t="s">
        <v>95</v>
      </c>
      <c r="C536" s="356" t="s">
        <v>0</v>
      </c>
      <c r="D536" s="508"/>
      <c r="E536" s="645"/>
      <c r="F536"/>
      <c r="G536" s="173">
        <f t="shared" si="78"/>
        <v>0</v>
      </c>
      <c r="H536" s="173">
        <f t="shared" si="79"/>
        <v>42146</v>
      </c>
      <c r="I536" s="532"/>
      <c r="J536"/>
      <c r="K536"/>
      <c r="L536"/>
      <c r="M536"/>
      <c r="N536"/>
      <c r="O536"/>
      <c r="P536"/>
      <c r="Q536"/>
      <c r="R536"/>
      <c r="S536"/>
      <c r="T536"/>
      <c r="U536"/>
      <c r="X536"/>
      <c r="Y536" s="960"/>
      <c r="AB536" s="944"/>
      <c r="AC536" s="232">
        <f t="shared" si="74"/>
        <v>1</v>
      </c>
      <c r="AD536" s="19"/>
      <c r="AE536" s="19"/>
      <c r="AF536" s="19"/>
      <c r="AG536" s="25">
        <f t="shared" si="80"/>
        <v>0</v>
      </c>
      <c r="AH536" s="25">
        <f t="shared" si="81"/>
        <v>42146</v>
      </c>
      <c r="AI536" s="24"/>
      <c r="AJ536" s="89"/>
      <c r="AK536" s="34"/>
      <c r="AL536" s="364"/>
      <c r="AM536" s="34"/>
    </row>
    <row r="537" spans="1:39" s="6" customFormat="1" ht="14.1" hidden="1" customHeight="1" outlineLevel="2" x14ac:dyDescent="0.2">
      <c r="A537" s="85"/>
      <c r="B537" s="301" t="s">
        <v>95</v>
      </c>
      <c r="C537" s="356" t="s">
        <v>0</v>
      </c>
      <c r="D537" s="508"/>
      <c r="E537" s="645"/>
      <c r="F537"/>
      <c r="G537" s="173">
        <f t="shared" si="78"/>
        <v>0</v>
      </c>
      <c r="H537" s="173">
        <f t="shared" si="79"/>
        <v>42146</v>
      </c>
      <c r="I537" s="532"/>
      <c r="J537"/>
      <c r="K537"/>
      <c r="L537"/>
      <c r="M537"/>
      <c r="N537"/>
      <c r="O537"/>
      <c r="P537"/>
      <c r="Q537"/>
      <c r="R537"/>
      <c r="S537"/>
      <c r="T537"/>
      <c r="U537"/>
      <c r="X537"/>
      <c r="Y537" s="960"/>
      <c r="AB537" s="944"/>
      <c r="AC537" s="232">
        <f t="shared" ref="AC537:AC559" si="82">$AC$477</f>
        <v>1</v>
      </c>
      <c r="AD537" s="19"/>
      <c r="AE537" s="19"/>
      <c r="AF537" s="19"/>
      <c r="AG537" s="25">
        <f t="shared" si="80"/>
        <v>0</v>
      </c>
      <c r="AH537" s="25">
        <f t="shared" si="81"/>
        <v>42146</v>
      </c>
      <c r="AI537" s="24"/>
      <c r="AJ537" s="89"/>
      <c r="AK537" s="34"/>
      <c r="AL537" s="364"/>
      <c r="AM537" s="34"/>
    </row>
    <row r="538" spans="1:39" s="6" customFormat="1" ht="14.1" hidden="1" customHeight="1" outlineLevel="2" x14ac:dyDescent="0.2">
      <c r="A538" s="85"/>
      <c r="B538" s="301" t="s">
        <v>95</v>
      </c>
      <c r="C538" s="356" t="s">
        <v>0</v>
      </c>
      <c r="D538" s="508"/>
      <c r="E538" s="645"/>
      <c r="F538"/>
      <c r="G538" s="173">
        <f t="shared" si="78"/>
        <v>0</v>
      </c>
      <c r="H538" s="173">
        <f t="shared" si="79"/>
        <v>42146</v>
      </c>
      <c r="I538" s="532"/>
      <c r="J538"/>
      <c r="K538"/>
      <c r="L538"/>
      <c r="M538"/>
      <c r="N538"/>
      <c r="O538"/>
      <c r="P538"/>
      <c r="Q538"/>
      <c r="R538"/>
      <c r="S538"/>
      <c r="T538"/>
      <c r="U538"/>
      <c r="X538"/>
      <c r="Y538" s="960"/>
      <c r="AB538" s="944"/>
      <c r="AC538" s="232">
        <f t="shared" si="82"/>
        <v>1</v>
      </c>
      <c r="AD538" s="19"/>
      <c r="AE538" s="19"/>
      <c r="AF538" s="19"/>
      <c r="AG538" s="25">
        <f t="shared" si="80"/>
        <v>0</v>
      </c>
      <c r="AH538" s="25">
        <f t="shared" si="81"/>
        <v>42146</v>
      </c>
      <c r="AI538" s="24"/>
      <c r="AJ538" s="89"/>
      <c r="AK538" s="34"/>
      <c r="AL538" s="364"/>
      <c r="AM538" s="34"/>
    </row>
    <row r="539" spans="1:39" s="6" customFormat="1" ht="14.1" hidden="1" customHeight="1" outlineLevel="2" x14ac:dyDescent="0.2">
      <c r="A539" s="85"/>
      <c r="B539" s="301"/>
      <c r="C539" s="356"/>
      <c r="F539"/>
      <c r="I539" s="532"/>
      <c r="Y539" s="960"/>
      <c r="AB539" s="944"/>
      <c r="AC539" s="232">
        <f t="shared" si="82"/>
        <v>1</v>
      </c>
      <c r="AD539" s="19"/>
      <c r="AE539" s="19"/>
      <c r="AF539" s="19"/>
      <c r="AG539" s="23"/>
      <c r="AH539" s="23"/>
      <c r="AI539" s="24"/>
      <c r="AJ539" s="89"/>
      <c r="AK539" s="34"/>
      <c r="AL539" s="364"/>
      <c r="AM539" s="34"/>
    </row>
    <row r="540" spans="1:39" s="6" customFormat="1" ht="20.25" hidden="1" customHeight="1" outlineLevel="1" collapsed="1" x14ac:dyDescent="0.2">
      <c r="A540" s="85"/>
      <c r="B540" s="334" t="s">
        <v>424</v>
      </c>
      <c r="C540" s="164"/>
      <c r="D540" s="13"/>
      <c r="E540" s="13"/>
      <c r="F540" s="13"/>
      <c r="G540" s="13"/>
      <c r="H540" s="13"/>
      <c r="I540" s="532"/>
      <c r="Y540" s="960"/>
      <c r="AB540" s="944"/>
      <c r="AC540" s="232">
        <f t="shared" si="82"/>
        <v>1</v>
      </c>
      <c r="AD540" s="19"/>
      <c r="AE540" s="19"/>
      <c r="AF540" s="19"/>
      <c r="AG540" s="23"/>
      <c r="AH540" s="23"/>
      <c r="AI540" s="24"/>
      <c r="AJ540" s="24"/>
      <c r="AK540" s="34"/>
      <c r="AL540" s="364"/>
      <c r="AM540" s="34"/>
    </row>
    <row r="541" spans="1:39" s="725" customFormat="1" ht="13.7" hidden="1" customHeight="1" outlineLevel="1" x14ac:dyDescent="0.2">
      <c r="A541" s="85"/>
      <c r="B541" s="559" t="str">
        <f>AB541</f>
        <v>ProgLead prepares NOTICE, PROPOSED.RULES &amp; optional SUPPORTING.DOCUMENTS:</v>
      </c>
      <c r="C541" s="164" t="s">
        <v>0</v>
      </c>
      <c r="D541" s="165"/>
      <c r="E541" s="536"/>
      <c r="G541" s="13"/>
      <c r="H541" s="140">
        <f>AH541</f>
        <v>42122</v>
      </c>
      <c r="I541" s="532"/>
      <c r="Y541" s="960"/>
      <c r="AB541" s="934" t="str">
        <f>S.Staff.Subject.Expert.FirstName&amp;" prepares NOTICE, PROPOSED.RULES &amp; optional SUPPORTING.DOCUMENTS:"</f>
        <v>ProgLead prepares NOTICE, PROPOSED.RULES &amp; optional SUPPORTING.DOCUMENTS:</v>
      </c>
      <c r="AC541" s="232">
        <f t="shared" si="82"/>
        <v>1</v>
      </c>
      <c r="AD541" s="19"/>
      <c r="AE541" s="19"/>
      <c r="AF541" s="19"/>
      <c r="AG541" s="23"/>
      <c r="AH541" s="25">
        <f>IF(AC541=0,,WORKDAY(S.Notice.Submit.ToRG,-1,S.DDL_DEQClosed))</f>
        <v>42122</v>
      </c>
      <c r="AI541" s="24"/>
      <c r="AJ541" s="24"/>
      <c r="AK541" s="34"/>
      <c r="AL541" s="364"/>
      <c r="AM541" s="34"/>
    </row>
    <row r="542" spans="1:39" s="883" customFormat="1" ht="13.7" hidden="1" customHeight="1" outlineLevel="1" x14ac:dyDescent="0.2">
      <c r="A542" s="85"/>
      <c r="B542" s="265" t="s">
        <v>657</v>
      </c>
      <c r="C542" s="151"/>
      <c r="D542" s="165"/>
      <c r="E542" s="707"/>
      <c r="F542" s="706"/>
      <c r="I542" s="532"/>
      <c r="Y542" s="960"/>
      <c r="AB542" s="944"/>
      <c r="AC542" s="232">
        <f t="shared" si="82"/>
        <v>1</v>
      </c>
      <c r="AD542" s="19"/>
      <c r="AE542" s="19"/>
      <c r="AF542" s="19"/>
      <c r="AG542" s="24"/>
      <c r="AH542" s="24"/>
      <c r="AI542" s="23"/>
      <c r="AJ542" s="16"/>
      <c r="AK542" s="34"/>
      <c r="AL542" s="364"/>
      <c r="AM542" s="34"/>
    </row>
    <row r="543" spans="1:39" s="725" customFormat="1" ht="13.7" hidden="1" customHeight="1" outlineLevel="1" x14ac:dyDescent="0.2">
      <c r="A543" s="85"/>
      <c r="B543" s="265" t="s">
        <v>656</v>
      </c>
      <c r="C543" s="151"/>
      <c r="D543" s="165"/>
      <c r="E543" s="707"/>
      <c r="F543" s="706"/>
      <c r="I543" s="532"/>
      <c r="Y543" s="960"/>
      <c r="AB543" s="944"/>
      <c r="AC543" s="232">
        <f t="shared" si="82"/>
        <v>1</v>
      </c>
      <c r="AD543" s="19"/>
      <c r="AE543" s="19"/>
      <c r="AF543" s="19"/>
      <c r="AG543" s="24"/>
      <c r="AH543" s="24"/>
      <c r="AI543" s="23"/>
      <c r="AJ543" s="16"/>
      <c r="AK543" s="34"/>
      <c r="AL543" s="364"/>
      <c r="AM543" s="34"/>
    </row>
    <row r="544" spans="1:39" s="883" customFormat="1" ht="13.7" hidden="1" customHeight="1" outlineLevel="1" x14ac:dyDescent="0.2">
      <c r="A544" s="85"/>
      <c r="B544" s="265" t="s">
        <v>658</v>
      </c>
      <c r="C544" s="151"/>
      <c r="D544" s="165"/>
      <c r="E544" s="707"/>
      <c r="F544" s="706"/>
      <c r="I544" s="532"/>
      <c r="Y544" s="960"/>
      <c r="AB544" s="944"/>
      <c r="AC544" s="232">
        <f t="shared" si="82"/>
        <v>1</v>
      </c>
      <c r="AD544" s="19"/>
      <c r="AE544" s="19"/>
      <c r="AF544" s="19"/>
      <c r="AG544" s="24"/>
      <c r="AH544" s="24"/>
      <c r="AI544" s="23"/>
      <c r="AJ544" s="16"/>
      <c r="AK544" s="34"/>
      <c r="AL544" s="364"/>
      <c r="AM544" s="34"/>
    </row>
    <row r="545" spans="1:39" s="767" customFormat="1" ht="13.7" hidden="1" customHeight="1" outlineLevel="1" x14ac:dyDescent="0.2">
      <c r="A545" s="85"/>
      <c r="B545" s="777" t="s">
        <v>662</v>
      </c>
      <c r="C545" s="151"/>
      <c r="D545" s="165"/>
      <c r="E545" s="707"/>
      <c r="F545" s="706"/>
      <c r="I545" s="532"/>
      <c r="Y545" s="960"/>
      <c r="AB545" s="944"/>
      <c r="AC545" s="232">
        <f t="shared" si="82"/>
        <v>1</v>
      </c>
      <c r="AD545" s="19"/>
      <c r="AE545" s="19"/>
      <c r="AF545" s="19"/>
      <c r="AG545" s="24"/>
      <c r="AH545" s="24"/>
      <c r="AI545" s="23"/>
      <c r="AJ545" s="16"/>
      <c r="AK545" s="34"/>
      <c r="AL545" s="364"/>
      <c r="AM545" s="34"/>
    </row>
    <row r="546" spans="1:39" s="767" customFormat="1" ht="13.7" hidden="1" customHeight="1" outlineLevel="1" x14ac:dyDescent="0.2">
      <c r="A546" s="85"/>
      <c r="B546" s="777" t="s">
        <v>663</v>
      </c>
      <c r="C546" s="151"/>
      <c r="D546" s="165"/>
      <c r="E546" s="707"/>
      <c r="F546" s="706"/>
      <c r="I546" s="532"/>
      <c r="Y546" s="960"/>
      <c r="AB546" s="944"/>
      <c r="AC546" s="232">
        <f t="shared" si="82"/>
        <v>1</v>
      </c>
      <c r="AD546" s="19"/>
      <c r="AE546" s="19"/>
      <c r="AF546" s="19"/>
      <c r="AG546" s="24"/>
      <c r="AH546" s="24"/>
      <c r="AI546" s="23"/>
      <c r="AJ546" s="16"/>
      <c r="AK546" s="34"/>
      <c r="AL546" s="364"/>
      <c r="AM546" s="34"/>
    </row>
    <row r="547" spans="1:39" s="725" customFormat="1" ht="13.7" hidden="1" customHeight="1" outlineLevel="1" x14ac:dyDescent="0.2">
      <c r="A547" s="85"/>
      <c r="B547" s="777" t="s">
        <v>664</v>
      </c>
      <c r="C547" s="151"/>
      <c r="D547" s="165"/>
      <c r="E547" s="707"/>
      <c r="F547" s="706"/>
      <c r="I547" s="532"/>
      <c r="Y547" s="960"/>
      <c r="AB547" s="944"/>
      <c r="AC547" s="232">
        <f t="shared" si="82"/>
        <v>1</v>
      </c>
      <c r="AD547" s="19"/>
      <c r="AE547" s="19"/>
      <c r="AF547" s="19"/>
      <c r="AG547" s="24"/>
      <c r="AH547" s="24"/>
      <c r="AI547" s="23"/>
      <c r="AJ547" s="16"/>
      <c r="AK547" s="34"/>
      <c r="AL547" s="364"/>
      <c r="AM547" s="34"/>
    </row>
    <row r="548" spans="1:39" s="12" customFormat="1" ht="13.7" hidden="1" customHeight="1" outlineLevel="1" x14ac:dyDescent="0.2">
      <c r="A548" s="531"/>
      <c r="B548" s="777" t="s">
        <v>665</v>
      </c>
      <c r="C548" s="905"/>
      <c r="D548" s="906"/>
      <c r="E548" s="907"/>
      <c r="F548" s="908"/>
      <c r="I548" s="532"/>
      <c r="AB548" s="953"/>
      <c r="AC548" s="909">
        <f t="shared" si="82"/>
        <v>1</v>
      </c>
      <c r="AD548" s="977"/>
      <c r="AE548" s="977"/>
      <c r="AF548" s="977"/>
      <c r="AG548" s="533"/>
      <c r="AH548" s="533"/>
      <c r="AI548" s="772"/>
      <c r="AJ548" s="910"/>
      <c r="AK548" s="454"/>
      <c r="AL548" s="987"/>
      <c r="AM548" s="454"/>
    </row>
    <row r="549" spans="1:39" s="6" customFormat="1" ht="13.7" hidden="1" customHeight="1" outlineLevel="1" x14ac:dyDescent="0.2">
      <c r="A549" s="85"/>
      <c r="B549" s="265" t="str">
        <f>AB549</f>
        <v>* emails RGLead for Rule Publication work when complete</v>
      </c>
      <c r="C549" s="164" t="s">
        <v>0</v>
      </c>
      <c r="D549" s="165"/>
      <c r="E549" s="536"/>
      <c r="G549" s="13"/>
      <c r="H549" s="140">
        <f>AH549</f>
        <v>42122</v>
      </c>
      <c r="I549" s="532"/>
      <c r="Y549" s="960"/>
      <c r="AB549" s="934" t="str">
        <f>"* emails "&amp;S.Staff.RG.Lead.FirstName&amp;" for Rule Publication work when complete"</f>
        <v>* emails RGLead for Rule Publication work when complete</v>
      </c>
      <c r="AC549" s="232">
        <f t="shared" si="82"/>
        <v>1</v>
      </c>
      <c r="AD549" s="19"/>
      <c r="AE549" s="19"/>
      <c r="AF549" s="19"/>
      <c r="AG549" s="23"/>
      <c r="AH549" s="25">
        <f>IF(AC549=0,,WORKDAY(S.Notice.Submit.ToRG,-1,S.DDL_DEQClosed))</f>
        <v>42122</v>
      </c>
      <c r="AI549" s="24"/>
      <c r="AJ549" s="24"/>
      <c r="AK549" s="34"/>
      <c r="AL549" s="364"/>
      <c r="AM549" s="34"/>
    </row>
    <row r="550" spans="1:39" s="792" customFormat="1" ht="4.5" hidden="1" customHeight="1" outlineLevel="1" thickBot="1" x14ac:dyDescent="0.25">
      <c r="A550" s="85"/>
      <c r="B550" s="778" t="s">
        <v>0</v>
      </c>
      <c r="C550" s="151"/>
      <c r="D550" s="13"/>
      <c r="E550" s="707"/>
      <c r="F550" s="706"/>
      <c r="I550" s="532"/>
      <c r="Y550" s="960"/>
      <c r="AB550" s="944"/>
      <c r="AC550" s="232">
        <f t="shared" si="82"/>
        <v>1</v>
      </c>
      <c r="AD550" s="19"/>
      <c r="AE550" s="19"/>
      <c r="AF550" s="19"/>
      <c r="AG550" s="24"/>
      <c r="AH550" s="24"/>
      <c r="AI550" s="23"/>
      <c r="AJ550" s="16"/>
      <c r="AK550" s="34"/>
      <c r="AL550" s="364"/>
      <c r="AM550" s="34"/>
    </row>
    <row r="551" spans="1:39" s="705" customFormat="1" ht="13.7" hidden="1" customHeight="1" outlineLevel="1" thickTop="1" x14ac:dyDescent="0.2">
      <c r="A551" s="85"/>
      <c r="B551" s="716" t="s">
        <v>659</v>
      </c>
      <c r="C551" s="164"/>
      <c r="D551" s="13"/>
      <c r="E551" s="13"/>
      <c r="F551" s="13"/>
      <c r="G551" s="1058" t="s">
        <v>344</v>
      </c>
      <c r="H551" s="1059"/>
      <c r="I551" s="532"/>
      <c r="Y551" s="960"/>
      <c r="AB551" s="944"/>
      <c r="AC551" s="232">
        <f t="shared" si="82"/>
        <v>1</v>
      </c>
      <c r="AD551" s="19"/>
      <c r="AE551" s="19"/>
      <c r="AF551" s="19"/>
      <c r="AG551" s="23"/>
      <c r="AH551" s="23"/>
      <c r="AI551" s="24"/>
      <c r="AJ551" s="24"/>
      <c r="AK551" s="34"/>
      <c r="AL551" s="364"/>
      <c r="AM551" s="34"/>
    </row>
    <row r="552" spans="1:39" s="709" customFormat="1" ht="13.7" hidden="1" customHeight="1" outlineLevel="1" x14ac:dyDescent="0.2">
      <c r="A552" s="85"/>
      <c r="B552" s="265" t="str">
        <f>AB552</f>
        <v>RGLead</v>
      </c>
      <c r="C552" s="151"/>
      <c r="D552" s="707"/>
      <c r="E552" s="707"/>
      <c r="F552" s="706"/>
      <c r="G552" s="740" t="s">
        <v>26</v>
      </c>
      <c r="H552" s="741" t="s">
        <v>407</v>
      </c>
      <c r="I552" s="532"/>
      <c r="Y552" s="960"/>
      <c r="AB552" s="954" t="str">
        <f>S.Staff.RG.Lead.FirstName</f>
        <v>RGLead</v>
      </c>
      <c r="AC552" s="232">
        <f t="shared" si="82"/>
        <v>1</v>
      </c>
      <c r="AD552" s="19"/>
      <c r="AE552" s="19"/>
      <c r="AF552" s="19"/>
      <c r="AG552" s="24"/>
      <c r="AH552" s="24"/>
      <c r="AI552" s="23"/>
      <c r="AJ552" s="16"/>
      <c r="AK552" s="34"/>
      <c r="AL552" s="364"/>
      <c r="AM552" s="34"/>
    </row>
    <row r="553" spans="1:39" s="6" customFormat="1" ht="13.7" hidden="1" customHeight="1" outlineLevel="1" thickBot="1" x14ac:dyDescent="0.25">
      <c r="A553" s="85"/>
      <c r="B553" s="712" t="s">
        <v>660</v>
      </c>
      <c r="C553" s="151"/>
      <c r="D553" s="507"/>
      <c r="E553" s="707"/>
      <c r="F553" s="706"/>
      <c r="G553" s="738">
        <f>S.Notice.Submit.ToRG</f>
        <v>42123</v>
      </c>
      <c r="H553" s="739">
        <f>H24</f>
        <v>42137</v>
      </c>
      <c r="I553" s="532"/>
      <c r="Y553" s="960"/>
      <c r="AB553" s="954" t="str">
        <f>S.Staff.RG.Lead.FirstName&amp;" who performs initial document readiness review"</f>
        <v>RGLead who performs initial document readiness review</v>
      </c>
      <c r="AC553" s="232">
        <f t="shared" si="82"/>
        <v>1</v>
      </c>
      <c r="AD553" s="19"/>
      <c r="AE553" s="19"/>
      <c r="AF553" s="19"/>
      <c r="AG553" s="24"/>
      <c r="AH553" s="25">
        <f>MAX(H549,H560,H561,H562)</f>
        <v>42122</v>
      </c>
      <c r="AI553" s="23"/>
      <c r="AJ553" s="16"/>
      <c r="AK553" s="34"/>
      <c r="AL553" s="364"/>
      <c r="AM553" s="34"/>
    </row>
    <row r="554" spans="1:39" s="790" customFormat="1" ht="13.7" hidden="1" customHeight="1" outlineLevel="1" thickTop="1" x14ac:dyDescent="0.2">
      <c r="A554" s="85" t="s">
        <v>0</v>
      </c>
      <c r="B554" s="779" t="s">
        <v>571</v>
      </c>
      <c r="D554" s="507"/>
      <c r="E554" s="643"/>
      <c r="F554" s="706"/>
      <c r="I554" s="532"/>
      <c r="Y554" s="960"/>
      <c r="AB554" s="944"/>
      <c r="AC554" s="232">
        <f t="shared" si="82"/>
        <v>1</v>
      </c>
      <c r="AD554" s="19"/>
      <c r="AE554" s="19"/>
      <c r="AF554" s="19"/>
      <c r="AG554" s="24"/>
      <c r="AH554" s="24"/>
      <c r="AI554" s="23"/>
      <c r="AJ554" s="16"/>
      <c r="AK554" s="34"/>
      <c r="AL554" s="364"/>
      <c r="AM554" s="34"/>
    </row>
    <row r="555" spans="1:39" s="6" customFormat="1" ht="13.7" hidden="1" customHeight="1" outlineLevel="1" x14ac:dyDescent="0.2">
      <c r="A555" s="85" t="s">
        <v>0</v>
      </c>
      <c r="B555" s="777" t="s">
        <v>668</v>
      </c>
      <c r="D555" s="507"/>
      <c r="E555" s="643"/>
      <c r="F555" s="706"/>
      <c r="I555" s="532"/>
      <c r="Y555" s="960"/>
      <c r="AB555" s="944"/>
      <c r="AC555" s="232">
        <f t="shared" si="82"/>
        <v>1</v>
      </c>
      <c r="AD555" s="19"/>
      <c r="AE555" s="19"/>
      <c r="AF555" s="19"/>
      <c r="AG555" s="24"/>
      <c r="AH555" s="24"/>
      <c r="AI555" s="23"/>
      <c r="AJ555" s="16"/>
      <c r="AK555" s="34"/>
      <c r="AL555" s="364"/>
      <c r="AM555" s="34"/>
    </row>
    <row r="556" spans="1:39" s="767" customFormat="1" ht="13.7" hidden="1" customHeight="1" outlineLevel="1" x14ac:dyDescent="0.2">
      <c r="A556" s="85" t="s">
        <v>0</v>
      </c>
      <c r="B556" s="713" t="str">
        <f>AB556</f>
        <v>&gt; notifies ProgMgr who works with ProgLead</v>
      </c>
      <c r="D556" s="507"/>
      <c r="E556" s="643"/>
      <c r="F556" s="706"/>
      <c r="I556" s="532"/>
      <c r="Y556" s="960"/>
      <c r="AB556" s="934" t="str">
        <f>"&gt; notifies "&amp;S.Staff.Program.Mgr.FirstName&amp;" who works with "&amp;S.Staff.Subject.Expert.FirstName</f>
        <v>&gt; notifies ProgMgr who works with ProgLead</v>
      </c>
      <c r="AC556" s="232">
        <f t="shared" si="82"/>
        <v>1</v>
      </c>
      <c r="AD556" s="19"/>
      <c r="AE556" s="19"/>
      <c r="AF556" s="19"/>
      <c r="AG556" s="24"/>
      <c r="AH556" s="24"/>
      <c r="AI556" s="23"/>
      <c r="AJ556" s="16"/>
      <c r="AK556" s="34"/>
      <c r="AL556" s="364"/>
      <c r="AM556" s="34"/>
    </row>
    <row r="557" spans="1:39" s="705" customFormat="1" ht="13.7" hidden="1" customHeight="1" outlineLevel="1" x14ac:dyDescent="0.2">
      <c r="A557" s="85"/>
      <c r="B557" s="911" t="str">
        <f>AB557</f>
        <v>&gt; renegotiates schedule with ProgMgr &amp; ProgLead as needed</v>
      </c>
      <c r="D557" s="507"/>
      <c r="E557" s="643"/>
      <c r="F557" s="706"/>
      <c r="I557" s="532"/>
      <c r="Y557" s="960"/>
      <c r="AB557" s="934" t="str">
        <f>"&gt; renegotiates schedule with "&amp;S.Staff.Program.Mgr.FirstName&amp;" &amp; "&amp;S.Staff.Subject.Expert.FirstName&amp;" as needed"</f>
        <v>&gt; renegotiates schedule with ProgMgr &amp; ProgLead as needed</v>
      </c>
      <c r="AC557" s="232">
        <f t="shared" si="82"/>
        <v>1</v>
      </c>
      <c r="AD557" s="19"/>
      <c r="AE557" s="19"/>
      <c r="AF557" s="19"/>
      <c r="AG557" s="24"/>
      <c r="AH557" s="24"/>
      <c r="AI557" s="23"/>
      <c r="AJ557" s="16"/>
      <c r="AK557" s="34"/>
      <c r="AL557" s="364"/>
      <c r="AM557" s="34"/>
    </row>
    <row r="558" spans="1:39" s="10" customFormat="1" ht="13.7" hidden="1" customHeight="1" outlineLevel="1" x14ac:dyDescent="0.2">
      <c r="A558" s="94"/>
      <c r="B558" s="713" t="str">
        <f>AB558</f>
        <v>&gt; reminds ProgLead to reschedule managers' briefing if needed</v>
      </c>
      <c r="D558" s="729"/>
      <c r="E558" s="263"/>
      <c r="F558" s="714"/>
      <c r="I558" s="715"/>
      <c r="AB558" s="934" t="str">
        <f>"&gt; reminds "&amp;S.Staff.Subject.Expert.FirstName&amp;" to reschedule managers' briefing if needed"</f>
        <v>&gt; reminds ProgLead to reschedule managers' briefing if needed</v>
      </c>
      <c r="AC558" s="232">
        <f t="shared" si="82"/>
        <v>1</v>
      </c>
      <c r="AD558" s="20"/>
      <c r="AE558" s="20"/>
      <c r="AF558" s="20"/>
      <c r="AG558" s="26"/>
      <c r="AH558" s="26"/>
      <c r="AI558" s="27"/>
      <c r="AJ558" s="16"/>
      <c r="AK558" s="975"/>
      <c r="AL558" s="989"/>
      <c r="AM558" s="975"/>
    </row>
    <row r="559" spans="1:39" s="10" customFormat="1" ht="13.7" hidden="1" customHeight="1" outlineLevel="1" thickBot="1" x14ac:dyDescent="0.25">
      <c r="A559" s="94"/>
      <c r="B559" s="912" t="str">
        <f>AB559</f>
        <v>&gt; suspends Rule Publication work until ProgLead resubmits documents</v>
      </c>
      <c r="D559" s="507"/>
      <c r="E559" s="263"/>
      <c r="F559" s="714"/>
      <c r="I559" s="715"/>
      <c r="AB559" s="934" t="str">
        <f>"&gt; suspends Rule Publication work until "&amp;S.Staff.Subject.Expert.FirstName&amp;" resubmits documents"</f>
        <v>&gt; suspends Rule Publication work until ProgLead resubmits documents</v>
      </c>
      <c r="AC559" s="232">
        <f t="shared" si="82"/>
        <v>1</v>
      </c>
      <c r="AD559" s="20"/>
      <c r="AE559" s="20"/>
      <c r="AF559" s="20"/>
      <c r="AG559" s="26"/>
      <c r="AH559" s="26"/>
      <c r="AI559" s="27"/>
      <c r="AJ559" s="16"/>
      <c r="AK559" s="975"/>
      <c r="AL559" s="989"/>
      <c r="AM559" s="975"/>
    </row>
    <row r="560" spans="1:39" s="709" customFormat="1" ht="13.7" hidden="1" customHeight="1" outlineLevel="1" thickBot="1" x14ac:dyDescent="0.25">
      <c r="A560" s="85"/>
      <c r="B560" s="217" t="s">
        <v>421</v>
      </c>
      <c r="C560" s="308" t="s">
        <v>77</v>
      </c>
      <c r="E560" s="706"/>
      <c r="F560" s="706"/>
      <c r="G560" s="707"/>
      <c r="H560" s="140">
        <f>AH560</f>
        <v>0</v>
      </c>
      <c r="I560" s="532"/>
      <c r="Y560" s="960"/>
      <c r="AB560" s="944"/>
      <c r="AC560" s="232">
        <f>IF(AND(S.Notice.Involved="Y",C560="Y"),1,0)</f>
        <v>0</v>
      </c>
      <c r="AD560" s="19"/>
      <c r="AE560" s="24"/>
      <c r="AF560" s="19"/>
      <c r="AG560" s="24"/>
      <c r="AH560" s="25">
        <f>IF(AC560=0,,WORKDAY(S.Notice.Submit.ToRG,-1,S.DDL_DEQClosed))</f>
        <v>0</v>
      </c>
      <c r="AI560" s="24"/>
      <c r="AJ560" s="24"/>
      <c r="AK560" s="34"/>
      <c r="AL560" s="364"/>
      <c r="AM560" s="34"/>
    </row>
    <row r="561" spans="1:39" s="709" customFormat="1" ht="13.7" hidden="1" customHeight="1" outlineLevel="1" thickBot="1" x14ac:dyDescent="0.25">
      <c r="A561" s="85"/>
      <c r="B561" s="780" t="s">
        <v>422</v>
      </c>
      <c r="C561" s="308" t="s">
        <v>77</v>
      </c>
      <c r="E561" s="706"/>
      <c r="F561" s="706"/>
      <c r="G561" s="707"/>
      <c r="H561" s="140">
        <f>AH561</f>
        <v>0</v>
      </c>
      <c r="I561" s="532"/>
      <c r="Y561" s="960"/>
      <c r="AB561" s="944"/>
      <c r="AC561" s="232">
        <f>IF(AND(S.Notice.Involved="Y",C561="Y"),1,0)</f>
        <v>0</v>
      </c>
      <c r="AD561" s="19"/>
      <c r="AE561" s="24"/>
      <c r="AF561" s="19"/>
      <c r="AG561" s="24"/>
      <c r="AH561" s="25">
        <f>IF(AC561=0,,WORKDAY(S.Notice.Submit.ToRG,-1,S.DDL_DEQClosed))</f>
        <v>0</v>
      </c>
      <c r="AI561" s="24"/>
      <c r="AJ561" s="24"/>
      <c r="AK561" s="34"/>
      <c r="AL561" s="364"/>
      <c r="AM561" s="34"/>
    </row>
    <row r="562" spans="1:39" s="709" customFormat="1" ht="13.7" hidden="1" customHeight="1" outlineLevel="1" thickBot="1" x14ac:dyDescent="0.25">
      <c r="A562" s="85"/>
      <c r="B562" s="277" t="s">
        <v>423</v>
      </c>
      <c r="C562" s="308" t="s">
        <v>77</v>
      </c>
      <c r="E562" s="706"/>
      <c r="F562" s="706"/>
      <c r="G562" s="707"/>
      <c r="H562" s="140">
        <f>AH562</f>
        <v>0</v>
      </c>
      <c r="I562" s="532"/>
      <c r="Y562" s="960"/>
      <c r="AB562" s="944"/>
      <c r="AC562" s="232">
        <f>IF(AND(S.Notice.Involved="Y",C562="Y"),1,0)</f>
        <v>0</v>
      </c>
      <c r="AD562" s="19"/>
      <c r="AE562" s="24"/>
      <c r="AF562" s="19"/>
      <c r="AG562" s="24"/>
      <c r="AH562" s="25">
        <f>IF(AC562=0,,WORKDAY(S.Notice.Submit.ToRG,-1,S.DDL_DEQClosed))</f>
        <v>0</v>
      </c>
      <c r="AI562" s="24"/>
      <c r="AJ562" s="24"/>
      <c r="AK562" s="34"/>
      <c r="AL562" s="364"/>
      <c r="AM562" s="34"/>
    </row>
    <row r="563" spans="1:39" s="709" customFormat="1" ht="13.7" hidden="1" customHeight="1" outlineLevel="1" x14ac:dyDescent="0.2">
      <c r="A563" s="85"/>
      <c r="B563" s="777" t="s">
        <v>674</v>
      </c>
      <c r="D563" s="643"/>
      <c r="E563" s="643"/>
      <c r="F563" s="706"/>
      <c r="I563" s="532"/>
      <c r="Y563" s="960"/>
      <c r="AB563" s="944"/>
      <c r="AC563" s="232">
        <f t="shared" ref="AC563:AC601" si="83">$AC$477</f>
        <v>1</v>
      </c>
      <c r="AD563" s="19"/>
      <c r="AE563" s="19"/>
      <c r="AF563" s="19"/>
      <c r="AG563" s="24"/>
      <c r="AH563" s="24"/>
      <c r="AI563" s="23"/>
      <c r="AJ563" s="16"/>
      <c r="AK563" s="34"/>
      <c r="AL563" s="364"/>
      <c r="AM563" s="34"/>
    </row>
    <row r="564" spans="1:39" s="790" customFormat="1" ht="13.7" hidden="1" customHeight="1" outlineLevel="1" x14ac:dyDescent="0.2">
      <c r="A564" s="85"/>
      <c r="B564" s="713" t="str">
        <f>AB564</f>
        <v xml:space="preserve">&gt; asks Meyer to apply CHECKLIST review to PROPOSED.RULES </v>
      </c>
      <c r="C564" s="328" t="str">
        <f>HYPERLINK("\\deqhq1\Rule_Resources\0.IndividualRulemaking\0-General\CoeName.CHECKLIST.PublicDocumentReview.docx","i")</f>
        <v>i</v>
      </c>
      <c r="D564" s="165"/>
      <c r="E564" s="707"/>
      <c r="F564" s="706"/>
      <c r="I564" s="532"/>
      <c r="Y564" s="960"/>
      <c r="AB564" s="934" t="str">
        <f>"&gt; asks "&amp;S.Staff.AgencyRulesCoordinator&amp;" to apply CHECKLIST review to PROPOSED.RULES "</f>
        <v xml:space="preserve">&gt; asks Meyer to apply CHECKLIST review to PROPOSED.RULES </v>
      </c>
      <c r="AC564" s="232">
        <f t="shared" si="83"/>
        <v>1</v>
      </c>
      <c r="AD564" s="19"/>
      <c r="AE564" s="19"/>
      <c r="AF564" s="19"/>
      <c r="AG564" s="24"/>
      <c r="AH564" s="24"/>
      <c r="AI564" s="23"/>
      <c r="AJ564" s="16"/>
      <c r="AK564" s="34"/>
      <c r="AL564" s="364"/>
      <c r="AM564" s="34"/>
    </row>
    <row r="565" spans="1:39" s="767" customFormat="1" ht="13.7" hidden="1" customHeight="1" outlineLevel="1" x14ac:dyDescent="0.2">
      <c r="A565" s="85"/>
      <c r="B565" s="304" t="s">
        <v>673</v>
      </c>
      <c r="C565" s="151"/>
      <c r="D565" s="13"/>
      <c r="E565" s="13"/>
      <c r="F565" s="13"/>
      <c r="G565" s="13"/>
      <c r="H565" s="13"/>
      <c r="I565" s="532"/>
      <c r="Y565" s="960"/>
      <c r="AB565" s="944"/>
      <c r="AC565" s="232">
        <f t="shared" si="83"/>
        <v>1</v>
      </c>
      <c r="AD565" s="19"/>
      <c r="AE565" s="19"/>
      <c r="AF565" s="19"/>
      <c r="AG565" s="23"/>
      <c r="AH565" s="23"/>
      <c r="AI565" s="24"/>
      <c r="AJ565" s="24"/>
      <c r="AK565" s="34"/>
      <c r="AL565" s="364"/>
      <c r="AM565" s="34"/>
    </row>
    <row r="566" spans="1:39" s="705" customFormat="1" ht="13.7" hidden="1" customHeight="1" outlineLevel="1" x14ac:dyDescent="0.2">
      <c r="A566" s="85"/>
      <c r="B566" s="304" t="s">
        <v>672</v>
      </c>
      <c r="C566" s="164"/>
      <c r="D566" s="13"/>
      <c r="E566" s="13"/>
      <c r="F566" s="13"/>
      <c r="I566" s="532"/>
      <c r="Y566" s="960"/>
      <c r="AB566" s="944"/>
      <c r="AC566" s="232">
        <f t="shared" si="83"/>
        <v>1</v>
      </c>
      <c r="AD566" s="19"/>
      <c r="AE566" s="19"/>
      <c r="AF566" s="19"/>
      <c r="AG566" s="23"/>
      <c r="AH566" s="23"/>
      <c r="AI566" s="24"/>
      <c r="AJ566" s="24"/>
      <c r="AK566" s="34"/>
      <c r="AL566" s="364"/>
      <c r="AM566" s="34"/>
    </row>
    <row r="567" spans="1:39" s="6" customFormat="1" ht="13.7" hidden="1" customHeight="1" outlineLevel="1" x14ac:dyDescent="0.2">
      <c r="A567" s="85"/>
      <c r="B567" s="713" t="str">
        <f>AB567</f>
        <v>&gt; asks BrianW, StephanieC &amp; Meyer &amp; AndreaG for input as needed</v>
      </c>
      <c r="D567" s="507"/>
      <c r="E567" s="706"/>
      <c r="F567" s="706"/>
      <c r="I567" s="532"/>
      <c r="Y567" s="960"/>
      <c r="AB567" s="934" t="str">
        <f>"&gt; asks "&amp;S.Staff.PublicAffairsOfficer&amp;", "&amp;S.Staff.EQCAssistant&amp;" &amp; "&amp;S.Staff.AgencyRulesCoordinator&amp;IF(S.SIP.Involved="N",," &amp; "&amp;S.Staff.SIPCo)&amp;" for input as needed"</f>
        <v>&gt; asks BrianW, StephanieC &amp; Meyer &amp; AndreaG for input as needed</v>
      </c>
      <c r="AC567" s="232">
        <f t="shared" si="83"/>
        <v>1</v>
      </c>
      <c r="AD567" s="19"/>
      <c r="AE567" s="19"/>
      <c r="AF567" s="19"/>
      <c r="AG567" s="23"/>
      <c r="AH567" s="23"/>
      <c r="AI567" s="23"/>
      <c r="AJ567" s="16"/>
      <c r="AK567" s="34"/>
      <c r="AL567" s="364"/>
      <c r="AM567" s="34"/>
    </row>
    <row r="568" spans="1:39" s="725" customFormat="1" ht="13.7" hidden="1" customHeight="1" outlineLevel="1" x14ac:dyDescent="0.2">
      <c r="A568" s="85"/>
      <c r="B568" s="904" t="s">
        <v>669</v>
      </c>
      <c r="D568" s="507"/>
      <c r="E568" s="706"/>
      <c r="F568" s="706"/>
      <c r="I568" s="532"/>
      <c r="Y568" s="960"/>
      <c r="AB568" s="944"/>
      <c r="AC568" s="232">
        <f t="shared" si="83"/>
        <v>1</v>
      </c>
      <c r="AD568" s="19"/>
      <c r="AE568" s="19"/>
      <c r="AF568" s="19"/>
      <c r="AG568" s="23"/>
      <c r="AH568" s="23"/>
      <c r="AI568" s="23"/>
      <c r="AJ568" s="16"/>
      <c r="AK568" s="34"/>
      <c r="AL568" s="364"/>
      <c r="AM568" s="34"/>
    </row>
    <row r="569" spans="1:39" s="6" customFormat="1" ht="12.75" hidden="1" customHeight="1" outlineLevel="1" x14ac:dyDescent="0.2">
      <c r="A569" s="85"/>
      <c r="B569" s="904" t="s">
        <v>670</v>
      </c>
      <c r="D569" s="507"/>
      <c r="E569" s="205"/>
      <c r="F569" s="145"/>
      <c r="I569" s="532"/>
      <c r="Y569" s="960"/>
      <c r="AB569" s="944"/>
      <c r="AC569" s="232">
        <f t="shared" si="83"/>
        <v>1</v>
      </c>
      <c r="AD569" s="19"/>
      <c r="AE569" s="19"/>
      <c r="AF569" s="19"/>
      <c r="AG569" s="23"/>
      <c r="AH569" s="23"/>
      <c r="AI569" s="24"/>
      <c r="AJ569" s="24"/>
      <c r="AK569" s="34"/>
      <c r="AL569" s="364"/>
      <c r="AM569" s="34"/>
    </row>
    <row r="570" spans="1:39" s="709" customFormat="1" ht="12.75" hidden="1" customHeight="1" outlineLevel="1" x14ac:dyDescent="0.2">
      <c r="A570" s="85"/>
      <c r="B570" s="904" t="s">
        <v>671</v>
      </c>
      <c r="D570" s="507"/>
      <c r="E570" s="205"/>
      <c r="F570" s="145"/>
      <c r="I570" s="532"/>
      <c r="Y570" s="960"/>
      <c r="AB570" s="944"/>
      <c r="AC570" s="232">
        <f t="shared" si="83"/>
        <v>1</v>
      </c>
      <c r="AD570" s="19"/>
      <c r="AE570" s="19"/>
      <c r="AF570" s="19"/>
      <c r="AG570" s="23"/>
      <c r="AH570" s="23"/>
      <c r="AI570" s="24"/>
      <c r="AJ570" s="24"/>
      <c r="AK570" s="34"/>
      <c r="AL570" s="364"/>
      <c r="AM570" s="34"/>
    </row>
    <row r="571" spans="1:39" s="705" customFormat="1" ht="13.7" hidden="1" customHeight="1" outlineLevel="1" x14ac:dyDescent="0.2">
      <c r="A571" s="85"/>
      <c r="B571" s="713" t="str">
        <f>AB571</f>
        <v>&gt; asks ProgMgr &amp; ProgLead for input/concurrance as needed</v>
      </c>
      <c r="D571" s="507"/>
      <c r="E571" s="706"/>
      <c r="F571" s="706"/>
      <c r="I571" s="532"/>
      <c r="Y571" s="960"/>
      <c r="AB571" s="934" t="str">
        <f>"&gt; asks "&amp;S.Staff.Program.Mgr.FirstName&amp;" &amp; "&amp;S.Staff.Subject.Expert.FirstName&amp;" for input/concurrance as needed"</f>
        <v>&gt; asks ProgMgr &amp; ProgLead for input/concurrance as needed</v>
      </c>
      <c r="AC571" s="232">
        <f t="shared" si="83"/>
        <v>1</v>
      </c>
      <c r="AD571" s="19"/>
      <c r="AE571" s="19"/>
      <c r="AF571" s="19"/>
      <c r="AG571" s="23"/>
      <c r="AH571" s="23"/>
      <c r="AI571" s="23"/>
      <c r="AJ571" s="16"/>
      <c r="AK571" s="34"/>
      <c r="AL571" s="364"/>
      <c r="AM571" s="34"/>
    </row>
    <row r="572" spans="1:39" s="709" customFormat="1" ht="13.7" hidden="1" customHeight="1" outlineLevel="1" x14ac:dyDescent="0.2">
      <c r="A572" s="85"/>
      <c r="B572" s="782" t="str">
        <f>AB572</f>
        <v>ProgMgr, ProgLead &amp; RGLead discuss the following:</v>
      </c>
      <c r="D572" s="706"/>
      <c r="E572" s="706"/>
      <c r="F572" s="706"/>
      <c r="G572" s="170"/>
      <c r="H572" s="170"/>
      <c r="I572" s="170"/>
      <c r="Y572" s="960"/>
      <c r="AB572" s="934" t="str">
        <f>S.Staff.Program.Mgr.FirstName&amp;", "&amp;S.Staff.Subject.Expert.FirstName&amp;" &amp; "&amp;S.Staff.RG.Lead.FirstName&amp;" discuss the following:"</f>
        <v>ProgMgr, ProgLead &amp; RGLead discuss the following:</v>
      </c>
      <c r="AC572" s="232">
        <f t="shared" si="83"/>
        <v>1</v>
      </c>
      <c r="AD572" s="19"/>
      <c r="AE572" s="19"/>
      <c r="AF572" s="19"/>
      <c r="AG572" s="23"/>
      <c r="AH572" s="23"/>
      <c r="AI572" s="23"/>
      <c r="AJ572" s="16"/>
      <c r="AK572" s="34"/>
      <c r="AL572" s="364"/>
      <c r="AM572" s="34"/>
    </row>
    <row r="573" spans="1:39" s="709" customFormat="1" ht="13.7" hidden="1" customHeight="1" outlineLevel="1" x14ac:dyDescent="0.2">
      <c r="A573" s="85"/>
      <c r="B573" s="712" t="s">
        <v>415</v>
      </c>
      <c r="D573" s="706"/>
      <c r="E573" s="706"/>
      <c r="F573" s="706"/>
      <c r="G573" s="883"/>
      <c r="H573" s="170"/>
      <c r="I573" s="532"/>
      <c r="Y573" s="960"/>
      <c r="AB573" s="944"/>
      <c r="AC573" s="232">
        <f t="shared" si="83"/>
        <v>1</v>
      </c>
      <c r="AD573" s="19"/>
      <c r="AE573" s="19"/>
      <c r="AF573" s="19"/>
      <c r="AG573" s="23"/>
      <c r="AH573" s="23"/>
      <c r="AI573" s="23"/>
      <c r="AJ573" s="16"/>
      <c r="AK573" s="34"/>
      <c r="AL573" s="364"/>
      <c r="AM573" s="34"/>
    </row>
    <row r="574" spans="1:39" s="426" customFormat="1" ht="14.1" hidden="1" customHeight="1" outlineLevel="1" x14ac:dyDescent="0.2">
      <c r="A574" s="395"/>
      <c r="B574" s="158" t="str">
        <f>AB574</f>
        <v>* need for AAG review</v>
      </c>
      <c r="C574" s="151" t="s">
        <v>0</v>
      </c>
      <c r="D574" s="555"/>
      <c r="E574" s="646"/>
      <c r="F574" s="709"/>
      <c r="G574" s="731"/>
      <c r="H574" s="731"/>
      <c r="I574" s="680"/>
      <c r="AB574" s="934" t="str">
        <f>"* need for "&amp;S.Staff.AAG&amp;" review"</f>
        <v>* need for AAG review</v>
      </c>
      <c r="AC574" s="232">
        <f t="shared" si="83"/>
        <v>1</v>
      </c>
      <c r="AD574" s="19"/>
      <c r="AE574" s="19"/>
      <c r="AF574" s="19"/>
      <c r="AG574" s="24"/>
      <c r="AH574" s="24"/>
      <c r="AI574" s="24"/>
      <c r="AJ574" s="24"/>
      <c r="AK574" s="34"/>
      <c r="AL574" s="364"/>
      <c r="AM574" s="34"/>
    </row>
    <row r="575" spans="1:39" s="709" customFormat="1" ht="13.7" hidden="1" customHeight="1" outlineLevel="1" x14ac:dyDescent="0.2">
      <c r="A575" s="85" t="s">
        <v>0</v>
      </c>
      <c r="B575" s="712" t="s">
        <v>675</v>
      </c>
      <c r="D575" s="507"/>
      <c r="E575" s="643"/>
      <c r="F575" s="706"/>
      <c r="I575" s="532"/>
      <c r="Y575" s="960"/>
      <c r="AB575" s="944"/>
      <c r="AC575" s="232">
        <f t="shared" si="83"/>
        <v>1</v>
      </c>
      <c r="AD575" s="19"/>
      <c r="AE575" s="19"/>
      <c r="AF575" s="19"/>
      <c r="AG575" s="24"/>
      <c r="AH575" s="24"/>
      <c r="AI575" s="23"/>
      <c r="AJ575" s="16"/>
      <c r="AK575" s="34"/>
      <c r="AL575" s="364"/>
      <c r="AM575" s="34"/>
    </row>
    <row r="576" spans="1:39" s="704" customFormat="1" ht="14.1" hidden="1" customHeight="1" outlineLevel="1" x14ac:dyDescent="0.2">
      <c r="A576" s="85"/>
      <c r="B576" s="783" t="str">
        <f>AB576</f>
        <v>ProgLead:</v>
      </c>
      <c r="C576" s="151" t="s">
        <v>0</v>
      </c>
      <c r="D576" s="555"/>
      <c r="E576" s="646"/>
      <c r="F576" s="426"/>
      <c r="G576" s="140">
        <f>AG576</f>
        <v>42123</v>
      </c>
      <c r="H576" s="140">
        <f>AH576</f>
        <v>42151</v>
      </c>
      <c r="I576" s="532"/>
      <c r="Y576" s="960"/>
      <c r="AB576" s="934" t="str">
        <f>S.Staff.Subject.Expert.FirstName&amp;":"</f>
        <v>ProgLead:</v>
      </c>
      <c r="AC576" s="232">
        <f t="shared" si="83"/>
        <v>1</v>
      </c>
      <c r="AD576" s="19"/>
      <c r="AE576" s="19"/>
      <c r="AF576" s="19"/>
      <c r="AG576" s="556">
        <f>S.Notice.Submit.ToRG</f>
        <v>42123</v>
      </c>
      <c r="AH576" s="556">
        <f>S.Notice.Submit.ToADA</f>
        <v>42151</v>
      </c>
      <c r="AI576" s="24"/>
      <c r="AJ576" s="24"/>
      <c r="AK576" s="34"/>
      <c r="AL576" s="364"/>
      <c r="AM576" s="34"/>
    </row>
    <row r="577" spans="1:39" s="704" customFormat="1" ht="14.1" hidden="1" customHeight="1" outlineLevel="1" x14ac:dyDescent="0.2">
      <c r="A577" s="85"/>
      <c r="B577" s="184" t="s">
        <v>419</v>
      </c>
      <c r="C577" s="151" t="s">
        <v>0</v>
      </c>
      <c r="D577" s="426"/>
      <c r="E577" s="426"/>
      <c r="F577" s="426"/>
      <c r="G577" s="395"/>
      <c r="H577" s="395"/>
      <c r="I577" s="532"/>
      <c r="Y577" s="960"/>
      <c r="AB577" s="944"/>
      <c r="AC577" s="232">
        <f t="shared" si="83"/>
        <v>1</v>
      </c>
      <c r="AD577" s="19"/>
      <c r="AE577" s="24"/>
      <c r="AF577" s="19"/>
      <c r="AG577" s="24"/>
      <c r="AH577" s="24"/>
      <c r="AI577" s="24"/>
      <c r="AJ577" s="24"/>
      <c r="AK577" s="34"/>
      <c r="AL577" s="364"/>
      <c r="AM577" s="34"/>
    </row>
    <row r="578" spans="1:39" s="426" customFormat="1" ht="14.1" hidden="1" customHeight="1" outlineLevel="1" x14ac:dyDescent="0.2">
      <c r="A578" s="395"/>
      <c r="B578" s="184" t="str">
        <f>AB578</f>
        <v>* asks AAG for review, if indicated, copies Meyer and addresses input</v>
      </c>
      <c r="C578" s="151" t="s">
        <v>0</v>
      </c>
      <c r="D578" s="555"/>
      <c r="E578" s="646"/>
      <c r="F578" s="705"/>
      <c r="I578" s="680"/>
      <c r="AB578" s="934" t="str">
        <f>"* asks "&amp;S.Staff.AAG&amp;" for review, if indicated, copies "&amp;S.Staff.AgencyRulesCoordinator&amp;" and addresses input"</f>
        <v>* asks AAG for review, if indicated, copies Meyer and addresses input</v>
      </c>
      <c r="AC578" s="232">
        <f t="shared" si="83"/>
        <v>1</v>
      </c>
      <c r="AD578" s="19"/>
      <c r="AE578" s="19"/>
      <c r="AF578" s="19"/>
      <c r="AG578" s="24"/>
      <c r="AH578" s="24"/>
      <c r="AI578" s="24"/>
      <c r="AJ578" s="24"/>
      <c r="AK578" s="34"/>
      <c r="AL578" s="364"/>
      <c r="AM578" s="34"/>
    </row>
    <row r="579" spans="1:39" s="709" customFormat="1" ht="14.1" hidden="1" customHeight="1" outlineLevel="1" x14ac:dyDescent="0.2">
      <c r="A579" s="85"/>
      <c r="B579" s="184" t="str">
        <f>AB579</f>
        <v>* asks RGLead &amp; ProgMgr for concurrence on changes if indicated</v>
      </c>
      <c r="C579" s="151"/>
      <c r="D579" s="555"/>
      <c r="E579" s="426"/>
      <c r="F579" s="426"/>
      <c r="G579" s="395"/>
      <c r="H579" s="395"/>
      <c r="I579" s="532"/>
      <c r="Y579" s="960"/>
      <c r="AB579" s="934" t="str">
        <f>"* asks "&amp;S.Staff.RG.Lead.FirstName&amp;" &amp; "&amp;S.Staff.Program.Mgr.FirstName&amp;" for concurrence on changes if indicated"</f>
        <v>* asks RGLead &amp; ProgMgr for concurrence on changes if indicated</v>
      </c>
      <c r="AC579" s="232">
        <f t="shared" si="83"/>
        <v>1</v>
      </c>
      <c r="AD579" s="19"/>
      <c r="AE579" s="24"/>
      <c r="AF579" s="19"/>
      <c r="AG579" s="24"/>
      <c r="AH579" s="24"/>
      <c r="AI579" s="24"/>
      <c r="AJ579" s="24"/>
      <c r="AK579" s="34"/>
      <c r="AL579" s="364"/>
      <c r="AM579" s="34"/>
    </row>
    <row r="580" spans="1:39" s="709" customFormat="1" ht="14.1" hidden="1" customHeight="1" outlineLevel="1" x14ac:dyDescent="0.2">
      <c r="A580" s="85"/>
      <c r="B580" s="184" t="s">
        <v>419</v>
      </c>
      <c r="C580" s="151" t="s">
        <v>0</v>
      </c>
      <c r="D580" s="555"/>
      <c r="E580" s="426"/>
      <c r="F580" s="426"/>
      <c r="G580" s="395"/>
      <c r="H580" s="395"/>
      <c r="I580" s="532"/>
      <c r="Y580" s="960"/>
      <c r="AB580" s="934" t="str">
        <f>"* addresses Rule Publication concerns"</f>
        <v>* addresses Rule Publication concerns</v>
      </c>
      <c r="AC580" s="232">
        <f t="shared" si="83"/>
        <v>1</v>
      </c>
      <c r="AD580" s="19"/>
      <c r="AE580" s="24"/>
      <c r="AF580" s="19"/>
      <c r="AG580" s="24"/>
      <c r="AH580" s="24"/>
      <c r="AI580" s="24"/>
      <c r="AJ580" s="24"/>
      <c r="AK580" s="34"/>
      <c r="AL580" s="364"/>
      <c r="AM580" s="34"/>
    </row>
    <row r="581" spans="1:39" s="709" customFormat="1" ht="14.1" hidden="1" customHeight="1" outlineLevel="1" x14ac:dyDescent="0.2">
      <c r="A581" s="85"/>
      <c r="B581" s="184" t="str">
        <f>AB581</f>
        <v>* notifies RGLead &amp; ProgMgr when complete and ready for preview</v>
      </c>
      <c r="C581" s="151"/>
      <c r="D581" s="555"/>
      <c r="E581" s="426"/>
      <c r="F581" s="426"/>
      <c r="G581" s="395"/>
      <c r="H581" s="395"/>
      <c r="I581" s="532"/>
      <c r="Y581" s="960"/>
      <c r="AB581" s="934" t="str">
        <f>"* notifies "&amp;S.Staff.RG.Lead.FirstName&amp;" &amp; "&amp;S.Staff.Program.Mgr.FirstName&amp;" when complete and ready for preview"</f>
        <v>* notifies RGLead &amp; ProgMgr when complete and ready for preview</v>
      </c>
      <c r="AC581" s="232">
        <f t="shared" si="83"/>
        <v>1</v>
      </c>
      <c r="AD581" s="19"/>
      <c r="AE581" s="24"/>
      <c r="AF581" s="19"/>
      <c r="AG581" s="24"/>
      <c r="AH581" s="24"/>
      <c r="AI581" s="24"/>
      <c r="AJ581" s="24"/>
      <c r="AK581" s="34"/>
      <c r="AL581" s="364"/>
      <c r="AM581" s="34"/>
    </row>
    <row r="582" spans="1:39" s="709" customFormat="1" ht="13.7" hidden="1" customHeight="1" outlineLevel="1" x14ac:dyDescent="0.2">
      <c r="A582" s="85"/>
      <c r="B582" s="265" t="str">
        <f>AB582</f>
        <v>* initializes ProgMgr's publication review</v>
      </c>
      <c r="D582" s="706"/>
      <c r="E582" s="706"/>
      <c r="F582" s="706"/>
      <c r="I582" s="532"/>
      <c r="Y582" s="960"/>
      <c r="AB582" s="934" t="str">
        <f>"* initializes "&amp;S.Staff.Program.Mgr.FirstName&amp;"'s publication review"</f>
        <v>* initializes ProgMgr's publication review</v>
      </c>
      <c r="AC582" s="232">
        <f t="shared" si="83"/>
        <v>1</v>
      </c>
      <c r="AD582" s="19"/>
      <c r="AE582" s="19"/>
      <c r="AF582" s="19"/>
      <c r="AG582" s="23"/>
      <c r="AH582" s="23"/>
      <c r="AI582" s="23"/>
      <c r="AJ582" s="16"/>
      <c r="AK582" s="34"/>
      <c r="AL582" s="364"/>
      <c r="AM582" s="34"/>
    </row>
    <row r="583" spans="1:39" s="767" customFormat="1" ht="13.5" hidden="1" customHeight="1" outlineLevel="1" x14ac:dyDescent="0.2">
      <c r="A583" s="85"/>
      <c r="B583" s="712"/>
      <c r="D583" s="1011"/>
      <c r="E583" s="706"/>
      <c r="F583" s="706"/>
      <c r="I583" s="532"/>
      <c r="Y583" s="960"/>
      <c r="AB583" s="944"/>
      <c r="AC583" s="232">
        <f t="shared" si="83"/>
        <v>1</v>
      </c>
      <c r="AD583" s="19"/>
      <c r="AE583" s="19"/>
      <c r="AF583" s="19"/>
      <c r="AG583" s="23"/>
      <c r="AH583" s="23"/>
      <c r="AI583" s="23"/>
      <c r="AJ583" s="16"/>
      <c r="AK583" s="34"/>
      <c r="AL583" s="364"/>
      <c r="AM583" s="34"/>
    </row>
    <row r="584" spans="1:39" s="6" customFormat="1" ht="13.5" hidden="1" customHeight="1" outlineLevel="1" x14ac:dyDescent="0.2">
      <c r="A584" s="85"/>
      <c r="B584" s="334" t="s">
        <v>411</v>
      </c>
      <c r="C584" s="352"/>
      <c r="D584" s="499"/>
      <c r="E584" s="499"/>
      <c r="F584"/>
      <c r="I584" s="532"/>
      <c r="Y584" s="960"/>
      <c r="AB584" s="944"/>
      <c r="AC584" s="232">
        <f t="shared" si="83"/>
        <v>1</v>
      </c>
      <c r="AD584" s="19"/>
      <c r="AE584" s="19"/>
      <c r="AF584" s="19"/>
      <c r="AG584" s="24"/>
      <c r="AH584" s="24"/>
      <c r="AI584" s="24"/>
      <c r="AJ584" s="24"/>
      <c r="AK584" s="34"/>
      <c r="AL584" s="364"/>
      <c r="AM584" s="34"/>
    </row>
    <row r="585" spans="1:39" s="6" customFormat="1" ht="14.1" hidden="1" customHeight="1" outlineLevel="1" x14ac:dyDescent="0.2">
      <c r="A585" s="85"/>
      <c r="B585" s="150" t="str">
        <f t="shared" ref="B585:B591" si="84">AB585</f>
        <v>ProgLead drafts EMAIL.PREVIEW (instructions in template)</v>
      </c>
      <c r="C585" s="327" t="str">
        <f>HYPERLINK("\\deqhq1\Rule_Resources\i\EMAIL.Preview.docx","i")</f>
        <v>i</v>
      </c>
      <c r="D585" s="499"/>
      <c r="E585" s="536"/>
      <c r="F585"/>
      <c r="H585" s="148">
        <f>AH585</f>
        <v>42146</v>
      </c>
      <c r="I585" s="532"/>
      <c r="Y585" s="960"/>
      <c r="AB585" s="934" t="str">
        <f>S.Staff.Subject.Expert.FirstName&amp;" drafts EMAIL.PREVIEW (instructions in template)"</f>
        <v>ProgLead drafts EMAIL.PREVIEW (instructions in template)</v>
      </c>
      <c r="AC585" s="232">
        <f t="shared" si="83"/>
        <v>1</v>
      </c>
      <c r="AD585" s="19"/>
      <c r="AE585" s="19"/>
      <c r="AF585" s="19"/>
      <c r="AG585" s="24"/>
      <c r="AH585" s="25">
        <f>IF(AC585=0,,WORKDAY(S.Notice.ADABriefing,-1,S.DDL_DEQClosed))</f>
        <v>42146</v>
      </c>
      <c r="AI585" s="24"/>
      <c r="AJ585" s="24"/>
      <c r="AK585" s="34"/>
      <c r="AL585" s="364"/>
      <c r="AM585" s="34"/>
    </row>
    <row r="586" spans="1:39" s="6" customFormat="1" ht="14.1" hidden="1" customHeight="1" outlineLevel="1" x14ac:dyDescent="0.2">
      <c r="A586" s="85"/>
      <c r="B586" s="201" t="str">
        <f t="shared" si="84"/>
        <v>* sends draft to MediaLead just before briefing - links to preview documents included</v>
      </c>
      <c r="C586" s="352" t="s">
        <v>0</v>
      </c>
      <c r="D586" s="555"/>
      <c r="E586" s="499"/>
      <c r="F586"/>
      <c r="I586" s="532"/>
      <c r="Y586" s="960"/>
      <c r="AB586" s="934" t="str">
        <f>"* sends draft to "&amp;S.Staff.Assistant.DA.ShortName&amp;" just before briefing - links to preview documents included"</f>
        <v>* sends draft to MediaLead just before briefing - links to preview documents included</v>
      </c>
      <c r="AC586" s="232">
        <f t="shared" si="83"/>
        <v>1</v>
      </c>
      <c r="AD586" s="19"/>
      <c r="AE586" s="19"/>
      <c r="AF586" s="19"/>
      <c r="AG586" s="24"/>
      <c r="AH586" s="24"/>
      <c r="AI586" s="24"/>
      <c r="AJ586" s="24"/>
      <c r="AK586" s="34"/>
      <c r="AL586" s="364"/>
      <c r="AM586" s="34"/>
    </row>
    <row r="587" spans="1:39" s="6" customFormat="1" ht="14.1" hidden="1" customHeight="1" outlineLevel="1" x14ac:dyDescent="0.2">
      <c r="A587" s="85"/>
      <c r="B587" s="201" t="str">
        <f t="shared" si="84"/>
        <v>* reminds MediaLead the review starts today</v>
      </c>
      <c r="C587" s="352" t="s">
        <v>0</v>
      </c>
      <c r="D587" s="555"/>
      <c r="E587" s="499"/>
      <c r="F587"/>
      <c r="G587" s="13"/>
      <c r="H587" s="13"/>
      <c r="I587" s="532"/>
      <c r="J587"/>
      <c r="K587"/>
      <c r="L587"/>
      <c r="M587"/>
      <c r="N587"/>
      <c r="O587"/>
      <c r="P587"/>
      <c r="Q587"/>
      <c r="R587"/>
      <c r="S587"/>
      <c r="T587"/>
      <c r="U587"/>
      <c r="X587"/>
      <c r="Y587" s="960"/>
      <c r="AB587" s="934" t="str">
        <f>"* reminds "&amp;S.Staff.Assistant.DA.ShortName&amp;" the review starts today"</f>
        <v>* reminds MediaLead the review starts today</v>
      </c>
      <c r="AC587" s="232">
        <f t="shared" si="83"/>
        <v>1</v>
      </c>
      <c r="AD587" s="19"/>
      <c r="AE587" s="19"/>
      <c r="AF587" s="19"/>
      <c r="AG587" s="24"/>
      <c r="AH587" s="24"/>
      <c r="AI587" s="24"/>
      <c r="AJ587" s="24"/>
      <c r="AK587" s="34"/>
      <c r="AL587" s="364"/>
      <c r="AM587" s="34"/>
    </row>
    <row r="588" spans="1:39" s="709" customFormat="1" ht="14.1" hidden="1" customHeight="1" outlineLevel="1" thickBot="1" x14ac:dyDescent="0.25">
      <c r="A588" s="85"/>
      <c r="B588" s="201" t="str">
        <f t="shared" si="84"/>
        <v>* copies ProgMgr &amp; RGLead on email</v>
      </c>
      <c r="C588" s="708" t="s">
        <v>0</v>
      </c>
      <c r="D588" s="555"/>
      <c r="E588" s="499"/>
      <c r="G588" s="719"/>
      <c r="H588" s="719"/>
      <c r="I588" s="532"/>
      <c r="Y588" s="960"/>
      <c r="AB588" s="934" t="str">
        <f>"* copies "&amp;S.Staff.Program.Mgr.FirstName&amp;" &amp; "&amp;S.Staff.RG.Lead.FirstName&amp;" on email"</f>
        <v>* copies ProgMgr &amp; RGLead on email</v>
      </c>
      <c r="AC588" s="232">
        <f t="shared" si="83"/>
        <v>1</v>
      </c>
      <c r="AD588" s="19"/>
      <c r="AE588" s="19"/>
      <c r="AF588" s="19"/>
      <c r="AG588" s="24"/>
      <c r="AH588" s="24"/>
      <c r="AI588" s="24"/>
      <c r="AJ588" s="24"/>
      <c r="AK588" s="34"/>
      <c r="AL588" s="364"/>
      <c r="AM588" s="34"/>
    </row>
    <row r="589" spans="1:39" ht="14.1" hidden="1" customHeight="1" outlineLevel="1" thickTop="1" x14ac:dyDescent="0.2">
      <c r="A589" s="85"/>
      <c r="B589" s="166" t="str">
        <f t="shared" si="84"/>
        <v>ProgLead, ProgMgr brief MediaLead</v>
      </c>
      <c r="C589" s="352" t="s">
        <v>0</v>
      </c>
      <c r="D589" s="499"/>
      <c r="E589" s="499"/>
      <c r="F589" s="718"/>
      <c r="G589" s="667" t="s">
        <v>406</v>
      </c>
      <c r="H589" s="722">
        <f>AH589</f>
        <v>42150</v>
      </c>
      <c r="I589" s="532"/>
      <c r="AB589" s="934" t="str">
        <f>S.Staff.Subject.Expert.FirstName&amp;", "&amp;S.Staff.Program.Mgr.FirstName&amp;" brief "&amp;S.Staff.Assistant.DA.ShortName</f>
        <v>ProgLead, ProgMgr brief MediaLead</v>
      </c>
      <c r="AC589" s="232">
        <f t="shared" si="83"/>
        <v>1</v>
      </c>
      <c r="AD589" s="19"/>
      <c r="AE589" s="19"/>
      <c r="AF589" s="19"/>
      <c r="AG589" s="24"/>
      <c r="AH589" s="25">
        <f>IF(AC520=0,,WORKDAY(S.Notice.Submit.ToADA,-1,S.DDL_DEQClosed))</f>
        <v>42150</v>
      </c>
      <c r="AI589" s="24"/>
      <c r="AJ589" s="24"/>
      <c r="AK589" s="34"/>
      <c r="AL589" s="364"/>
      <c r="AM589" s="34"/>
    </row>
    <row r="590" spans="1:39" s="6" customFormat="1" ht="14.1" hidden="1" customHeight="1" outlineLevel="1" x14ac:dyDescent="0.2">
      <c r="A590" s="85"/>
      <c r="B590" s="717" t="str">
        <f t="shared" si="84"/>
        <v>MediaLead personalizes and sends EMAIL.PREVIEW 3 work days after briefing</v>
      </c>
      <c r="C590" s="352"/>
      <c r="D590" s="495"/>
      <c r="E590" s="495"/>
      <c r="F590" s="718"/>
      <c r="G590" s="1068" t="s">
        <v>364</v>
      </c>
      <c r="H590" s="1069"/>
      <c r="I590" s="532"/>
      <c r="Y590" s="960"/>
      <c r="AB590" s="934" t="str">
        <f>S.Staff.Assistant.DA.ShortName&amp;" personalizes and sends EMAIL.PREVIEW 3 work days after briefing"</f>
        <v>MediaLead personalizes and sends EMAIL.PREVIEW 3 work days after briefing</v>
      </c>
      <c r="AC590" s="232">
        <f t="shared" si="83"/>
        <v>1</v>
      </c>
      <c r="AD590" s="19"/>
      <c r="AE590" s="981"/>
      <c r="AF590" s="19"/>
      <c r="AG590" s="24"/>
      <c r="AH590" s="24"/>
      <c r="AI590" s="24"/>
      <c r="AJ590" s="24"/>
      <c r="AK590" s="34"/>
      <c r="AL590" s="364"/>
      <c r="AM590" s="34"/>
    </row>
    <row r="591" spans="1:39" s="6" customFormat="1" ht="14.1" hidden="1" customHeight="1" outlineLevel="1" x14ac:dyDescent="0.2">
      <c r="A591" s="85"/>
      <c r="B591" s="342" t="str">
        <f t="shared" si="84"/>
        <v>To… Dick, DA.Program, Leadership Team &amp; StephanieC</v>
      </c>
      <c r="C591" s="352"/>
      <c r="D591" s="495"/>
      <c r="E591" s="495"/>
      <c r="F591" s="718"/>
      <c r="G591" s="689" t="s">
        <v>26</v>
      </c>
      <c r="H591" s="720" t="s">
        <v>57</v>
      </c>
      <c r="I591" s="532"/>
      <c r="Y591" s="960"/>
      <c r="AB591" s="934" t="str">
        <f>"To… "&amp;S.Staff.Director&amp;", "&amp;S.Staff.DA.ForProgram.FirstName&amp;", Leadership Team &amp; "&amp;S.Staff.EQCAssistant</f>
        <v>To… Dick, DA.Program, Leadership Team &amp; StephanieC</v>
      </c>
      <c r="AC591" s="232">
        <f t="shared" si="83"/>
        <v>1</v>
      </c>
      <c r="AD591" s="19"/>
      <c r="AE591" s="981"/>
      <c r="AF591" s="19"/>
      <c r="AG591" s="24"/>
      <c r="AH591" s="24"/>
      <c r="AI591" s="24"/>
      <c r="AJ591" s="24"/>
      <c r="AK591" s="34"/>
      <c r="AL591" s="364"/>
      <c r="AM591" s="34"/>
    </row>
    <row r="592" spans="1:39" s="6" customFormat="1" ht="14.1" hidden="1" customHeight="1" outlineLevel="1" x14ac:dyDescent="0.2">
      <c r="A592" s="85"/>
      <c r="B592" s="342" t="s">
        <v>412</v>
      </c>
      <c r="C592" s="352" t="s">
        <v>0</v>
      </c>
      <c r="D592" s="13"/>
      <c r="E592" s="647"/>
      <c r="F592" s="718"/>
      <c r="G592" s="723">
        <f>AG592</f>
        <v>42156</v>
      </c>
      <c r="H592" s="721">
        <f>AH592</f>
        <v>42165</v>
      </c>
      <c r="I592" s="532"/>
      <c r="J592"/>
      <c r="K592"/>
      <c r="L592"/>
      <c r="M592"/>
      <c r="N592"/>
      <c r="O592"/>
      <c r="P592"/>
      <c r="Q592"/>
      <c r="R592"/>
      <c r="S592"/>
      <c r="T592"/>
      <c r="U592"/>
      <c r="X592"/>
      <c r="Y592" s="960"/>
      <c r="AB592" s="944"/>
      <c r="AC592" s="232">
        <f t="shared" si="83"/>
        <v>1</v>
      </c>
      <c r="AD592" s="19"/>
      <c r="AE592" s="981"/>
      <c r="AF592" s="19"/>
      <c r="AG592" s="25">
        <f>H25</f>
        <v>42156</v>
      </c>
      <c r="AH592" s="25">
        <f>IF(AC592=0,,WORKDAY(S.Notice.PreviewBegin,7,S.DDL_DEQClosed))</f>
        <v>42165</v>
      </c>
      <c r="AI592" s="24"/>
      <c r="AJ592" s="24"/>
      <c r="AK592" s="34"/>
      <c r="AL592" s="364"/>
      <c r="AM592" s="34"/>
    </row>
    <row r="593" spans="1:39" s="6" customFormat="1" ht="14.1" hidden="1" customHeight="1" outlineLevel="1" thickBot="1" x14ac:dyDescent="0.25">
      <c r="A593" s="85"/>
      <c r="C593" s="356" t="s">
        <v>0</v>
      </c>
      <c r="D593" s="85"/>
      <c r="E593" s="13"/>
      <c r="F593" s="718"/>
      <c r="G593" s="1063" t="s">
        <v>676</v>
      </c>
      <c r="H593" s="1064"/>
      <c r="I593" s="532"/>
      <c r="J593"/>
      <c r="K593"/>
      <c r="L593"/>
      <c r="M593"/>
      <c r="N593"/>
      <c r="O593"/>
      <c r="P593"/>
      <c r="Q593"/>
      <c r="R593"/>
      <c r="S593"/>
      <c r="T593"/>
      <c r="U593"/>
      <c r="X593"/>
      <c r="Y593" s="960"/>
      <c r="AB593" s="944"/>
      <c r="AC593" s="232">
        <f t="shared" si="83"/>
        <v>1</v>
      </c>
      <c r="AD593" s="19"/>
      <c r="AE593" s="981"/>
      <c r="AF593" s="19"/>
      <c r="AG593" s="24"/>
      <c r="AH593" s="23"/>
      <c r="AI593" s="24"/>
      <c r="AJ593" s="24"/>
      <c r="AK593" s="34"/>
      <c r="AL593" s="364"/>
      <c r="AM593" s="34"/>
    </row>
    <row r="594" spans="1:39" ht="6" hidden="1" customHeight="1" outlineLevel="1" thickTop="1" x14ac:dyDescent="0.2">
      <c r="A594" s="85"/>
      <c r="C594" s="188"/>
      <c r="D594" s="13"/>
      <c r="E594" s="13"/>
      <c r="F594" s="13"/>
      <c r="G594"/>
      <c r="H594"/>
      <c r="I594" s="532"/>
      <c r="AB594" s="944"/>
      <c r="AC594" s="232">
        <f t="shared" si="83"/>
        <v>1</v>
      </c>
      <c r="AD594" s="19"/>
      <c r="AE594" s="19"/>
      <c r="AF594" s="19"/>
      <c r="AG594" s="23"/>
      <c r="AH594" s="23"/>
      <c r="AI594" s="24"/>
      <c r="AJ594" s="24"/>
      <c r="AK594" s="34"/>
      <c r="AL594" s="364"/>
      <c r="AM594" s="34"/>
    </row>
    <row r="595" spans="1:39" s="6" customFormat="1" ht="14.1" hidden="1" customHeight="1" outlineLevel="1" x14ac:dyDescent="0.2">
      <c r="A595" s="85"/>
      <c r="B595" s="150" t="str">
        <f>AB595</f>
        <v>ProgLead:</v>
      </c>
      <c r="C595" s="151"/>
      <c r="D595" s="165"/>
      <c r="E595" s="536"/>
      <c r="F595"/>
      <c r="G595" s="883"/>
      <c r="H595" s="883"/>
      <c r="I595" s="532"/>
      <c r="J595"/>
      <c r="K595"/>
      <c r="L595"/>
      <c r="M595"/>
      <c r="N595"/>
      <c r="O595"/>
      <c r="P595"/>
      <c r="Q595"/>
      <c r="R595"/>
      <c r="S595"/>
      <c r="T595"/>
      <c r="U595"/>
      <c r="X595"/>
      <c r="Y595" s="960"/>
      <c r="AB595" s="934" t="str">
        <f>S.Staff.Subject.Expert.FirstName&amp;":"</f>
        <v>ProgLead:</v>
      </c>
      <c r="AC595" s="232">
        <f t="shared" si="83"/>
        <v>1</v>
      </c>
      <c r="AD595" s="19"/>
      <c r="AE595" s="19"/>
      <c r="AF595" s="19"/>
      <c r="AG595" s="23"/>
      <c r="AH595" s="23"/>
      <c r="AI595" s="23"/>
      <c r="AJ595" s="16"/>
      <c r="AK595" s="34"/>
      <c r="AL595" s="364"/>
      <c r="AM595" s="34"/>
    </row>
    <row r="596" spans="1:39" s="6" customFormat="1" ht="14.1" hidden="1" customHeight="1" outlineLevel="1" x14ac:dyDescent="0.2">
      <c r="A596" s="85"/>
      <c r="B596" s="171" t="s">
        <v>584</v>
      </c>
      <c r="C596" s="327" t="str">
        <f>HYPERLINK("\\deqhq1\Rule_Development\Currrent Plan","i")</f>
        <v>i</v>
      </c>
      <c r="D596" s="165"/>
      <c r="E596" s="536"/>
      <c r="I596" s="532"/>
      <c r="J596"/>
      <c r="K596"/>
      <c r="L596"/>
      <c r="M596"/>
      <c r="N596"/>
      <c r="O596"/>
      <c r="P596"/>
      <c r="Q596"/>
      <c r="R596"/>
      <c r="S596"/>
      <c r="T596"/>
      <c r="U596"/>
      <c r="X596"/>
      <c r="Y596" s="960"/>
      <c r="AB596" s="944"/>
      <c r="AC596" s="232">
        <f t="shared" si="83"/>
        <v>1</v>
      </c>
      <c r="AD596" s="19"/>
      <c r="AE596" s="19"/>
      <c r="AF596" s="19"/>
      <c r="AG596" s="23"/>
      <c r="AH596" s="23"/>
      <c r="AI596" s="23"/>
      <c r="AJ596" s="24"/>
      <c r="AK596" s="34"/>
      <c r="AL596" s="364"/>
      <c r="AM596" s="34"/>
    </row>
    <row r="597" spans="1:39" ht="14.1" hidden="1" customHeight="1" outlineLevel="1" x14ac:dyDescent="0.2">
      <c r="A597" s="85"/>
      <c r="B597" s="171" t="str">
        <f>AB597</f>
        <v>* talks with ProgMgr, decides how to address any feedback from preview</v>
      </c>
      <c r="C597" s="356" t="s">
        <v>0</v>
      </c>
      <c r="D597" s="165"/>
      <c r="E597" s="536"/>
      <c r="F597"/>
      <c r="G597"/>
      <c r="H597"/>
      <c r="I597" s="532"/>
      <c r="AB597" s="934" t="str">
        <f>"* talks with "&amp; S.Staff.Program.Mgr.FirstName&amp;", decides how to address any feedback from preview"</f>
        <v>* talks with ProgMgr, decides how to address any feedback from preview</v>
      </c>
      <c r="AC597" s="232">
        <f t="shared" si="83"/>
        <v>1</v>
      </c>
      <c r="AD597" s="19"/>
      <c r="AE597" s="19"/>
      <c r="AF597" s="19"/>
      <c r="AG597" s="23"/>
      <c r="AH597" s="23"/>
      <c r="AI597" s="24"/>
      <c r="AJ597" s="24"/>
      <c r="AK597" s="34"/>
      <c r="AL597" s="364"/>
      <c r="AM597" s="34"/>
    </row>
    <row r="598" spans="1:39" s="6" customFormat="1" ht="14.1" hidden="1" customHeight="1" outlineLevel="1" x14ac:dyDescent="0.2">
      <c r="A598" s="85"/>
      <c r="B598" s="171" t="s">
        <v>75</v>
      </c>
      <c r="C598" s="356" t="s">
        <v>0</v>
      </c>
      <c r="D598" s="165"/>
      <c r="E598" s="536"/>
      <c r="F598"/>
      <c r="I598" s="532"/>
      <c r="J598"/>
      <c r="K598"/>
      <c r="L598"/>
      <c r="M598"/>
      <c r="N598"/>
      <c r="O598"/>
      <c r="P598"/>
      <c r="Q598"/>
      <c r="R598"/>
      <c r="S598"/>
      <c r="T598"/>
      <c r="U598"/>
      <c r="X598"/>
      <c r="Y598" s="960"/>
      <c r="AB598" s="944"/>
      <c r="AC598" s="232">
        <f t="shared" si="83"/>
        <v>1</v>
      </c>
      <c r="AD598" s="19"/>
      <c r="AE598" s="19"/>
      <c r="AF598" s="19"/>
      <c r="AG598" s="23"/>
      <c r="AH598" s="23"/>
      <c r="AI598" s="24"/>
      <c r="AJ598" s="24"/>
      <c r="AK598" s="34"/>
      <c r="AL598" s="364"/>
      <c r="AM598" s="34"/>
    </row>
    <row r="599" spans="1:39" ht="14.1" hidden="1" customHeight="1" outlineLevel="1" x14ac:dyDescent="0.2">
      <c r="A599" s="85"/>
      <c r="B599" s="135" t="s">
        <v>365</v>
      </c>
      <c r="C599" s="356" t="s">
        <v>0</v>
      </c>
      <c r="D599" s="165"/>
      <c r="E599" s="536"/>
      <c r="F599"/>
      <c r="G599" s="6"/>
      <c r="H599" s="6"/>
      <c r="I599" s="532"/>
      <c r="AB599" s="944"/>
      <c r="AC599" s="232">
        <f t="shared" si="83"/>
        <v>1</v>
      </c>
      <c r="AD599" s="19"/>
      <c r="AE599" s="19"/>
      <c r="AF599" s="19"/>
      <c r="AG599" s="23"/>
      <c r="AH599" s="23"/>
      <c r="AI599" s="24"/>
      <c r="AJ599" s="24"/>
      <c r="AK599" s="34"/>
      <c r="AL599" s="364"/>
      <c r="AM599" s="34"/>
    </row>
    <row r="600" spans="1:39" ht="14.1" hidden="1" customHeight="1" outlineLevel="1" x14ac:dyDescent="0.2">
      <c r="A600" s="85"/>
      <c r="B600" s="180" t="str">
        <f>AB600</f>
        <v>* finalizes public documents with ProgMgr</v>
      </c>
      <c r="C600" s="352" t="s">
        <v>0</v>
      </c>
      <c r="D600" s="165"/>
      <c r="E600" s="536"/>
      <c r="F600"/>
      <c r="G600" s="13"/>
      <c r="H600" s="6"/>
      <c r="I600" s="532"/>
      <c r="AB600" s="934" t="str">
        <f>"* finalizes public documents with "&amp;S.Staff.Program.Mgr.FirstName</f>
        <v>* finalizes public documents with ProgMgr</v>
      </c>
      <c r="AC600" s="232">
        <f t="shared" si="83"/>
        <v>1</v>
      </c>
      <c r="AD600" s="19"/>
      <c r="AE600" s="19"/>
      <c r="AF600" s="19"/>
      <c r="AG600" s="23"/>
      <c r="AH600" s="23"/>
      <c r="AI600" s="24"/>
      <c r="AJ600" s="24"/>
      <c r="AK600" s="34"/>
      <c r="AL600" s="364"/>
      <c r="AM600" s="34"/>
    </row>
    <row r="601" spans="1:39" s="6" customFormat="1" ht="14.1" hidden="1" customHeight="1" outlineLevel="1" thickBot="1" x14ac:dyDescent="0.25">
      <c r="A601" s="85"/>
      <c r="B601" s="341" t="str">
        <f>AB601</f>
        <v>ProgMgr:</v>
      </c>
      <c r="F601"/>
      <c r="I601" s="532"/>
      <c r="J601"/>
      <c r="K601"/>
      <c r="L601"/>
      <c r="M601"/>
      <c r="N601"/>
      <c r="O601"/>
      <c r="P601"/>
      <c r="Q601"/>
      <c r="R601"/>
      <c r="S601"/>
      <c r="T601"/>
      <c r="U601"/>
      <c r="X601"/>
      <c r="Y601" s="960"/>
      <c r="AB601" s="934" t="str">
        <f>S.Staff.Program.Mgr.FirstName&amp;":"</f>
        <v>ProgMgr:</v>
      </c>
      <c r="AC601" s="232">
        <f t="shared" si="83"/>
        <v>1</v>
      </c>
      <c r="AD601" s="19"/>
      <c r="AE601" s="19"/>
      <c r="AF601" s="19"/>
      <c r="AG601" s="23"/>
      <c r="AH601" s="23"/>
      <c r="AI601" s="24"/>
      <c r="AJ601" s="24"/>
      <c r="AK601" s="34"/>
      <c r="AL601" s="364"/>
      <c r="AM601" s="34"/>
    </row>
    <row r="602" spans="1:39" s="6" customFormat="1" ht="14.1" hidden="1" customHeight="1" outlineLevel="1" thickBot="1" x14ac:dyDescent="0.25">
      <c r="A602" s="85"/>
      <c r="B602" s="180" t="str">
        <f>AB602</f>
        <v>* determines whether MediaLead needs a second review      'Y' if 2nd review needed&gt;</v>
      </c>
      <c r="C602" s="308" t="s">
        <v>12</v>
      </c>
      <c r="D602" s="165"/>
      <c r="E602" s="536"/>
      <c r="F602"/>
      <c r="G602" s="148">
        <f>AG602</f>
        <v>42165</v>
      </c>
      <c r="H602" s="148">
        <f>AH602</f>
        <v>42165</v>
      </c>
      <c r="I602" s="532"/>
      <c r="J602"/>
      <c r="K602"/>
      <c r="L602"/>
      <c r="M602"/>
      <c r="N602"/>
      <c r="O602"/>
      <c r="P602"/>
      <c r="Q602"/>
      <c r="R602"/>
      <c r="S602"/>
      <c r="T602"/>
      <c r="U602"/>
      <c r="X602"/>
      <c r="Y602" s="960"/>
      <c r="AB602" s="934" t="str">
        <f>"* determines whether "&amp;S.Staff.Assistant.DA.ShortName&amp;" needs a second review      'Y' if 2nd review needed&gt;"</f>
        <v>* determines whether MediaLead needs a second review      'Y' if 2nd review needed&gt;</v>
      </c>
      <c r="AC602" s="232">
        <f>IF(AND(C602="Y",S.Notice.Involved="Y"),1,0)</f>
        <v>1</v>
      </c>
      <c r="AD602" s="19"/>
      <c r="AE602" s="19"/>
      <c r="AF602" s="19"/>
      <c r="AG602" s="25">
        <f>IF(AC602=0,,H592)</f>
        <v>42165</v>
      </c>
      <c r="AH602" s="25">
        <f>H592</f>
        <v>42165</v>
      </c>
      <c r="AI602" s="24"/>
      <c r="AJ602" s="24"/>
      <c r="AK602" s="34"/>
      <c r="AL602" s="364"/>
      <c r="AM602" s="34"/>
    </row>
    <row r="603" spans="1:39" s="6" customFormat="1" ht="14.1" hidden="1" customHeight="1" outlineLevel="1" x14ac:dyDescent="0.2">
      <c r="A603" s="85"/>
      <c r="B603" s="180" t="str">
        <f>AB603</f>
        <v>* manages MediaLead's 2nd review and approval</v>
      </c>
      <c r="C603" s="352" t="s">
        <v>0</v>
      </c>
      <c r="D603" s="165"/>
      <c r="E603" s="499"/>
      <c r="F603"/>
      <c r="G603"/>
      <c r="H603"/>
      <c r="I603" s="532"/>
      <c r="J603"/>
      <c r="K603"/>
      <c r="L603"/>
      <c r="M603"/>
      <c r="N603"/>
      <c r="O603"/>
      <c r="P603"/>
      <c r="Q603"/>
      <c r="R603"/>
      <c r="S603"/>
      <c r="T603"/>
      <c r="U603"/>
      <c r="X603"/>
      <c r="Y603" s="960"/>
      <c r="AB603" s="934" t="str">
        <f>"* manages "&amp;S.Staff.Assistant.DA.ShortName&amp;"'s 2nd review and approval"</f>
        <v>* manages MediaLead's 2nd review and approval</v>
      </c>
      <c r="AC603" s="232">
        <f>IF(AND(C602="Y",S.Notice.Involved="Y"),1,0)</f>
        <v>1</v>
      </c>
      <c r="AD603" s="19"/>
      <c r="AE603" s="19"/>
      <c r="AF603" s="19"/>
      <c r="AG603" s="24"/>
      <c r="AH603" s="24"/>
      <c r="AI603" s="24"/>
      <c r="AJ603" s="24"/>
      <c r="AK603" s="34"/>
      <c r="AL603" s="364"/>
      <c r="AM603" s="34"/>
    </row>
    <row r="604" spans="1:39" s="6" customFormat="1" ht="14.1" hidden="1" customHeight="1" outlineLevel="1" x14ac:dyDescent="0.2">
      <c r="A604" s="85"/>
      <c r="B604" s="180" t="str">
        <f>AB604</f>
        <v>* emails ProgLead &amp; RGLead approval to move forward with</v>
      </c>
      <c r="C604" s="726" t="s">
        <v>396</v>
      </c>
      <c r="D604" s="726"/>
      <c r="E604" s="726"/>
      <c r="F604" s="726"/>
      <c r="G604" s="727"/>
      <c r="H604" s="140">
        <f>AH604</f>
        <v>42167</v>
      </c>
      <c r="I604" s="532"/>
      <c r="Y604" s="960"/>
      <c r="AB604" s="934" t="str">
        <f>"* emails "&amp;S.Staff.Subject.Expert.FirstName&amp;" &amp; "&amp;S.Staff.RG.Lead.FirstName&amp;" approval to move forward with"</f>
        <v>* emails ProgLead &amp; RGLead approval to move forward with</v>
      </c>
      <c r="AC604" s="232">
        <f t="shared" ref="AC604:AC620" si="85">$AC$477</f>
        <v>1</v>
      </c>
      <c r="AD604" s="19"/>
      <c r="AE604" s="19"/>
      <c r="AF604" s="19"/>
      <c r="AG604" s="23"/>
      <c r="AH604" s="25">
        <f>WORKDAY(H602,2,S.DDL_DEQClosed)</f>
        <v>42167</v>
      </c>
      <c r="AI604" s="24"/>
      <c r="AJ604" s="24"/>
      <c r="AK604" s="34"/>
      <c r="AL604" s="364"/>
      <c r="AM604" s="34"/>
    </row>
    <row r="605" spans="1:39" s="792" customFormat="1" ht="14.1" hidden="1" customHeight="1" outlineLevel="1" x14ac:dyDescent="0.2">
      <c r="A605" s="85"/>
      <c r="B605" s="796" t="s">
        <v>585</v>
      </c>
      <c r="C605" s="728" t="s">
        <v>0</v>
      </c>
      <c r="D605" s="165"/>
      <c r="E605" s="536"/>
      <c r="I605" s="532"/>
      <c r="Y605" s="960"/>
      <c r="AB605" s="945" t="s">
        <v>0</v>
      </c>
      <c r="AC605" s="232">
        <f t="shared" si="85"/>
        <v>1</v>
      </c>
      <c r="AD605" s="19"/>
      <c r="AE605" s="19"/>
      <c r="AF605" s="19"/>
      <c r="AG605" s="18" t="s">
        <v>0</v>
      </c>
      <c r="AH605" s="24"/>
      <c r="AI605" s="24"/>
      <c r="AJ605" s="24"/>
      <c r="AK605" s="34"/>
      <c r="AL605" s="364"/>
      <c r="AM605" s="34"/>
    </row>
    <row r="606" spans="1:39" s="6" customFormat="1" ht="14.1" hidden="1" customHeight="1" outlineLevel="1" x14ac:dyDescent="0.2">
      <c r="A606" s="85"/>
      <c r="B606" s="150" t="str">
        <f>AB606</f>
        <v>ProgLead:</v>
      </c>
      <c r="C606" s="151"/>
      <c r="D606" s="151"/>
      <c r="E606" s="151"/>
      <c r="F606" s="145"/>
      <c r="G606"/>
      <c r="H606" s="142"/>
      <c r="I606" s="532"/>
      <c r="J606"/>
      <c r="K606"/>
      <c r="L606"/>
      <c r="M606"/>
      <c r="N606"/>
      <c r="O606"/>
      <c r="P606"/>
      <c r="Q606"/>
      <c r="R606"/>
      <c r="S606"/>
      <c r="T606"/>
      <c r="U606"/>
      <c r="X606"/>
      <c r="Y606" s="960"/>
      <c r="AB606" s="934" t="str">
        <f>S.Staff.Subject.Expert.FirstName&amp;":"</f>
        <v>ProgLead:</v>
      </c>
      <c r="AC606" s="232">
        <f t="shared" si="85"/>
        <v>1</v>
      </c>
      <c r="AD606" s="19"/>
      <c r="AE606" s="19"/>
      <c r="AF606" s="19"/>
      <c r="AG606" s="23"/>
      <c r="AH606" s="23"/>
      <c r="AI606" s="23"/>
      <c r="AJ606" s="16"/>
      <c r="AK606" s="34"/>
      <c r="AL606" s="364"/>
      <c r="AM606" s="34"/>
    </row>
    <row r="607" spans="1:39" s="6" customFormat="1" ht="14.1" hidden="1" customHeight="1" outlineLevel="1" x14ac:dyDescent="0.2">
      <c r="A607" s="85"/>
      <c r="B607" s="180" t="s">
        <v>587</v>
      </c>
      <c r="C607" s="352" t="s">
        <v>0</v>
      </c>
      <c r="D607" s="165"/>
      <c r="E607" s="536"/>
      <c r="F607"/>
      <c r="G607"/>
      <c r="I607" s="532"/>
      <c r="J607"/>
      <c r="K607"/>
      <c r="L607"/>
      <c r="M607"/>
      <c r="N607"/>
      <c r="O607"/>
      <c r="P607"/>
      <c r="Q607"/>
      <c r="R607"/>
      <c r="S607"/>
      <c r="T607"/>
      <c r="U607"/>
      <c r="X607"/>
      <c r="Y607" s="960"/>
      <c r="AB607" s="945" t="s">
        <v>0</v>
      </c>
      <c r="AC607" s="232">
        <f t="shared" si="85"/>
        <v>1</v>
      </c>
      <c r="AD607" s="19"/>
      <c r="AE607" s="19"/>
      <c r="AF607" s="19"/>
      <c r="AG607" s="18" t="s">
        <v>0</v>
      </c>
      <c r="AH607" s="24"/>
      <c r="AI607" s="24"/>
      <c r="AJ607" s="24"/>
      <c r="AK607" s="34"/>
      <c r="AL607" s="364"/>
      <c r="AM607" s="34"/>
    </row>
    <row r="608" spans="1:39" s="6" customFormat="1" ht="14.1" hidden="1" customHeight="1" outlineLevel="1" x14ac:dyDescent="0.2">
      <c r="A608" s="85"/>
      <c r="B608" s="180" t="s">
        <v>586</v>
      </c>
      <c r="C608" s="202"/>
      <c r="D608" s="730"/>
      <c r="E608" s="730"/>
      <c r="F608" s="730"/>
      <c r="G608" s="730"/>
      <c r="I608" s="532"/>
      <c r="J608"/>
      <c r="K608"/>
      <c r="L608"/>
      <c r="M608"/>
      <c r="N608"/>
      <c r="O608"/>
      <c r="P608"/>
      <c r="Q608"/>
      <c r="R608"/>
      <c r="S608"/>
      <c r="T608"/>
      <c r="U608"/>
      <c r="X608"/>
      <c r="Y608" s="960"/>
      <c r="AB608" s="934" t="str">
        <f>S.Staff.Subject.Expert.FirstName&amp;" drafts INVITATION.TO.COMMENT using information from approved NOTICE"</f>
        <v>ProgLead drafts INVITATION.TO.COMMENT using information from approved NOTICE</v>
      </c>
      <c r="AC608" s="232">
        <f t="shared" si="85"/>
        <v>1</v>
      </c>
      <c r="AD608" s="19"/>
      <c r="AE608" s="19"/>
      <c r="AF608" s="19"/>
      <c r="AG608" s="23"/>
      <c r="AH608" s="23"/>
      <c r="AI608" s="24"/>
      <c r="AJ608" s="24"/>
      <c r="AK608" s="34"/>
      <c r="AL608" s="364"/>
      <c r="AM608" s="34"/>
    </row>
    <row r="609" spans="1:39" s="6" customFormat="1" ht="14.1" hidden="1" customHeight="1" outlineLevel="1" x14ac:dyDescent="0.2">
      <c r="A609" s="85" t="s">
        <v>0</v>
      </c>
      <c r="B609" s="167" t="str">
        <f>AB609</f>
        <v>Meyer:</v>
      </c>
      <c r="C609" s="202"/>
      <c r="D609" s="305" t="s">
        <v>0</v>
      </c>
      <c r="E609" s="305"/>
      <c r="F609" s="305"/>
      <c r="G609" s="140">
        <f>AG609</f>
        <v>42170</v>
      </c>
      <c r="I609" s="532"/>
      <c r="J609"/>
      <c r="K609"/>
      <c r="L609"/>
      <c r="M609"/>
      <c r="N609"/>
      <c r="O609"/>
      <c r="P609"/>
      <c r="Q609"/>
      <c r="R609"/>
      <c r="S609"/>
      <c r="T609"/>
      <c r="U609"/>
      <c r="X609"/>
      <c r="Y609" s="960"/>
      <c r="AB609" s="934" t="str">
        <f>S.Staff.AgencyRulesCoordinator&amp;":"</f>
        <v>Meyer:</v>
      </c>
      <c r="AC609" s="232">
        <f t="shared" si="85"/>
        <v>1</v>
      </c>
      <c r="AD609" s="19"/>
      <c r="AE609" s="19"/>
      <c r="AF609" s="19"/>
      <c r="AG609" s="25">
        <f>WORKDAY(S.Notice.OK.ToPublish,1,S.DDL_DEQClosed)</f>
        <v>42170</v>
      </c>
      <c r="AH609" s="23"/>
      <c r="AI609" s="24"/>
      <c r="AJ609" s="24"/>
      <c r="AK609" s="34"/>
      <c r="AL609" s="364"/>
      <c r="AM609" s="34"/>
    </row>
    <row r="610" spans="1:39" s="6" customFormat="1" ht="14.1" hidden="1" customHeight="1" outlineLevel="1" thickBot="1" x14ac:dyDescent="0.25">
      <c r="A610" s="85"/>
      <c r="B610" s="171" t="s">
        <v>526</v>
      </c>
      <c r="C610" s="356"/>
      <c r="D610" s="499"/>
      <c r="E610" s="499"/>
      <c r="F610"/>
      <c r="I610" s="532"/>
      <c r="Y610" s="960"/>
      <c r="AB610" s="926"/>
      <c r="AC610" s="232">
        <f t="shared" si="85"/>
        <v>1</v>
      </c>
      <c r="AD610" s="19"/>
      <c r="AE610" s="19"/>
      <c r="AF610" s="19"/>
      <c r="AG610" s="24"/>
      <c r="AH610" s="24"/>
      <c r="AI610" s="24"/>
      <c r="AJ610" s="24"/>
      <c r="AK610" s="34"/>
      <c r="AL610" s="364"/>
      <c r="AM610" s="34"/>
    </row>
    <row r="611" spans="1:39" s="6" customFormat="1" ht="14.1" hidden="1" customHeight="1" outlineLevel="1" thickBot="1" x14ac:dyDescent="0.25">
      <c r="A611" s="85"/>
      <c r="B611" s="794" t="s">
        <v>444</v>
      </c>
      <c r="C611" s="229" t="s">
        <v>24</v>
      </c>
      <c r="D611" s="165"/>
      <c r="E611" s="499"/>
      <c r="F611"/>
      <c r="I611" s="532"/>
      <c r="Y611" s="960"/>
      <c r="AB611" s="926"/>
      <c r="AC611" s="232">
        <f t="shared" si="85"/>
        <v>1</v>
      </c>
      <c r="AD611" s="19"/>
      <c r="AE611" s="19"/>
      <c r="AF611" s="19"/>
      <c r="AG611" s="24"/>
      <c r="AH611" s="24"/>
      <c r="AI611" s="24"/>
      <c r="AJ611" s="24"/>
      <c r="AK611" s="34"/>
      <c r="AL611" s="364"/>
      <c r="AM611" s="34"/>
    </row>
    <row r="612" spans="1:39" s="6" customFormat="1" ht="14.1" hidden="1" customHeight="1" outlineLevel="1" x14ac:dyDescent="0.2">
      <c r="A612" s="85"/>
      <c r="B612" s="794" t="s">
        <v>416</v>
      </c>
      <c r="C612" s="356"/>
      <c r="D612" s="165"/>
      <c r="E612" s="499"/>
      <c r="F612"/>
      <c r="I612" s="532"/>
      <c r="Y612" s="960"/>
      <c r="AB612" s="926"/>
      <c r="AC612" s="232">
        <f t="shared" si="85"/>
        <v>1</v>
      </c>
      <c r="AD612" s="19"/>
      <c r="AE612" s="19"/>
      <c r="AF612" s="19"/>
      <c r="AG612" s="24"/>
      <c r="AH612" s="24"/>
      <c r="AI612" s="24"/>
      <c r="AJ612" s="24"/>
      <c r="AK612" s="34"/>
      <c r="AL612" s="364"/>
      <c r="AM612" s="34"/>
    </row>
    <row r="613" spans="1:39" s="6" customFormat="1" ht="14.1" hidden="1" customHeight="1" outlineLevel="1" x14ac:dyDescent="0.2">
      <c r="A613" s="85"/>
      <c r="B613" s="794" t="s">
        <v>583</v>
      </c>
      <c r="C613" s="356"/>
      <c r="D613" s="165"/>
      <c r="E613" s="499"/>
      <c r="F613"/>
      <c r="I613" s="532"/>
      <c r="Y613" s="960"/>
      <c r="AB613" s="926"/>
      <c r="AC613" s="232">
        <f t="shared" si="85"/>
        <v>1</v>
      </c>
      <c r="AD613" s="19"/>
      <c r="AE613" s="19"/>
      <c r="AF613" s="19"/>
      <c r="AG613" s="24"/>
      <c r="AH613" s="24"/>
      <c r="AI613" s="24"/>
      <c r="AJ613" s="24"/>
      <c r="AK613" s="34"/>
      <c r="AL613" s="364"/>
      <c r="AM613" s="34"/>
    </row>
    <row r="614" spans="1:39" s="767" customFormat="1" ht="14.1" hidden="1" customHeight="1" outlineLevel="1" x14ac:dyDescent="0.2">
      <c r="A614" s="85"/>
      <c r="B614" s="795" t="str">
        <f>AB614</f>
        <v>&lt; ProgLead &amp; Meyer co-owning account</v>
      </c>
      <c r="C614" s="202"/>
      <c r="D614" s="509"/>
      <c r="E614" s="509"/>
      <c r="F614" s="169"/>
      <c r="G614" s="170"/>
      <c r="H614" s="170"/>
      <c r="I614" s="532"/>
      <c r="Y614" s="960"/>
      <c r="AB614" s="934" t="str">
        <f>"&lt; "&amp;S.Staff.Subject.Expert.FirstName&amp;" &amp; "&amp;S.Staff.AgencyRulesCoordinator&amp;" co-owning account"</f>
        <v>&lt; ProgLead &amp; Meyer co-owning account</v>
      </c>
      <c r="AC614" s="232">
        <f t="shared" si="85"/>
        <v>1</v>
      </c>
      <c r="AD614" s="19"/>
      <c r="AE614" s="19"/>
      <c r="AF614" s="19"/>
      <c r="AG614" s="23"/>
      <c r="AH614" s="23"/>
      <c r="AI614" s="24"/>
      <c r="AJ614" s="24"/>
      <c r="AK614" s="34"/>
      <c r="AL614" s="364"/>
      <c r="AM614" s="34"/>
    </row>
    <row r="615" spans="1:39" s="767" customFormat="1" ht="14.1" hidden="1" customHeight="1" outlineLevel="1" x14ac:dyDescent="0.2">
      <c r="A615" s="85"/>
      <c r="B615" s="795" t="str">
        <f>AB615</f>
        <v>&lt; CodeName as 'Alias'</v>
      </c>
      <c r="C615" s="202"/>
      <c r="D615" s="509"/>
      <c r="E615" s="509"/>
      <c r="F615" s="169"/>
      <c r="G615" s="170"/>
      <c r="H615" s="170"/>
      <c r="I615" s="532"/>
      <c r="Y615" s="960"/>
      <c r="AB615" s="934" t="str">
        <f>"&lt; "&amp;S.General.CodeName&amp;" as 'Alias'"</f>
        <v>&lt; CodeName as 'Alias'</v>
      </c>
      <c r="AC615" s="232">
        <f t="shared" si="85"/>
        <v>1</v>
      </c>
      <c r="AD615" s="19"/>
      <c r="AE615" s="19"/>
      <c r="AF615" s="19"/>
      <c r="AG615" s="23"/>
      <c r="AH615" s="23"/>
      <c r="AI615" s="24"/>
      <c r="AJ615" s="24"/>
      <c r="AK615" s="34"/>
      <c r="AL615" s="364"/>
      <c r="AM615" s="34"/>
    </row>
    <row r="616" spans="1:39" s="6" customFormat="1" ht="14.1" hidden="1" customHeight="1" outlineLevel="1" x14ac:dyDescent="0.2">
      <c r="A616" s="85" t="s">
        <v>0</v>
      </c>
      <c r="B616" s="171" t="s">
        <v>420</v>
      </c>
      <c r="C616" s="202"/>
      <c r="D616" s="165"/>
      <c r="E616" s="509"/>
      <c r="F616" s="169"/>
      <c r="G616" s="170"/>
      <c r="H616" s="170"/>
      <c r="I616" s="532"/>
      <c r="Y616" s="960"/>
      <c r="AB616" s="955" t="s">
        <v>0</v>
      </c>
      <c r="AC616" s="232">
        <f t="shared" si="85"/>
        <v>1</v>
      </c>
      <c r="AD616" s="19"/>
      <c r="AE616" s="19"/>
      <c r="AF616" s="19"/>
      <c r="AG616" s="23"/>
      <c r="AH616" s="23"/>
      <c r="AI616" s="24"/>
      <c r="AJ616" s="24"/>
      <c r="AK616" s="34"/>
      <c r="AL616" s="364"/>
      <c r="AM616" s="34"/>
    </row>
    <row r="617" spans="1:39" s="6" customFormat="1" ht="14.1" hidden="1" customHeight="1" outlineLevel="1" x14ac:dyDescent="0.2">
      <c r="A617" s="85"/>
      <c r="B617" s="724" t="s">
        <v>417</v>
      </c>
      <c r="C617" s="202"/>
      <c r="D617" s="165"/>
      <c r="E617" s="509"/>
      <c r="F617" s="169"/>
      <c r="G617" s="170"/>
      <c r="H617" s="170"/>
      <c r="I617" s="532"/>
      <c r="Y617" s="960"/>
      <c r="AB617" s="955" t="s">
        <v>0</v>
      </c>
      <c r="AC617" s="232">
        <f t="shared" si="85"/>
        <v>1</v>
      </c>
      <c r="AD617" s="19"/>
      <c r="AE617" s="19"/>
      <c r="AF617" s="19"/>
      <c r="AG617" s="23"/>
      <c r="AH617" s="23"/>
      <c r="AI617" s="24"/>
      <c r="AJ617" s="24"/>
      <c r="AK617" s="34"/>
      <c r="AL617" s="364"/>
      <c r="AM617" s="34"/>
    </row>
    <row r="618" spans="1:39" s="705" customFormat="1" ht="14.1" hidden="1" customHeight="1" outlineLevel="1" x14ac:dyDescent="0.2">
      <c r="A618" s="85"/>
      <c r="B618" s="724" t="str">
        <f>AB618</f>
        <v>* verifies/clarifies additional edits with ProgLead &amp; ProgMgr as warranted</v>
      </c>
      <c r="C618" s="202"/>
      <c r="D618" s="165"/>
      <c r="E618" s="730"/>
      <c r="F618" s="730"/>
      <c r="G618" s="730"/>
      <c r="I618" s="532"/>
      <c r="Y618" s="960"/>
      <c r="AB618" s="934" t="str">
        <f>"* verifies/clarifies additional edits with "&amp;S.Staff.Subject.Expert.FirstName&amp;" &amp; "&amp;S.Staff.Program.Mgr.FirstName&amp;" as warranted"</f>
        <v>* verifies/clarifies additional edits with ProgLead &amp; ProgMgr as warranted</v>
      </c>
      <c r="AC618" s="232">
        <f t="shared" si="85"/>
        <v>1</v>
      </c>
      <c r="AD618" s="19"/>
      <c r="AE618" s="19"/>
      <c r="AF618" s="19"/>
      <c r="AG618" s="23"/>
      <c r="AH618" s="23"/>
      <c r="AI618" s="24"/>
      <c r="AJ618" s="24"/>
      <c r="AK618" s="34"/>
      <c r="AL618" s="364"/>
      <c r="AM618" s="34"/>
    </row>
    <row r="619" spans="1:39" s="709" customFormat="1" ht="13.7" hidden="1" customHeight="1" outlineLevel="1" x14ac:dyDescent="0.2">
      <c r="A619" s="85"/>
      <c r="B619" s="265" t="str">
        <f>AB619</f>
        <v>* notifies ProgMgr &amp; ProgLead when finished</v>
      </c>
      <c r="D619" s="555"/>
      <c r="E619" s="706"/>
      <c r="F619" s="706"/>
      <c r="G619" s="767"/>
      <c r="H619" s="767"/>
      <c r="I619" s="767"/>
      <c r="Y619" s="960"/>
      <c r="AB619" s="934" t="str">
        <f>"* notifies "&amp;S.Staff.Program.Mgr.FirstName&amp;" &amp; "&amp;S.Staff.Subject.Expert.FirstName&amp;" when finished"</f>
        <v>* notifies ProgMgr &amp; ProgLead when finished</v>
      </c>
      <c r="AC619" s="232">
        <f t="shared" si="85"/>
        <v>1</v>
      </c>
      <c r="AD619" s="19"/>
      <c r="AE619" s="19"/>
      <c r="AF619" s="19"/>
      <c r="AG619" s="23"/>
      <c r="AH619" s="23"/>
      <c r="AI619" s="23"/>
      <c r="AJ619" s="16"/>
      <c r="AK619" s="34"/>
      <c r="AL619" s="364"/>
      <c r="AM619" s="34"/>
    </row>
    <row r="620" spans="1:39" s="732" customFormat="1" ht="14.1" hidden="1" customHeight="1" outlineLevel="1" x14ac:dyDescent="0.2">
      <c r="A620" s="85"/>
      <c r="B620" s="180" t="str">
        <f>AB620</f>
        <v>* reminds ProgLead to set Outlook auto reply - instructions in Rulemaking Manual</v>
      </c>
      <c r="C620" s="169"/>
      <c r="D620" s="555"/>
      <c r="E620" s="509"/>
      <c r="F620" s="169"/>
      <c r="G620" s="170"/>
      <c r="H620" s="170"/>
      <c r="I620" s="532"/>
      <c r="Y620" s="960"/>
      <c r="AB620" s="934" t="str">
        <f>"* reminds "&amp;S.Staff.Subject.Expert.FirstName&amp;" to set Outlook auto reply - instructions in Rulemaking Manual"</f>
        <v>* reminds ProgLead to set Outlook auto reply - instructions in Rulemaking Manual</v>
      </c>
      <c r="AC620" s="232">
        <f t="shared" si="85"/>
        <v>1</v>
      </c>
      <c r="AD620" s="19"/>
      <c r="AE620" s="19"/>
      <c r="AF620" s="19"/>
      <c r="AG620" s="23"/>
      <c r="AH620" s="23"/>
      <c r="AI620" s="24"/>
      <c r="AJ620" s="24"/>
      <c r="AK620" s="34"/>
      <c r="AL620" s="364"/>
      <c r="AM620" s="34"/>
    </row>
    <row r="621" spans="1:39" s="6" customFormat="1" ht="20.25" hidden="1" customHeight="1" outlineLevel="1" x14ac:dyDescent="0.2">
      <c r="A621" s="85"/>
      <c r="B621" s="334" t="s">
        <v>345</v>
      </c>
      <c r="C621" s="356"/>
      <c r="D621" s="499"/>
      <c r="E621" s="499"/>
      <c r="I621" s="532"/>
      <c r="Y621" s="960"/>
      <c r="AB621" s="944"/>
      <c r="AC621" s="793">
        <f>IF(AND(S.Notice.Involved="Y",S.Notice.AD.Involved="Y"),1,0)</f>
        <v>1</v>
      </c>
      <c r="AD621" s="19"/>
      <c r="AE621" s="19"/>
      <c r="AF621" s="19"/>
      <c r="AG621" s="24"/>
      <c r="AH621" s="24"/>
      <c r="AI621" s="24"/>
      <c r="AJ621" s="24"/>
      <c r="AK621" s="34"/>
      <c r="AL621" s="364"/>
      <c r="AM621" s="34"/>
    </row>
    <row r="622" spans="1:39" s="6" customFormat="1" ht="14.1" hidden="1" customHeight="1" outlineLevel="1" x14ac:dyDescent="0.2">
      <c r="A622" s="85"/>
      <c r="B622" s="150" t="str">
        <f>AB622</f>
        <v>ProgLead:</v>
      </c>
      <c r="C622" s="151"/>
      <c r="D622" s="151"/>
      <c r="E622" s="151"/>
      <c r="F622" s="145"/>
      <c r="G622" s="142"/>
      <c r="H622" s="140">
        <f>AH622</f>
        <v>42167</v>
      </c>
      <c r="I622" s="532"/>
      <c r="Y622" s="960"/>
      <c r="AB622" s="934" t="str">
        <f>S.Staff.Subject.Expert.FirstName&amp;":"</f>
        <v>ProgLead:</v>
      </c>
      <c r="AC622" s="232">
        <f>$AC$477</f>
        <v>1</v>
      </c>
      <c r="AD622" s="19"/>
      <c r="AE622" s="19"/>
      <c r="AF622" s="19"/>
      <c r="AG622" s="23"/>
      <c r="AH622" s="25">
        <f>S.Notice.OK.ToPublish</f>
        <v>42167</v>
      </c>
      <c r="AI622" s="23"/>
      <c r="AJ622" s="16"/>
      <c r="AK622" s="34"/>
      <c r="AL622" s="364"/>
      <c r="AM622" s="34"/>
    </row>
    <row r="623" spans="1:39" s="6" customFormat="1" ht="14.1" hidden="1" customHeight="1" outlineLevel="1" x14ac:dyDescent="0.2">
      <c r="A623" s="85"/>
      <c r="B623" s="180" t="s">
        <v>677</v>
      </c>
      <c r="C623" s="356" t="s">
        <v>0</v>
      </c>
      <c r="D623" s="165"/>
      <c r="E623" s="536"/>
      <c r="I623" s="532"/>
      <c r="Y623" s="960"/>
      <c r="AB623" s="945"/>
      <c r="AC623" s="232">
        <f>$AC$477</f>
        <v>1</v>
      </c>
      <c r="AD623" s="19"/>
      <c r="AE623" s="19"/>
      <c r="AF623" s="19"/>
      <c r="AG623" s="19"/>
      <c r="AH623" s="19"/>
      <c r="AI623" s="24"/>
      <c r="AJ623" s="24"/>
      <c r="AK623" s="34"/>
      <c r="AL623" s="364"/>
      <c r="AM623" s="34"/>
    </row>
    <row r="624" spans="1:39" s="6" customFormat="1" ht="14.1" hidden="1" customHeight="1" outlineLevel="1" thickBot="1" x14ac:dyDescent="0.25">
      <c r="A624" s="85" t="s">
        <v>0</v>
      </c>
      <c r="B624" s="341" t="str">
        <f>AB624</f>
        <v>Meyer:</v>
      </c>
      <c r="C624" s="202"/>
      <c r="D624" s="305" t="s">
        <v>0</v>
      </c>
      <c r="E624" s="305"/>
      <c r="F624" s="305"/>
      <c r="H624" s="140">
        <f>AH624</f>
        <v>42167</v>
      </c>
      <c r="I624" s="532"/>
      <c r="Y624" s="960"/>
      <c r="AB624" s="934" t="str">
        <f>S.Staff.AgencyRulesCoordinator&amp;":"</f>
        <v>Meyer:</v>
      </c>
      <c r="AC624" s="232">
        <f>$AC$477</f>
        <v>1</v>
      </c>
      <c r="AD624" s="19"/>
      <c r="AE624" s="19"/>
      <c r="AF624" s="19"/>
      <c r="AG624" s="19"/>
      <c r="AH624" s="25">
        <f>S.Notice.OK.ToPublish</f>
        <v>42167</v>
      </c>
      <c r="AI624" s="24"/>
      <c r="AJ624" s="24"/>
      <c r="AK624" s="34"/>
      <c r="AL624" s="364"/>
      <c r="AM624" s="34"/>
    </row>
    <row r="625" spans="1:39" s="6" customFormat="1" ht="14.1" hidden="1" customHeight="1" outlineLevel="1" thickBot="1" x14ac:dyDescent="0.25">
      <c r="A625" s="85"/>
      <c r="B625" s="180" t="str">
        <f>"* prepares and submits notice to SOS for publication in Oregon Bulletin"</f>
        <v>* prepares and submits notice to SOS for publication in Oregon Bulletin</v>
      </c>
      <c r="C625" s="229" t="str">
        <f>HYPERLINK("http://oarnoticefilings.sos.state.or.us","i")</f>
        <v>i</v>
      </c>
      <c r="D625" s="510"/>
      <c r="E625" s="510"/>
      <c r="F625"/>
      <c r="G625"/>
      <c r="H625"/>
      <c r="I625" s="532"/>
      <c r="J625"/>
      <c r="K625"/>
      <c r="L625"/>
      <c r="M625"/>
      <c r="N625"/>
      <c r="O625"/>
      <c r="P625"/>
      <c r="Q625"/>
      <c r="R625"/>
      <c r="S625"/>
      <c r="T625"/>
      <c r="U625"/>
      <c r="X625"/>
      <c r="Y625" s="960"/>
      <c r="AB625" s="945"/>
      <c r="AC625" s="232">
        <f>$AC$477</f>
        <v>1</v>
      </c>
      <c r="AD625" s="19"/>
      <c r="AE625" s="19"/>
      <c r="AF625" s="19"/>
      <c r="AG625" s="24"/>
      <c r="AH625" s="24"/>
      <c r="AI625" s="24"/>
      <c r="AJ625" s="24"/>
      <c r="AK625" s="34"/>
      <c r="AL625" s="364"/>
      <c r="AM625" s="34"/>
    </row>
    <row r="626" spans="1:39" s="6" customFormat="1" ht="14.1" hidden="1" customHeight="1" outlineLevel="1" thickBot="1" x14ac:dyDescent="0.25">
      <c r="A626" s="85" t="s">
        <v>0</v>
      </c>
      <c r="B626" s="180" t="s">
        <v>371</v>
      </c>
      <c r="C626" s="356" t="s">
        <v>0</v>
      </c>
      <c r="D626" s="510"/>
      <c r="E626" s="510"/>
      <c r="F626"/>
      <c r="G626"/>
      <c r="H626"/>
      <c r="I626" s="532"/>
      <c r="J626"/>
      <c r="K626"/>
      <c r="L626"/>
      <c r="M626"/>
      <c r="N626"/>
      <c r="O626"/>
      <c r="P626"/>
      <c r="Q626"/>
      <c r="R626"/>
      <c r="S626"/>
      <c r="T626"/>
      <c r="U626"/>
      <c r="X626"/>
      <c r="Y626" s="960"/>
      <c r="AB626" s="945"/>
      <c r="AC626" s="793">
        <f>IF(AND(S.Notice.DASNotification=TRUE,S.Notice.Involved="Y"),1,0)</f>
        <v>0</v>
      </c>
      <c r="AD626" s="19"/>
      <c r="AE626" s="19"/>
      <c r="AF626" s="19"/>
      <c r="AG626" s="19"/>
      <c r="AH626" s="19"/>
      <c r="AI626" s="24"/>
      <c r="AJ626" s="24"/>
      <c r="AK626" s="34"/>
      <c r="AL626" s="364"/>
      <c r="AM626" s="34"/>
    </row>
    <row r="627" spans="1:39" s="6" customFormat="1" ht="14.1" hidden="1" customHeight="1" outlineLevel="1" thickBot="1" x14ac:dyDescent="0.25">
      <c r="A627" s="85"/>
      <c r="B627" s="180" t="s">
        <v>372</v>
      </c>
      <c r="C627" s="229" t="str">
        <f>HYPERLINK("\\deqhq1\Rule_Development\Currrent Plan","i")</f>
        <v>i</v>
      </c>
      <c r="D627" s="510"/>
      <c r="E627" s="510"/>
      <c r="I627" s="532"/>
      <c r="Y627" s="960"/>
      <c r="AB627" s="945"/>
      <c r="AC627" s="232">
        <f>$AC$477</f>
        <v>1</v>
      </c>
      <c r="AD627" s="19"/>
      <c r="AE627" s="19"/>
      <c r="AF627" s="19"/>
      <c r="AG627" s="24"/>
      <c r="AH627" s="24"/>
      <c r="AI627" s="24"/>
      <c r="AJ627" s="24"/>
      <c r="AK627" s="34"/>
      <c r="AL627" s="364"/>
      <c r="AM627" s="34"/>
    </row>
    <row r="628" spans="1:39" s="6" customFormat="1" ht="14.1" hidden="1" customHeight="1" outlineLevel="1" x14ac:dyDescent="0.2">
      <c r="A628" s="85"/>
      <c r="B628" s="538" t="str">
        <f>AB628</f>
        <v>ProgLead leads:</v>
      </c>
      <c r="C628" s="359"/>
      <c r="D628"/>
      <c r="F628" s="13"/>
      <c r="I628" s="532"/>
      <c r="Y628" s="960"/>
      <c r="AB628" s="934" t="str">
        <f>S.Staff.Subject.Expert.FirstName&amp;" leads:"</f>
        <v>ProgLead leads:</v>
      </c>
      <c r="AC628" s="232">
        <f>$AC$477</f>
        <v>1</v>
      </c>
      <c r="AD628" s="19"/>
      <c r="AE628" s="19"/>
      <c r="AF628" s="19"/>
      <c r="AG628" s="24"/>
      <c r="AH628" s="24"/>
      <c r="AI628" s="24"/>
      <c r="AJ628" s="24"/>
      <c r="AK628" s="34"/>
      <c r="AL628" s="364"/>
      <c r="AM628" s="34"/>
    </row>
    <row r="629" spans="1:39" s="6" customFormat="1" ht="14.1" hidden="1" customHeight="1" outlineLevel="1" x14ac:dyDescent="0.2">
      <c r="A629" s="85"/>
      <c r="B629" s="171" t="s">
        <v>393</v>
      </c>
      <c r="C629" s="356" t="s">
        <v>0</v>
      </c>
      <c r="D629" s="1061" t="s">
        <v>370</v>
      </c>
      <c r="E629" s="1061"/>
      <c r="F629" s="1061"/>
      <c r="G629" s="1062"/>
      <c r="H629" s="701">
        <f>AH629</f>
        <v>42191</v>
      </c>
      <c r="I629" s="532"/>
      <c r="Y629" s="960"/>
      <c r="AB629" s="934" t="str">
        <f>"* modifies documents as needed"</f>
        <v>* modifies documents as needed</v>
      </c>
      <c r="AC629" s="793">
        <f>IF(AND(S.Notice.Involved="Y",S.Notice.AD.Involved="Y"),1,0)</f>
        <v>1</v>
      </c>
      <c r="AD629" s="19"/>
      <c r="AE629" s="19"/>
      <c r="AF629" s="19"/>
      <c r="AG629" s="24"/>
      <c r="AH629" s="25">
        <f>IF(AC629=0,,S.Notice.AD.ToContractServices)</f>
        <v>42191</v>
      </c>
      <c r="AI629" s="24"/>
      <c r="AJ629" s="24"/>
      <c r="AK629" s="34"/>
      <c r="AL629" s="364"/>
      <c r="AM629" s="34"/>
    </row>
    <row r="630" spans="1:39" s="6" customFormat="1" ht="14.1" hidden="1" customHeight="1" outlineLevel="1" x14ac:dyDescent="0.2">
      <c r="A630" s="85"/>
      <c r="B630" s="171" t="s">
        <v>376</v>
      </c>
      <c r="C630" s="356" t="s">
        <v>0</v>
      </c>
      <c r="D630" s="165"/>
      <c r="E630" s="536"/>
      <c r="F630"/>
      <c r="G630"/>
      <c r="H630"/>
      <c r="I630" s="532"/>
      <c r="J630"/>
      <c r="K630"/>
      <c r="L630"/>
      <c r="M630"/>
      <c r="N630"/>
      <c r="O630"/>
      <c r="P630"/>
      <c r="Q630"/>
      <c r="R630"/>
      <c r="S630"/>
      <c r="T630"/>
      <c r="U630"/>
      <c r="X630"/>
      <c r="Y630" s="960"/>
      <c r="AB630" s="926" t="s">
        <v>0</v>
      </c>
      <c r="AC630" s="793">
        <f>IF(AND(S.Notice.Involved="Y",S.Notice.AD.Involved="Y"),1,0)</f>
        <v>1</v>
      </c>
      <c r="AD630" s="19"/>
      <c r="AE630" s="19"/>
      <c r="AF630" s="19"/>
      <c r="AG630" s="24" t="s">
        <v>0</v>
      </c>
      <c r="AH630" s="24" t="s">
        <v>0</v>
      </c>
      <c r="AI630" s="24"/>
      <c r="AJ630" s="24"/>
      <c r="AK630" s="34"/>
      <c r="AL630" s="364"/>
      <c r="AM630" s="34"/>
    </row>
    <row r="631" spans="1:39" s="6" customFormat="1" ht="14.1" hidden="1" customHeight="1" outlineLevel="1" thickBot="1" x14ac:dyDescent="0.25">
      <c r="A631" s="85"/>
      <c r="B631" s="171" t="s">
        <v>377</v>
      </c>
      <c r="C631" s="356" t="s">
        <v>0</v>
      </c>
      <c r="D631" s="165"/>
      <c r="E631" s="536"/>
      <c r="F631"/>
      <c r="G631"/>
      <c r="H631"/>
      <c r="I631" s="532"/>
      <c r="J631"/>
      <c r="K631"/>
      <c r="L631"/>
      <c r="M631"/>
      <c r="N631"/>
      <c r="O631"/>
      <c r="P631"/>
      <c r="Q631"/>
      <c r="R631"/>
      <c r="S631"/>
      <c r="T631"/>
      <c r="U631"/>
      <c r="X631"/>
      <c r="Y631" s="960"/>
      <c r="AB631" s="944"/>
      <c r="AC631" s="793">
        <f>IF(AND(S.Notice.Involved="Y",S.Notice.AD.Involved="Y"),1,0)</f>
        <v>1</v>
      </c>
      <c r="AD631" s="19"/>
      <c r="AE631" s="19"/>
      <c r="AF631" s="19"/>
      <c r="AG631" s="24" t="s">
        <v>0</v>
      </c>
      <c r="AH631" s="24" t="s">
        <v>0</v>
      </c>
      <c r="AI631" s="24"/>
      <c r="AJ631" s="24"/>
      <c r="AK631" s="34"/>
      <c r="AL631" s="364"/>
      <c r="AM631" s="34"/>
    </row>
    <row r="632" spans="1:39" s="6" customFormat="1" ht="14.1" hidden="1" customHeight="1" outlineLevel="1" thickBot="1" x14ac:dyDescent="0.25">
      <c r="A632" s="85"/>
      <c r="B632" s="171" t="s">
        <v>572</v>
      </c>
      <c r="C632" s="229" t="s">
        <v>24</v>
      </c>
      <c r="D632" s="165"/>
      <c r="E632" s="536"/>
      <c r="F632" s="145"/>
      <c r="G632" s="142"/>
      <c r="H632" s="140">
        <f>AH632</f>
        <v>42171</v>
      </c>
      <c r="I632" s="532"/>
      <c r="J632"/>
      <c r="K632"/>
      <c r="L632"/>
      <c r="M632"/>
      <c r="N632"/>
      <c r="O632"/>
      <c r="P632"/>
      <c r="Q632"/>
      <c r="R632"/>
      <c r="S632"/>
      <c r="T632"/>
      <c r="U632"/>
      <c r="X632"/>
      <c r="Y632" s="960"/>
      <c r="AB632" s="945"/>
      <c r="AC632" s="232">
        <f>$AC$477</f>
        <v>1</v>
      </c>
      <c r="AD632" s="19"/>
      <c r="AE632" s="19"/>
      <c r="AF632" s="19"/>
      <c r="AG632" s="23"/>
      <c r="AH632" s="25">
        <f>IF(AC632=0,,S.Notice.OpenComment)</f>
        <v>42171</v>
      </c>
      <c r="AI632" s="24"/>
      <c r="AJ632" s="24"/>
      <c r="AK632" s="34"/>
      <c r="AL632" s="364"/>
      <c r="AM632" s="34"/>
    </row>
    <row r="633" spans="1:39" s="6" customFormat="1" ht="14.1" hidden="1" customHeight="1" outlineLevel="1" thickBot="1" x14ac:dyDescent="0.25">
      <c r="A633" s="85"/>
      <c r="B633" s="180" t="s">
        <v>374</v>
      </c>
      <c r="C633" s="323" t="s">
        <v>24</v>
      </c>
      <c r="D633" s="165"/>
      <c r="E633" s="536"/>
      <c r="F633"/>
      <c r="G633"/>
      <c r="H633"/>
      <c r="I633" s="532"/>
      <c r="J633"/>
      <c r="K633"/>
      <c r="L633"/>
      <c r="M633"/>
      <c r="N633"/>
      <c r="O633"/>
      <c r="P633"/>
      <c r="Q633"/>
      <c r="R633"/>
      <c r="S633"/>
      <c r="T633"/>
      <c r="U633"/>
      <c r="X633"/>
      <c r="Y633" s="960"/>
      <c r="AB633" s="945"/>
      <c r="AC633" s="232">
        <f>$AC$477</f>
        <v>1</v>
      </c>
      <c r="AD633" s="19"/>
      <c r="AE633" s="19"/>
      <c r="AF633" s="19"/>
      <c r="AG633" s="19"/>
      <c r="AH633" s="23"/>
      <c r="AI633" s="24"/>
      <c r="AJ633" s="24"/>
      <c r="AK633" s="34"/>
      <c r="AL633" s="364"/>
      <c r="AM633" s="34"/>
    </row>
    <row r="634" spans="1:39" s="6" customFormat="1" ht="14.1" hidden="1" customHeight="1" outlineLevel="1" x14ac:dyDescent="0.2">
      <c r="A634" s="85"/>
      <c r="B634" s="171" t="s">
        <v>373</v>
      </c>
      <c r="C634" s="353"/>
      <c r="D634" s="165"/>
      <c r="E634" s="536"/>
      <c r="F634" s="145"/>
      <c r="G634" s="142"/>
      <c r="H634" s="142"/>
      <c r="I634" s="532"/>
      <c r="Y634" s="960"/>
      <c r="AB634" s="934" t="str">
        <f>"* validates Web page, comment form, hearing date accuracy with "&amp;S.Staff.Subject.Expert.FirstName</f>
        <v>* validates Web page, comment form, hearing date accuracy with ProgLead</v>
      </c>
      <c r="AC634" s="232">
        <f>$AC$477</f>
        <v>1</v>
      </c>
      <c r="AD634" s="19"/>
      <c r="AE634" s="19"/>
      <c r="AF634" s="19"/>
      <c r="AG634" s="23"/>
      <c r="AH634" s="23"/>
      <c r="AI634" s="24"/>
      <c r="AJ634" s="24"/>
      <c r="AK634" s="34"/>
      <c r="AL634" s="364"/>
      <c r="AM634" s="34"/>
    </row>
    <row r="635" spans="1:39" ht="14.1" hidden="1" customHeight="1" outlineLevel="1" x14ac:dyDescent="0.2">
      <c r="A635" s="85"/>
      <c r="B635" s="171" t="s">
        <v>395</v>
      </c>
      <c r="C635" s="356" t="s">
        <v>0</v>
      </c>
      <c r="D635" s="1060" t="s">
        <v>0</v>
      </c>
      <c r="E635" s="1061"/>
      <c r="F635" s="1061"/>
      <c r="G635" s="1062"/>
      <c r="H635" s="140">
        <f>AH635</f>
        <v>42171</v>
      </c>
      <c r="I635" s="532"/>
      <c r="AB635" s="945"/>
      <c r="AC635" s="232">
        <f t="shared" ref="AC635:AC639" si="86">IF(S.Notice.Involved="Y",1,0)</f>
        <v>1</v>
      </c>
      <c r="AD635" s="19"/>
      <c r="AE635" s="19"/>
      <c r="AF635" s="19"/>
      <c r="AG635" s="24"/>
      <c r="AH635" s="25">
        <f>IF(AC635=0,,S.Notice.OpenComment)</f>
        <v>42171</v>
      </c>
      <c r="AI635" s="24"/>
      <c r="AJ635" s="24"/>
      <c r="AK635" s="34"/>
      <c r="AL635" s="364"/>
      <c r="AM635" s="34"/>
    </row>
    <row r="636" spans="1:39" s="6" customFormat="1" ht="14.1" hidden="1" customHeight="1" outlineLevel="1" x14ac:dyDescent="0.2">
      <c r="A636" s="85"/>
      <c r="B636" s="264" t="s">
        <v>65</v>
      </c>
      <c r="C636" s="356" t="s">
        <v>0</v>
      </c>
      <c r="D636" s="165"/>
      <c r="E636" s="648"/>
      <c r="F636" s="576"/>
      <c r="G636" s="13"/>
      <c r="H636"/>
      <c r="I636" s="532"/>
      <c r="J636"/>
      <c r="K636"/>
      <c r="L636"/>
      <c r="M636"/>
      <c r="N636"/>
      <c r="O636"/>
      <c r="P636"/>
      <c r="Q636"/>
      <c r="R636"/>
      <c r="S636"/>
      <c r="T636"/>
      <c r="U636"/>
      <c r="X636"/>
      <c r="Y636" s="960"/>
      <c r="AB636" s="955" t="s">
        <v>0</v>
      </c>
      <c r="AC636" s="232">
        <f t="shared" si="86"/>
        <v>1</v>
      </c>
      <c r="AD636" s="19"/>
      <c r="AE636" s="19"/>
      <c r="AF636" s="19"/>
      <c r="AG636" s="24"/>
      <c r="AH636" s="24" t="s">
        <v>0</v>
      </c>
      <c r="AI636" s="24"/>
      <c r="AJ636" s="24"/>
      <c r="AK636" s="34"/>
      <c r="AL636" s="364"/>
      <c r="AM636" s="34"/>
    </row>
    <row r="637" spans="1:39" s="883" customFormat="1" ht="14.1" hidden="1" customHeight="1" outlineLevel="1" x14ac:dyDescent="0.2">
      <c r="A637" s="85"/>
      <c r="B637" s="264" t="s">
        <v>678</v>
      </c>
      <c r="C637" s="356" t="s">
        <v>0</v>
      </c>
      <c r="D637" s="165"/>
      <c r="E637" s="536"/>
      <c r="I637" s="532"/>
      <c r="Y637" s="960"/>
      <c r="AB637" s="955" t="s">
        <v>0</v>
      </c>
      <c r="AC637" s="232">
        <f t="shared" si="86"/>
        <v>1</v>
      </c>
      <c r="AD637" s="19"/>
      <c r="AE637" s="19"/>
      <c r="AF637" s="19"/>
      <c r="AG637" s="24"/>
      <c r="AH637" s="24" t="s">
        <v>0</v>
      </c>
      <c r="AI637" s="24"/>
      <c r="AJ637" s="24"/>
      <c r="AK637" s="34"/>
      <c r="AL637" s="364"/>
      <c r="AM637" s="34"/>
    </row>
    <row r="638" spans="1:39" s="6" customFormat="1" ht="14.1" hidden="1" customHeight="1" outlineLevel="1" x14ac:dyDescent="0.2">
      <c r="A638" s="85"/>
      <c r="B638" s="264" t="s">
        <v>69</v>
      </c>
      <c r="C638" s="356" t="s">
        <v>0</v>
      </c>
      <c r="D638" s="165"/>
      <c r="E638" s="536"/>
      <c r="F638"/>
      <c r="G638"/>
      <c r="H638"/>
      <c r="I638" s="532"/>
      <c r="J638"/>
      <c r="K638"/>
      <c r="L638"/>
      <c r="M638"/>
      <c r="N638"/>
      <c r="O638"/>
      <c r="P638"/>
      <c r="Q638"/>
      <c r="R638"/>
      <c r="S638"/>
      <c r="T638"/>
      <c r="U638"/>
      <c r="X638"/>
      <c r="Y638" s="960"/>
      <c r="AB638" s="955" t="s">
        <v>0</v>
      </c>
      <c r="AC638" s="232">
        <f t="shared" si="86"/>
        <v>1</v>
      </c>
      <c r="AD638" s="19"/>
      <c r="AE638" s="19"/>
      <c r="AF638" s="19"/>
      <c r="AG638" s="24"/>
      <c r="AH638" s="24" t="s">
        <v>0</v>
      </c>
      <c r="AI638" s="24"/>
      <c r="AJ638" s="24"/>
      <c r="AK638" s="34"/>
      <c r="AL638" s="364"/>
      <c r="AM638" s="34"/>
    </row>
    <row r="639" spans="1:39" s="6" customFormat="1" ht="14.1" hidden="1" customHeight="1" outlineLevel="1" thickBot="1" x14ac:dyDescent="0.25">
      <c r="A639" s="85"/>
      <c r="B639" s="264" t="s">
        <v>573</v>
      </c>
      <c r="C639" s="356" t="s">
        <v>0</v>
      </c>
      <c r="D639" s="165"/>
      <c r="E639" s="536"/>
      <c r="F639"/>
      <c r="G639"/>
      <c r="H639"/>
      <c r="I639" s="532"/>
      <c r="J639"/>
      <c r="K639"/>
      <c r="L639"/>
      <c r="M639"/>
      <c r="N639"/>
      <c r="O639"/>
      <c r="P639"/>
      <c r="Q639"/>
      <c r="R639"/>
      <c r="S639"/>
      <c r="T639"/>
      <c r="U639"/>
      <c r="X639"/>
      <c r="Y639" s="960"/>
      <c r="AB639" s="955" t="s">
        <v>0</v>
      </c>
      <c r="AC639" s="232">
        <f t="shared" si="86"/>
        <v>1</v>
      </c>
      <c r="AD639" s="19"/>
      <c r="AE639" s="19"/>
      <c r="AF639" s="19"/>
      <c r="AG639" s="24"/>
      <c r="AH639" s="24" t="s">
        <v>0</v>
      </c>
      <c r="AI639" s="24"/>
      <c r="AJ639" s="24"/>
      <c r="AK639" s="34"/>
      <c r="AL639" s="364"/>
      <c r="AM639" s="34"/>
    </row>
    <row r="640" spans="1:39" s="6" customFormat="1" ht="14.1" hidden="1" customHeight="1" outlineLevel="1" thickBot="1" x14ac:dyDescent="0.25">
      <c r="A640" s="85"/>
      <c r="B640" s="171" t="s">
        <v>375</v>
      </c>
      <c r="C640" s="229" t="str">
        <f>HYPERLINK("http://oarnoticefilings.sos.state.or.us","i")</f>
        <v>i</v>
      </c>
      <c r="D640" s="510"/>
      <c r="E640" s="510"/>
      <c r="I640" s="532"/>
      <c r="Y640" s="960"/>
      <c r="AB640" s="945"/>
      <c r="AC640" s="232">
        <f t="shared" ref="AC640:AC651" si="87">IF(S.Notice.Involved="Y",1,0)</f>
        <v>1</v>
      </c>
      <c r="AD640" s="19"/>
      <c r="AE640" s="19"/>
      <c r="AF640" s="19"/>
      <c r="AG640" s="24"/>
      <c r="AH640" s="24"/>
      <c r="AI640" s="24"/>
      <c r="AJ640" s="24"/>
      <c r="AK640" s="34"/>
      <c r="AL640" s="364"/>
      <c r="AM640" s="34"/>
    </row>
    <row r="641" spans="1:39" s="6" customFormat="1" ht="14.1" hidden="1" customHeight="1" outlineLevel="1" x14ac:dyDescent="0.25">
      <c r="A641" s="85" t="s">
        <v>86</v>
      </c>
      <c r="B641" s="136" t="str">
        <f>AB641</f>
        <v>ProgLead drafts EMAIL.NOTICE.TO.KEY.LEGISLATORS  - instruction in template:</v>
      </c>
      <c r="C641" s="329" t="str">
        <f>HYPERLINK("\\deqhq1\Rule_Resources\i\EMAIL.KeyLegislators.docx","i")</f>
        <v>i</v>
      </c>
      <c r="D641" s="165"/>
      <c r="E641" s="536"/>
      <c r="F641"/>
      <c r="H641" s="140">
        <f>AH641</f>
        <v>42164</v>
      </c>
      <c r="I641" s="532"/>
      <c r="J641"/>
      <c r="K641"/>
      <c r="L641"/>
      <c r="M641"/>
      <c r="N641"/>
      <c r="O641"/>
      <c r="P641"/>
      <c r="Q641"/>
      <c r="R641"/>
      <c r="S641"/>
      <c r="T641"/>
      <c r="U641"/>
      <c r="X641"/>
      <c r="Y641" s="960"/>
      <c r="AB641" s="934" t="str">
        <f>S.Staff.Subject.Expert.FirstName&amp;" drafts EMAIL.NOTICE.TO.KEY.LEGISLATORS  - instruction in template:"</f>
        <v>ProgLead drafts EMAIL.NOTICE.TO.KEY.LEGISLATORS  - instruction in template:</v>
      </c>
      <c r="AC641" s="232">
        <f t="shared" si="87"/>
        <v>1</v>
      </c>
      <c r="AD641" s="19"/>
      <c r="AE641" s="19"/>
      <c r="AF641" s="19"/>
      <c r="AG641" s="25">
        <f>H162</f>
        <v>42171</v>
      </c>
      <c r="AH641" s="25">
        <f>IF(AC641=0,,WORKDAY(S.Notice.OpenComment,-5,S.DDL_DEQClosed))</f>
        <v>42164</v>
      </c>
      <c r="AI641" s="24"/>
      <c r="AJ641" s="24"/>
      <c r="AK641" s="34"/>
      <c r="AL641" s="364"/>
      <c r="AM641" s="34"/>
    </row>
    <row r="642" spans="1:39" s="6" customFormat="1" ht="14.1" hidden="1" customHeight="1" outlineLevel="1" x14ac:dyDescent="0.2">
      <c r="A642" s="85"/>
      <c r="B642" s="152" t="str">
        <f>AB642</f>
        <v>* sends draft to Leg.Liason</v>
      </c>
      <c r="C642" s="353"/>
      <c r="D642" s="165"/>
      <c r="E642" s="536"/>
      <c r="F642"/>
      <c r="G642"/>
      <c r="H642"/>
      <c r="I642" s="532"/>
      <c r="J642"/>
      <c r="K642"/>
      <c r="L642"/>
      <c r="M642"/>
      <c r="N642"/>
      <c r="O642"/>
      <c r="P642"/>
      <c r="Q642"/>
      <c r="R642"/>
      <c r="S642"/>
      <c r="T642"/>
      <c r="U642"/>
      <c r="X642"/>
      <c r="Y642" s="960"/>
      <c r="AB642" s="934" t="str">
        <f>"* sends draft to "&amp;S.Staff.LegislativeLiason</f>
        <v>* sends draft to Leg.Liason</v>
      </c>
      <c r="AC642" s="232">
        <f t="shared" si="87"/>
        <v>1</v>
      </c>
      <c r="AD642" s="19"/>
      <c r="AE642" s="19"/>
      <c r="AF642" s="19"/>
      <c r="AG642" s="24"/>
      <c r="AH642" s="24"/>
      <c r="AI642" s="24"/>
      <c r="AJ642" s="24"/>
      <c r="AK642" s="34"/>
      <c r="AL642" s="364"/>
      <c r="AM642" s="34"/>
    </row>
    <row r="643" spans="1:39" s="6" customFormat="1" ht="14.1" hidden="1" customHeight="1" outlineLevel="1" x14ac:dyDescent="0.2">
      <c r="A643" s="85"/>
      <c r="B643" s="272" t="str">
        <f>AB643</f>
        <v>Leg.Liason:</v>
      </c>
      <c r="C643" s="142"/>
      <c r="D643" s="205"/>
      <c r="E643" s="205"/>
      <c r="F643" s="145"/>
      <c r="G643" s="142"/>
      <c r="H643" s="142"/>
      <c r="I643" s="532"/>
      <c r="J643"/>
      <c r="K643"/>
      <c r="L643"/>
      <c r="M643"/>
      <c r="N643"/>
      <c r="O643"/>
      <c r="P643"/>
      <c r="Q643"/>
      <c r="R643"/>
      <c r="S643"/>
      <c r="T643"/>
      <c r="U643"/>
      <c r="X643"/>
      <c r="Y643" s="960"/>
      <c r="AB643" s="934" t="str">
        <f>S.Staff.LegislativeLiason&amp;":"</f>
        <v>Leg.Liason:</v>
      </c>
      <c r="AC643" s="232">
        <f t="shared" si="87"/>
        <v>1</v>
      </c>
      <c r="AD643" s="19"/>
      <c r="AE643" s="19"/>
      <c r="AF643" s="19"/>
      <c r="AG643" s="23"/>
      <c r="AH643" s="23"/>
      <c r="AI643" s="24"/>
      <c r="AJ643" s="24"/>
      <c r="AK643" s="34"/>
      <c r="AL643" s="364"/>
      <c r="AM643" s="34"/>
    </row>
    <row r="644" spans="1:39" s="6" customFormat="1" ht="14.1" hidden="1" customHeight="1" outlineLevel="1" x14ac:dyDescent="0.25">
      <c r="A644" s="85"/>
      <c r="B644" s="152" t="s">
        <v>378</v>
      </c>
      <c r="C644" s="329" t="str">
        <f>HYPERLINK("http://www.oregonlaws.org/ors/183.335","i")</f>
        <v>i</v>
      </c>
      <c r="D644" s="165"/>
      <c r="E644" s="536"/>
      <c r="F644"/>
      <c r="G644"/>
      <c r="H644"/>
      <c r="I644" s="532"/>
      <c r="J644"/>
      <c r="K644"/>
      <c r="L644"/>
      <c r="M644"/>
      <c r="N644"/>
      <c r="O644"/>
      <c r="P644"/>
      <c r="Q644"/>
      <c r="R644"/>
      <c r="S644"/>
      <c r="T644"/>
      <c r="U644"/>
      <c r="X644"/>
      <c r="Y644" s="960"/>
      <c r="AB644" s="955" t="s">
        <v>0</v>
      </c>
      <c r="AC644" s="232">
        <f t="shared" si="87"/>
        <v>1</v>
      </c>
      <c r="AD644" s="19"/>
      <c r="AE644" s="19"/>
      <c r="AF644" s="19"/>
      <c r="AG644" s="24"/>
      <c r="AH644" s="24"/>
      <c r="AI644" s="24"/>
      <c r="AJ644" s="24"/>
      <c r="AK644" s="34"/>
      <c r="AL644" s="364"/>
      <c r="AM644" s="34"/>
    </row>
    <row r="645" spans="1:39" s="6" customFormat="1" ht="14.1" hidden="1" customHeight="1" outlineLevel="1" x14ac:dyDescent="0.2">
      <c r="A645" s="85"/>
      <c r="B645" s="152" t="s">
        <v>379</v>
      </c>
      <c r="C645" s="353"/>
      <c r="D645" s="165"/>
      <c r="E645" s="536"/>
      <c r="I645" s="532"/>
      <c r="Y645" s="960"/>
      <c r="AB645" s="955" t="s">
        <v>0</v>
      </c>
      <c r="AC645" s="232">
        <f t="shared" si="87"/>
        <v>1</v>
      </c>
      <c r="AD645" s="19"/>
      <c r="AE645" s="19"/>
      <c r="AF645" s="19"/>
      <c r="AG645" s="24"/>
      <c r="AH645" s="24"/>
      <c r="AI645" s="24"/>
      <c r="AJ645" s="24"/>
      <c r="AK645" s="34"/>
      <c r="AL645" s="364"/>
      <c r="AM645" s="34"/>
    </row>
    <row r="646" spans="1:39" s="6" customFormat="1" ht="14.1" hidden="1" customHeight="1" outlineLevel="1" x14ac:dyDescent="0.2">
      <c r="A646" s="85"/>
      <c r="B646" s="152" t="str">
        <f>AB646</f>
        <v>* emails to recipients with Return Receipt (redirects receipt to ProgLead)</v>
      </c>
      <c r="C646" s="353"/>
      <c r="D646" s="165"/>
      <c r="E646" s="536"/>
      <c r="F646"/>
      <c r="H646" s="140">
        <f>AH646</f>
        <v>42171</v>
      </c>
      <c r="I646" s="532"/>
      <c r="J646"/>
      <c r="K646"/>
      <c r="L646"/>
      <c r="M646"/>
      <c r="N646"/>
      <c r="O646"/>
      <c r="P646"/>
      <c r="Q646"/>
      <c r="R646"/>
      <c r="S646"/>
      <c r="T646"/>
      <c r="U646"/>
      <c r="X646"/>
      <c r="Y646" s="960"/>
      <c r="AB646" s="934" t="str">
        <f>"* emails to recipients with Return Receipt (redirects receipt to "&amp;S.Staff.Subject.Expert.FirstName&amp;")"</f>
        <v>* emails to recipients with Return Receipt (redirects receipt to ProgLead)</v>
      </c>
      <c r="AC646" s="232">
        <f t="shared" si="87"/>
        <v>1</v>
      </c>
      <c r="AD646" s="19"/>
      <c r="AE646" s="19"/>
      <c r="AF646" s="19"/>
      <c r="AG646" s="25" t="s">
        <v>86</v>
      </c>
      <c r="AH646" s="25">
        <f>IF(AC646=0,,S.Notice.OpenComment)</f>
        <v>42171</v>
      </c>
      <c r="AI646" s="24"/>
      <c r="AJ646" s="24"/>
      <c r="AK646" s="34"/>
      <c r="AL646" s="364"/>
      <c r="AM646" s="34"/>
    </row>
    <row r="647" spans="1:39" s="6" customFormat="1" ht="14.1" hidden="1" customHeight="1" outlineLevel="1" x14ac:dyDescent="0.2">
      <c r="A647" s="85"/>
      <c r="B647" s="135" t="str">
        <f>AB647</f>
        <v>* copies ProgLead</v>
      </c>
      <c r="C647" s="356" t="s">
        <v>0</v>
      </c>
      <c r="D647" s="165"/>
      <c r="E647" s="536"/>
      <c r="F647"/>
      <c r="G647"/>
      <c r="H647"/>
      <c r="I647" s="532"/>
      <c r="J647"/>
      <c r="K647"/>
      <c r="L647"/>
      <c r="M647"/>
      <c r="N647"/>
      <c r="O647"/>
      <c r="P647"/>
      <c r="Q647"/>
      <c r="R647"/>
      <c r="S647"/>
      <c r="T647"/>
      <c r="U647"/>
      <c r="X647"/>
      <c r="Y647" s="960"/>
      <c r="AB647" s="934" t="str">
        <f>"* copies "&amp;S.Staff.Subject.Expert.FirstName</f>
        <v>* copies ProgLead</v>
      </c>
      <c r="AC647" s="232">
        <f t="shared" si="87"/>
        <v>1</v>
      </c>
      <c r="AD647" s="19"/>
      <c r="AE647" s="19"/>
      <c r="AF647" s="19"/>
      <c r="AG647" s="23"/>
      <c r="AH647" s="23"/>
      <c r="AI647" s="24"/>
      <c r="AJ647" s="24"/>
      <c r="AK647" s="34"/>
      <c r="AL647" s="364"/>
      <c r="AM647" s="34"/>
    </row>
    <row r="648" spans="1:39" s="6" customFormat="1" ht="14.1" hidden="1" customHeight="1" outlineLevel="1" x14ac:dyDescent="0.2">
      <c r="A648" s="85"/>
      <c r="B648" s="152" t="s">
        <v>679</v>
      </c>
      <c r="C648" s="142"/>
      <c r="D648" s="165"/>
      <c r="E648" s="536"/>
      <c r="F648" s="145"/>
      <c r="G648" s="142"/>
      <c r="H648" s="142"/>
      <c r="I648" s="532"/>
      <c r="J648"/>
      <c r="K648"/>
      <c r="L648"/>
      <c r="M648"/>
      <c r="N648"/>
      <c r="O648"/>
      <c r="P648"/>
      <c r="Q648"/>
      <c r="R648"/>
      <c r="S648"/>
      <c r="T648"/>
      <c r="U648"/>
      <c r="X648"/>
      <c r="Y648" s="960"/>
      <c r="AB648" s="751"/>
      <c r="AC648" s="232">
        <f t="shared" si="87"/>
        <v>1</v>
      </c>
      <c r="AD648" s="19"/>
      <c r="AE648" s="19"/>
      <c r="AF648" s="19"/>
      <c r="AG648" s="23"/>
      <c r="AH648" s="23"/>
      <c r="AI648" s="24"/>
      <c r="AJ648" s="24"/>
      <c r="AK648" s="34"/>
      <c r="AL648" s="364"/>
      <c r="AM648" s="34"/>
    </row>
    <row r="649" spans="1:39" s="6" customFormat="1" ht="14.1" hidden="1" customHeight="1" outlineLevel="1" x14ac:dyDescent="0.2">
      <c r="A649" s="85"/>
      <c r="B649" s="167" t="str">
        <f>AB649</f>
        <v>RGLead &amp; WebRep maintain Rukemaking Web page</v>
      </c>
      <c r="C649" s="356" t="s">
        <v>0</v>
      </c>
      <c r="D649" s="205"/>
      <c r="E649" s="205"/>
      <c r="F649"/>
      <c r="G649" s="191">
        <f t="shared" ref="G649" si="88">AG649</f>
        <v>42171</v>
      </c>
      <c r="H649" s="146">
        <f t="shared" ref="H649" si="89">AH649</f>
        <v>0</v>
      </c>
      <c r="I649" s="532"/>
      <c r="J649"/>
      <c r="K649"/>
      <c r="L649"/>
      <c r="M649"/>
      <c r="N649"/>
      <c r="O649"/>
      <c r="P649"/>
      <c r="Q649"/>
      <c r="R649"/>
      <c r="S649"/>
      <c r="T649"/>
      <c r="U649"/>
      <c r="X649"/>
      <c r="Y649" s="960"/>
      <c r="AB649" s="934" t="str">
        <f>S.Staff.RG.Lead.FirstName&amp;" &amp; "&amp;S.Staff.WebMaster&amp;" maintain Rukemaking Web page"</f>
        <v>RGLead &amp; WebRep maintain Rukemaking Web page</v>
      </c>
      <c r="AC649" s="232">
        <f t="shared" si="87"/>
        <v>1</v>
      </c>
      <c r="AD649" s="19"/>
      <c r="AE649" s="19"/>
      <c r="AF649" s="19"/>
      <c r="AG649" s="25">
        <f>IF(AC649=0,,S.Notice.OpenComment)</f>
        <v>42171</v>
      </c>
      <c r="AH649" s="25">
        <f>IF(AC649=0,,S.4Notice.END)</f>
        <v>0</v>
      </c>
      <c r="AI649" s="24"/>
      <c r="AJ649" s="24"/>
      <c r="AK649" s="34"/>
      <c r="AL649" s="364"/>
      <c r="AM649" s="34"/>
    </row>
    <row r="650" spans="1:39" s="6" customFormat="1" ht="14.1" hidden="1" customHeight="1" outlineLevel="1" x14ac:dyDescent="0.2">
      <c r="A650" s="85"/>
      <c r="B650" s="128" t="str">
        <f>AB650</f>
        <v xml:space="preserve">ProgLead gathers and saves all emails on </v>
      </c>
      <c r="C650" s="327" t="str">
        <f>HYPERLINK("\\deqhq1\Rule_Development\Currrent Plan","i")</f>
        <v>i</v>
      </c>
      <c r="D650" s="165"/>
      <c r="E650" s="536"/>
      <c r="F650"/>
      <c r="G650" s="140">
        <f>AG650</f>
        <v>0</v>
      </c>
      <c r="H650" s="140">
        <f>AH650</f>
        <v>0</v>
      </c>
      <c r="I650" s="532"/>
      <c r="J650"/>
      <c r="K650"/>
      <c r="L650"/>
      <c r="M650"/>
      <c r="N650"/>
      <c r="O650"/>
      <c r="P650"/>
      <c r="Q650"/>
      <c r="R650"/>
      <c r="S650"/>
      <c r="T650"/>
      <c r="U650"/>
      <c r="X650"/>
      <c r="Y650" s="960"/>
      <c r="AB650" s="934" t="str">
        <f>S.Staff.Subject.Expert.FirstName&amp;" gathers and saves all emails on "</f>
        <v xml:space="preserve">ProgLead gathers and saves all emails on </v>
      </c>
      <c r="AC650" s="232">
        <f t="shared" si="87"/>
        <v>1</v>
      </c>
      <c r="AD650" s="19"/>
      <c r="AE650" s="19"/>
      <c r="AF650" s="19"/>
      <c r="AG650" s="25">
        <f>IF(AC650=0,,S.4Notice.BEGIN)</f>
        <v>0</v>
      </c>
      <c r="AH650" s="25">
        <f>IF(AC650=0,,S.4Notice.END)</f>
        <v>0</v>
      </c>
      <c r="AI650" s="24"/>
      <c r="AJ650" s="24"/>
      <c r="AK650" s="34"/>
      <c r="AL650" s="364"/>
      <c r="AM650" s="34"/>
    </row>
    <row r="651" spans="1:39" s="6" customFormat="1" ht="14.1" hidden="1" customHeight="1" outlineLevel="1" x14ac:dyDescent="0.2">
      <c r="A651" s="85"/>
      <c r="B651" s="135" t="s">
        <v>418</v>
      </c>
      <c r="C651" s="142"/>
      <c r="D651" s="165"/>
      <c r="E651" s="536"/>
      <c r="F651" s="145"/>
      <c r="G651" s="142"/>
      <c r="H651" s="142"/>
      <c r="I651" s="532"/>
      <c r="Y651" s="960"/>
      <c r="AB651" s="751"/>
      <c r="AC651" s="232">
        <f t="shared" si="87"/>
        <v>1</v>
      </c>
      <c r="AD651" s="19"/>
      <c r="AE651" s="19"/>
      <c r="AF651" s="19"/>
      <c r="AG651" s="23"/>
      <c r="AH651" s="23"/>
      <c r="AI651" s="24"/>
      <c r="AJ651" s="24"/>
      <c r="AK651" s="34"/>
      <c r="AL651" s="364"/>
      <c r="AM651" s="34"/>
    </row>
    <row r="652" spans="1:39" ht="13.5" customHeight="1" collapsed="1" x14ac:dyDescent="0.2">
      <c r="A652" s="85"/>
      <c r="B652" s="175"/>
      <c r="C652" s="177"/>
      <c r="D652" s="176"/>
      <c r="E652" s="176"/>
      <c r="F652" s="178" t="s">
        <v>0</v>
      </c>
      <c r="G652" s="179"/>
      <c r="H652" s="179"/>
      <c r="I652" s="532"/>
      <c r="AB652" s="944"/>
      <c r="AC652" s="232" t="s">
        <v>0</v>
      </c>
      <c r="AD652" s="19"/>
      <c r="AE652" s="19"/>
      <c r="AF652" s="19"/>
      <c r="AG652" s="18"/>
      <c r="AH652" s="18"/>
      <c r="AI652" s="24"/>
      <c r="AJ652" s="24"/>
      <c r="AK652" s="34"/>
      <c r="AL652" s="364"/>
      <c r="AM652" s="34"/>
    </row>
    <row r="653" spans="1:39" s="6" customFormat="1" ht="20.25" customHeight="1" x14ac:dyDescent="0.3">
      <c r="A653" s="85"/>
      <c r="B653" s="1057" t="str">
        <f>AB29</f>
        <v>Public Comment and Testimony</v>
      </c>
      <c r="C653" s="1057"/>
      <c r="D653" s="1057"/>
      <c r="E653" s="1057"/>
      <c r="F653" s="1057"/>
      <c r="G653" s="1057"/>
      <c r="H653" s="1057"/>
      <c r="I653" s="532"/>
      <c r="J653"/>
      <c r="K653"/>
      <c r="L653"/>
      <c r="M653"/>
      <c r="N653"/>
      <c r="O653"/>
      <c r="P653"/>
      <c r="Q653"/>
      <c r="R653"/>
      <c r="S653"/>
      <c r="T653"/>
      <c r="U653"/>
      <c r="X653"/>
      <c r="Y653" s="960"/>
      <c r="AB653" s="751"/>
      <c r="AC653" s="232" t="s">
        <v>0</v>
      </c>
      <c r="AD653" s="19"/>
      <c r="AE653" s="19"/>
      <c r="AF653" s="19"/>
      <c r="AG653" s="35"/>
      <c r="AH653" s="35"/>
      <c r="AI653" s="24"/>
      <c r="AJ653" s="30"/>
      <c r="AK653" s="34"/>
      <c r="AL653" s="364"/>
      <c r="AM653" s="34"/>
    </row>
    <row r="654" spans="1:39" s="244" customFormat="1" ht="14.1" hidden="1" customHeight="1" outlineLevel="1" x14ac:dyDescent="0.2">
      <c r="A654" s="241"/>
      <c r="B654" s="702" t="str">
        <f>S.General.CodeName</f>
        <v>CodeName</v>
      </c>
      <c r="C654" s="242" t="s">
        <v>0</v>
      </c>
      <c r="D654" s="242"/>
      <c r="E654" s="242"/>
      <c r="F654" s="249"/>
      <c r="G654" s="243" t="s">
        <v>26</v>
      </c>
      <c r="H654" s="243" t="s">
        <v>57</v>
      </c>
      <c r="I654" s="532"/>
      <c r="J654"/>
      <c r="K654"/>
      <c r="L654"/>
      <c r="M654"/>
      <c r="N654"/>
      <c r="O654"/>
      <c r="P654"/>
      <c r="Q654"/>
      <c r="R654"/>
      <c r="S654"/>
      <c r="T654"/>
      <c r="U654"/>
      <c r="V654" s="6"/>
      <c r="W654" s="6"/>
      <c r="X654"/>
      <c r="Y654" s="960"/>
      <c r="Z654" s="6"/>
      <c r="AA654" s="6"/>
      <c r="AB654" s="939"/>
      <c r="AC654" s="246" t="s">
        <v>0</v>
      </c>
      <c r="AD654" s="19"/>
      <c r="AE654" s="19"/>
      <c r="AF654" s="979"/>
      <c r="AG654" s="245"/>
      <c r="AH654" s="245"/>
      <c r="AI654" s="247"/>
      <c r="AJ654" s="248"/>
      <c r="AK654" s="470"/>
      <c r="AL654" s="985"/>
      <c r="AM654" s="470"/>
    </row>
    <row r="655" spans="1:39" ht="14.1" hidden="1" customHeight="1" outlineLevel="1" x14ac:dyDescent="0.3">
      <c r="A655" s="85"/>
      <c r="B655" s="577" t="s">
        <v>0</v>
      </c>
      <c r="C655" s="58"/>
      <c r="D655" s="103"/>
      <c r="E655" s="103"/>
      <c r="F655" s="74"/>
      <c r="G655" s="104">
        <f>S.5Comment.BEGIN</f>
        <v>0</v>
      </c>
      <c r="H655" s="122">
        <f>S.5Comment.END</f>
        <v>0</v>
      </c>
      <c r="I655" s="532"/>
      <c r="AB655" s="751"/>
      <c r="AC655" s="232" t="s">
        <v>0</v>
      </c>
      <c r="AD655" s="19"/>
      <c r="AE655" s="19"/>
      <c r="AF655" s="19"/>
      <c r="AG655" s="35"/>
      <c r="AH655" s="245"/>
      <c r="AI655" s="24"/>
      <c r="AJ655" s="24"/>
      <c r="AK655" s="34"/>
      <c r="AL655" s="364"/>
      <c r="AM655" s="34"/>
    </row>
    <row r="656" spans="1:39" ht="6" hidden="1" customHeight="1" outlineLevel="1" x14ac:dyDescent="0.2">
      <c r="A656" s="85"/>
      <c r="B656" s="60"/>
      <c r="C656" s="52"/>
      <c r="D656" s="485"/>
      <c r="E656" s="485"/>
      <c r="F656" s="53"/>
      <c r="G656" s="52"/>
      <c r="H656" s="52"/>
      <c r="I656" s="532"/>
      <c r="AB656" s="944"/>
      <c r="AC656" s="232" t="s">
        <v>0</v>
      </c>
      <c r="AD656" s="19"/>
      <c r="AE656" s="19"/>
      <c r="AF656" s="19"/>
      <c r="AG656" s="18"/>
      <c r="AH656" s="18"/>
      <c r="AI656" s="24"/>
      <c r="AJ656" s="24"/>
      <c r="AK656" s="34"/>
      <c r="AL656" s="364"/>
      <c r="AM656" s="34"/>
    </row>
    <row r="657" spans="1:39" s="6" customFormat="1" ht="14.1" hidden="1" customHeight="1" outlineLevel="1" x14ac:dyDescent="0.2">
      <c r="A657" s="85"/>
      <c r="B657" s="349" t="s">
        <v>138</v>
      </c>
      <c r="C657" s="327" t="str">
        <f>HYPERLINK("\\deqhq1\Rule_Resources\i\0-VersionHistory.pdf","i")</f>
        <v>i</v>
      </c>
      <c r="D657" s="486"/>
      <c r="E657" s="486"/>
      <c r="F657" s="39"/>
      <c r="G657" s="38"/>
      <c r="H657" s="38"/>
      <c r="I657" s="532"/>
      <c r="J657"/>
      <c r="K657"/>
      <c r="L657"/>
      <c r="M657"/>
      <c r="N657"/>
      <c r="O657"/>
      <c r="P657"/>
      <c r="Q657"/>
      <c r="R657"/>
      <c r="S657"/>
      <c r="T657"/>
      <c r="U657"/>
      <c r="X657"/>
      <c r="Y657" s="960"/>
      <c r="AB657" s="929"/>
      <c r="AC657" s="233" t="s">
        <v>0</v>
      </c>
      <c r="AD657" s="19"/>
      <c r="AE657" s="19"/>
      <c r="AF657" s="19"/>
      <c r="AG657" s="18"/>
      <c r="AH657" s="18"/>
      <c r="AI657" s="31"/>
      <c r="AJ657" s="31"/>
      <c r="AK657" s="34"/>
      <c r="AL657" s="364"/>
      <c r="AM657" s="34"/>
    </row>
    <row r="658" spans="1:39" s="767" customFormat="1" ht="16.5" hidden="1" customHeight="1" outlineLevel="1" thickBot="1" x14ac:dyDescent="0.25">
      <c r="A658" s="85"/>
      <c r="B658" s="789" t="s">
        <v>560</v>
      </c>
      <c r="C658" s="188"/>
      <c r="D658" s="515"/>
      <c r="E658" s="651"/>
      <c r="H658" s="142"/>
      <c r="I658" s="532"/>
      <c r="Y658" s="960"/>
      <c r="AB658" s="944"/>
      <c r="AC658" s="232">
        <f>IF(S.Fee.Involved="Y",1,0)</f>
        <v>0</v>
      </c>
      <c r="AD658" s="19"/>
      <c r="AE658" s="19"/>
      <c r="AF658" s="19"/>
      <c r="AG658" s="33"/>
      <c r="AH658" s="36"/>
      <c r="AI658" s="24"/>
      <c r="AJ658" s="26"/>
      <c r="AK658" s="34"/>
      <c r="AL658" s="364"/>
      <c r="AM658" s="34"/>
    </row>
    <row r="659" spans="1:39" ht="14.1" hidden="1" customHeight="1" outlineLevel="1" thickBot="1" x14ac:dyDescent="0.25">
      <c r="A659" s="85"/>
      <c r="B659" s="180" t="str">
        <f>AB659</f>
        <v>Technical Lead verifies venues and equipment, gathers supplies</v>
      </c>
      <c r="C659" s="259" t="s">
        <v>24</v>
      </c>
      <c r="D659" s="228"/>
      <c r="E659" s="536"/>
      <c r="F659" s="6"/>
      <c r="G659" s="181">
        <f>AG659</f>
        <v>0</v>
      </c>
      <c r="H659" s="181">
        <f>AH659</f>
        <v>42201</v>
      </c>
      <c r="I659" s="532"/>
      <c r="AB659" s="936" t="str">
        <f>S.Staff.Support&amp;" verifies venues and equipment, gathers supplies"</f>
        <v>Technical Lead verifies venues and equipment, gathers supplies</v>
      </c>
      <c r="AC659" s="232">
        <f>IF(AND(S.Notice.Involved="Y",S.Hearing.1stInvolve="Y"),1,0)</f>
        <v>1</v>
      </c>
      <c r="AD659" s="19"/>
      <c r="AE659" s="19"/>
      <c r="AF659" s="19"/>
      <c r="AG659" s="25">
        <f>IF(AC659=0,,S.5Comment.BEGIN)</f>
        <v>0</v>
      </c>
      <c r="AH659" s="25">
        <f>S.Hearing.1stDate</f>
        <v>42201</v>
      </c>
      <c r="AI659" s="24"/>
      <c r="AJ659" s="24"/>
      <c r="AK659" s="34"/>
      <c r="AL659" s="364"/>
      <c r="AM659" s="34"/>
    </row>
    <row r="660" spans="1:39" s="6" customFormat="1" ht="14.1" hidden="1" customHeight="1" outlineLevel="2" x14ac:dyDescent="0.2">
      <c r="A660" s="85"/>
      <c r="B660" s="333" t="str">
        <f>AB660</f>
        <v>START INFORMATION MEETING OPTION</v>
      </c>
      <c r="C660" s="182"/>
      <c r="D660" s="183"/>
      <c r="E660" s="183"/>
      <c r="G660" s="182"/>
      <c r="H660" s="182"/>
      <c r="I660" s="532"/>
      <c r="J660"/>
      <c r="K660"/>
      <c r="L660"/>
      <c r="M660"/>
      <c r="N660"/>
      <c r="O660"/>
      <c r="P660"/>
      <c r="Q660"/>
      <c r="R660"/>
      <c r="S660"/>
      <c r="T660"/>
      <c r="U660"/>
      <c r="X660"/>
      <c r="Y660" s="960"/>
      <c r="AB660" s="936" t="str">
        <f>IF(S.Notice.InformationMeeting="Y","START INFORMATION MEETING OPTION","Team does not plan to hold information meeting")</f>
        <v>START INFORMATION MEETING OPTION</v>
      </c>
      <c r="AC660" s="232">
        <f>IF(AND(S.Notice.Involved="Y",S.Hearing.1stInvolve="Y",S.Notice.InformationMeeting="Y"),1,0)</f>
        <v>1</v>
      </c>
      <c r="AD660" s="19"/>
      <c r="AE660" s="19"/>
      <c r="AF660" s="19"/>
      <c r="AG660" s="23"/>
      <c r="AH660" s="23"/>
      <c r="AI660" s="24"/>
      <c r="AJ660" s="24"/>
      <c r="AK660" s="34"/>
      <c r="AL660" s="364"/>
      <c r="AM660" s="34"/>
    </row>
    <row r="661" spans="1:39" s="6" customFormat="1" ht="14.1" hidden="1" customHeight="1" outlineLevel="2" x14ac:dyDescent="0.2">
      <c r="A661" s="85"/>
      <c r="B661" s="283" t="str">
        <f>AB661</f>
        <v>ProgLead:</v>
      </c>
      <c r="C661" s="142"/>
      <c r="D661" s="165"/>
      <c r="E661" s="536"/>
      <c r="G661" s="181">
        <f t="shared" ref="G661" si="90">AG661</f>
        <v>0</v>
      </c>
      <c r="H661" s="181">
        <f t="shared" ref="H661" si="91">AH661</f>
        <v>0</v>
      </c>
      <c r="I661" s="532"/>
      <c r="J661"/>
      <c r="K661"/>
      <c r="L661"/>
      <c r="M661"/>
      <c r="N661"/>
      <c r="O661"/>
      <c r="P661"/>
      <c r="Q661"/>
      <c r="R661"/>
      <c r="S661"/>
      <c r="T661"/>
      <c r="U661"/>
      <c r="X661"/>
      <c r="Y661" s="960"/>
      <c r="AB661" s="936" t="str">
        <f>S.Staff.Subject.Expert.FirstName&amp;":"</f>
        <v>ProgLead:</v>
      </c>
      <c r="AC661" s="232">
        <f>IF(AND(S.Notice.Involved="Y",S.Notice.AD.Involved="Y"),1,0)</f>
        <v>1</v>
      </c>
      <c r="AD661" s="19"/>
      <c r="AE661" s="19"/>
      <c r="AF661" s="19"/>
      <c r="AG661" s="25">
        <f>IF(AC661=0,,S.5Comment.BEGIN)</f>
        <v>0</v>
      </c>
      <c r="AH661" s="25">
        <f>G661</f>
        <v>0</v>
      </c>
      <c r="AI661" s="24"/>
      <c r="AJ661" s="24"/>
      <c r="AK661" s="34"/>
      <c r="AL661" s="364"/>
      <c r="AM661" s="34"/>
    </row>
    <row r="662" spans="1:39" s="6" customFormat="1" ht="14.1" hidden="1" customHeight="1" outlineLevel="2" thickBot="1" x14ac:dyDescent="0.25">
      <c r="A662" s="85"/>
      <c r="B662" s="283" t="s">
        <v>81</v>
      </c>
      <c r="C662" s="356" t="s">
        <v>0</v>
      </c>
      <c r="D662" s="165"/>
      <c r="E662" s="536"/>
      <c r="F662"/>
      <c r="G662"/>
      <c r="H662"/>
      <c r="I662" s="532"/>
      <c r="J662"/>
      <c r="K662"/>
      <c r="L662"/>
      <c r="M662"/>
      <c r="N662"/>
      <c r="O662"/>
      <c r="P662"/>
      <c r="Q662"/>
      <c r="R662"/>
      <c r="S662"/>
      <c r="T662"/>
      <c r="U662"/>
      <c r="X662"/>
      <c r="Y662" s="960"/>
      <c r="AB662" s="939"/>
      <c r="AC662" s="232">
        <f>IF(AND(S.Notice.Involved="Y",S.Hearing.1stInvolve="Y",S.Notice.InformationMeeting="Y"),1,0)</f>
        <v>1</v>
      </c>
      <c r="AD662" s="19"/>
      <c r="AE662" s="19"/>
      <c r="AF662" s="19"/>
      <c r="AG662" s="23"/>
      <c r="AH662" s="23"/>
      <c r="AI662" s="24"/>
      <c r="AJ662" s="24"/>
      <c r="AK662" s="34"/>
      <c r="AL662" s="364"/>
      <c r="AM662" s="34"/>
    </row>
    <row r="663" spans="1:39" s="6" customFormat="1" ht="14.1" hidden="1" customHeight="1" outlineLevel="2" thickBot="1" x14ac:dyDescent="0.25">
      <c r="A663" s="85"/>
      <c r="B663" s="283" t="s">
        <v>112</v>
      </c>
      <c r="C663" s="259" t="s">
        <v>24</v>
      </c>
      <c r="D663" s="228"/>
      <c r="E663" s="536"/>
      <c r="G663"/>
      <c r="H663"/>
      <c r="I663" s="532"/>
      <c r="J663"/>
      <c r="K663"/>
      <c r="L663"/>
      <c r="M663"/>
      <c r="N663"/>
      <c r="O663"/>
      <c r="P663"/>
      <c r="Q663"/>
      <c r="R663"/>
      <c r="S663"/>
      <c r="T663"/>
      <c r="U663"/>
      <c r="X663"/>
      <c r="Y663" s="960"/>
      <c r="AB663" s="939"/>
      <c r="AC663" s="232">
        <f t="shared" ref="AC663:AC668" si="92">IF(AND(S.Notice.Involved="Y",S.Hearing.1stInvolve="Y",S.Notice.InformationMeeting="Y",S.Planning.MessageMap="Y"),1,0)</f>
        <v>1</v>
      </c>
      <c r="AD663" s="19"/>
      <c r="AE663" s="19"/>
      <c r="AF663" s="19"/>
      <c r="AG663" s="23"/>
      <c r="AH663" s="23"/>
      <c r="AI663" s="24"/>
      <c r="AJ663" s="24"/>
      <c r="AK663" s="34"/>
      <c r="AL663" s="364"/>
      <c r="AM663" s="34"/>
    </row>
    <row r="664" spans="1:39" s="293" customFormat="1" ht="14.1" hidden="1" customHeight="1" outlineLevel="2" x14ac:dyDescent="0.2">
      <c r="A664" s="291"/>
      <c r="B664" s="283" t="s">
        <v>82</v>
      </c>
      <c r="C664" s="134" t="s">
        <v>0</v>
      </c>
      <c r="D664" s="292"/>
      <c r="E664" s="649"/>
      <c r="F664" s="6"/>
      <c r="G664"/>
      <c r="H664"/>
      <c r="I664" s="532"/>
      <c r="J664"/>
      <c r="K664"/>
      <c r="L664"/>
      <c r="M664"/>
      <c r="N664"/>
      <c r="O664"/>
      <c r="P664"/>
      <c r="Q664"/>
      <c r="R664"/>
      <c r="S664"/>
      <c r="T664"/>
      <c r="U664"/>
      <c r="V664" s="6"/>
      <c r="W664" s="6"/>
      <c r="X664"/>
      <c r="Y664" s="960"/>
      <c r="Z664" s="6"/>
      <c r="AA664" s="6"/>
      <c r="AB664" s="939"/>
      <c r="AC664" s="232">
        <f t="shared" si="92"/>
        <v>1</v>
      </c>
      <c r="AD664" s="19"/>
      <c r="AE664" s="19"/>
      <c r="AF664" s="982"/>
      <c r="AG664" s="23"/>
      <c r="AH664" s="23"/>
      <c r="AI664" s="294"/>
      <c r="AJ664" s="294"/>
      <c r="AK664" s="990"/>
      <c r="AL664" s="991"/>
      <c r="AM664" s="990"/>
    </row>
    <row r="665" spans="1:39" s="6" customFormat="1" ht="14.1" hidden="1" customHeight="1" outlineLevel="2" x14ac:dyDescent="0.2">
      <c r="A665" s="85"/>
      <c r="B665" s="283" t="s">
        <v>83</v>
      </c>
      <c r="C665" s="356" t="s">
        <v>0</v>
      </c>
      <c r="D665" s="165"/>
      <c r="E665" s="536"/>
      <c r="G665"/>
      <c r="H665"/>
      <c r="I665" s="532"/>
      <c r="J665"/>
      <c r="K665"/>
      <c r="L665"/>
      <c r="M665"/>
      <c r="N665"/>
      <c r="O665"/>
      <c r="P665"/>
      <c r="Q665"/>
      <c r="R665"/>
      <c r="S665"/>
      <c r="T665"/>
      <c r="U665"/>
      <c r="X665"/>
      <c r="Y665" s="960"/>
      <c r="AB665" s="939"/>
      <c r="AC665" s="232">
        <f t="shared" si="92"/>
        <v>1</v>
      </c>
      <c r="AD665" s="19"/>
      <c r="AE665" s="19"/>
      <c r="AF665" s="19"/>
      <c r="AG665" s="23"/>
      <c r="AH665" s="23"/>
      <c r="AI665" s="24"/>
      <c r="AJ665" s="24"/>
      <c r="AK665" s="34"/>
      <c r="AL665" s="364"/>
      <c r="AM665" s="34"/>
    </row>
    <row r="666" spans="1:39" ht="14.1" hidden="1" customHeight="1" outlineLevel="2" x14ac:dyDescent="0.2">
      <c r="A666" s="85"/>
      <c r="B666" s="283" t="s">
        <v>84</v>
      </c>
      <c r="C666" s="352" t="s">
        <v>0</v>
      </c>
      <c r="D666" s="165"/>
      <c r="E666" s="536"/>
      <c r="F666" s="6"/>
      <c r="G666"/>
      <c r="H666"/>
      <c r="I666" s="532"/>
      <c r="AB666" s="939"/>
      <c r="AC666" s="232">
        <f t="shared" si="92"/>
        <v>1</v>
      </c>
      <c r="AD666" s="19"/>
      <c r="AE666" s="19"/>
      <c r="AF666" s="19"/>
      <c r="AG666" s="23"/>
      <c r="AH666" s="23"/>
      <c r="AI666" s="24"/>
      <c r="AJ666" s="24"/>
      <c r="AK666" s="34"/>
      <c r="AL666" s="364"/>
      <c r="AM666" s="34"/>
    </row>
    <row r="667" spans="1:39" s="6" customFormat="1" ht="14.1" hidden="1" customHeight="1" outlineLevel="2" x14ac:dyDescent="0.2">
      <c r="A667" s="85"/>
      <c r="B667" s="283" t="str">
        <f>AB667</f>
        <v>* initiates ProgMgr's review/approval, addresses suggestions</v>
      </c>
      <c r="C667" s="356" t="s">
        <v>0</v>
      </c>
      <c r="D667" s="165"/>
      <c r="E667" s="536"/>
      <c r="G667" s="181">
        <f t="shared" ref="G667" si="93">AG667</f>
        <v>0</v>
      </c>
      <c r="H667" s="181">
        <f t="shared" ref="H667" si="94">AH667</f>
        <v>0</v>
      </c>
      <c r="I667" s="532"/>
      <c r="J667"/>
      <c r="K667"/>
      <c r="L667"/>
      <c r="M667"/>
      <c r="N667"/>
      <c r="O667"/>
      <c r="P667"/>
      <c r="Q667"/>
      <c r="R667"/>
      <c r="S667"/>
      <c r="T667"/>
      <c r="U667"/>
      <c r="X667"/>
      <c r="Y667" s="960"/>
      <c r="AB667" s="934" t="str">
        <f>"* initiates "&amp;S.Staff.Program.Mgr.FirstName&amp;"'s review/approval, addresses suggestions"</f>
        <v>* initiates ProgMgr's review/approval, addresses suggestions</v>
      </c>
      <c r="AC667" s="232">
        <f t="shared" si="92"/>
        <v>1</v>
      </c>
      <c r="AD667" s="19"/>
      <c r="AE667" s="19"/>
      <c r="AF667" s="19"/>
      <c r="AG667" s="25">
        <f>H661</f>
        <v>0</v>
      </c>
      <c r="AH667" s="25">
        <f>AG667</f>
        <v>0</v>
      </c>
      <c r="AI667" s="123" t="s">
        <v>0</v>
      </c>
      <c r="AJ667" s="24"/>
      <c r="AK667" s="34"/>
      <c r="AL667" s="364"/>
      <c r="AM667" s="34"/>
    </row>
    <row r="668" spans="1:39" ht="14.1" hidden="1" customHeight="1" outlineLevel="2" thickBot="1" x14ac:dyDescent="0.25">
      <c r="A668" s="85"/>
      <c r="B668" s="367" t="str">
        <f>AB668</f>
        <v>1st loop ProgMgr reviews/approves optional presentation</v>
      </c>
      <c r="C668" s="353"/>
      <c r="D668" s="165"/>
      <c r="E668" s="536"/>
      <c r="F668" s="6"/>
      <c r="G668" s="181">
        <f t="shared" ref="G668:H671" si="95">AG668</f>
        <v>0</v>
      </c>
      <c r="H668" s="181">
        <f t="shared" si="95"/>
        <v>0</v>
      </c>
      <c r="I668" s="532"/>
      <c r="AB668" s="934" t="str">
        <f>"1st loop "&amp;S.Staff.Program.Mgr.FirstName&amp;" reviews/approves optional presentation"</f>
        <v>1st loop ProgMgr reviews/approves optional presentation</v>
      </c>
      <c r="AC668" s="232">
        <f t="shared" si="92"/>
        <v>1</v>
      </c>
      <c r="AD668" s="19"/>
      <c r="AE668" s="19"/>
      <c r="AF668" s="19"/>
      <c r="AG668" s="25">
        <f>G661</f>
        <v>0</v>
      </c>
      <c r="AH668" s="25">
        <f t="shared" ref="AH668:AH671" si="96">AG668</f>
        <v>0</v>
      </c>
      <c r="AI668" s="24" t="s">
        <v>0</v>
      </c>
      <c r="AJ668" s="24"/>
      <c r="AK668" s="34"/>
      <c r="AL668" s="364"/>
      <c r="AM668" s="34"/>
    </row>
    <row r="669" spans="1:39" ht="14.1" hidden="1" customHeight="1" outlineLevel="2" thickBot="1" x14ac:dyDescent="0.25">
      <c r="A669" s="85"/>
      <c r="B669" s="368" t="str">
        <f>AB669</f>
        <v>2nd loop ProgMgr reviews/approves optional presentation</v>
      </c>
      <c r="C669" s="308" t="s">
        <v>77</v>
      </c>
      <c r="D669" s="165"/>
      <c r="E669" s="536"/>
      <c r="F669" s="6"/>
      <c r="G669" s="181">
        <f t="shared" si="95"/>
        <v>0</v>
      </c>
      <c r="H669" s="181">
        <f t="shared" si="95"/>
        <v>0</v>
      </c>
      <c r="I669" s="532"/>
      <c r="AB669" s="934" t="str">
        <f>"2nd loop "&amp;S.Staff.Program.Mgr.FirstName&amp;" reviews/approves optional presentation"</f>
        <v>2nd loop ProgMgr reviews/approves optional presentation</v>
      </c>
      <c r="AC669" s="232">
        <f>IF(S.EQC.ApprovePresentationLoop2="N",,IF(AND(S.Notice.Involved="Y",S.Hearing.1stInvolve="Y",S.Notice.InformationMeeting="Y",S.Planning.MessageMap="Y"),1,0))</f>
        <v>0</v>
      </c>
      <c r="AD669" s="19"/>
      <c r="AE669" s="19"/>
      <c r="AF669" s="19"/>
      <c r="AG669" s="25">
        <f>IF(AC669=0,,MAX(AH662:AH666))</f>
        <v>0</v>
      </c>
      <c r="AH669" s="25">
        <f t="shared" si="96"/>
        <v>0</v>
      </c>
      <c r="AI669" s="24" t="s">
        <v>0</v>
      </c>
      <c r="AJ669" s="24"/>
      <c r="AK669" s="34"/>
      <c r="AL669" s="364"/>
      <c r="AM669" s="34"/>
    </row>
    <row r="670" spans="1:39" ht="14.1" hidden="1" customHeight="1" outlineLevel="2" thickBot="1" x14ac:dyDescent="0.25">
      <c r="A670" s="85"/>
      <c r="B670" s="369" t="str">
        <f>AB670</f>
        <v>3rd loop ProgMgr reviews/approves optional presentation</v>
      </c>
      <c r="C670" s="308" t="s">
        <v>77</v>
      </c>
      <c r="D670" s="165"/>
      <c r="E670" s="536"/>
      <c r="F670" s="6"/>
      <c r="G670" s="181">
        <f t="shared" si="95"/>
        <v>0</v>
      </c>
      <c r="H670" s="181">
        <f t="shared" si="95"/>
        <v>0</v>
      </c>
      <c r="I670" s="532"/>
      <c r="AB670" s="934" t="str">
        <f>"3rd loop "&amp;S.Staff.Program.Mgr.FirstName&amp;" reviews/approves optional presentation"</f>
        <v>3rd loop ProgMgr reviews/approves optional presentation</v>
      </c>
      <c r="AC670" s="232">
        <f>IF(S.EQC.ApprovePresentationLoop3="N",,IF(AND(S.Notice.Involved="Y",S.Hearing.1stInvolve="Y",S.Notice.InformationMeeting="Y",S.Planning.MessageMap="Y"),1,0))</f>
        <v>0</v>
      </c>
      <c r="AD670" s="19"/>
      <c r="AE670" s="19"/>
      <c r="AF670" s="19"/>
      <c r="AG670" s="25">
        <f>IF(AC670=0,,MAX(AH662:AH666))</f>
        <v>0</v>
      </c>
      <c r="AH670" s="25">
        <f t="shared" si="96"/>
        <v>0</v>
      </c>
      <c r="AI670" s="24"/>
      <c r="AJ670" s="24"/>
      <c r="AK670" s="34"/>
      <c r="AL670" s="364"/>
      <c r="AM670" s="34"/>
    </row>
    <row r="671" spans="1:39" ht="14.1" hidden="1" customHeight="1" outlineLevel="2" thickBot="1" x14ac:dyDescent="0.25">
      <c r="A671" s="85"/>
      <c r="B671" s="370" t="str">
        <f>AB671</f>
        <v>4th loop ProgMgr reviews/approves optional presentation</v>
      </c>
      <c r="C671" s="308" t="s">
        <v>77</v>
      </c>
      <c r="D671" s="165"/>
      <c r="E671" s="536"/>
      <c r="F671" s="6"/>
      <c r="G671" s="181">
        <f t="shared" si="95"/>
        <v>0</v>
      </c>
      <c r="H671" s="181">
        <f t="shared" si="95"/>
        <v>0</v>
      </c>
      <c r="I671" s="532"/>
      <c r="AB671" s="934" t="str">
        <f>"4th loop "&amp;S.Staff.Program.Mgr.FirstName&amp;" reviews/approves optional presentation"</f>
        <v>4th loop ProgMgr reviews/approves optional presentation</v>
      </c>
      <c r="AC671" s="232">
        <f>IF(S.EQC.ApprovePresentationLoop4="N",,IF(AND(S.Notice.Involved="Y",S.Hearing.1stInvolve="Y",S.Notice.InformationMeeting="Y",S.Planning.MessageMap="Y"),1,0))</f>
        <v>0</v>
      </c>
      <c r="AD671" s="19"/>
      <c r="AE671" s="19"/>
      <c r="AF671" s="19"/>
      <c r="AG671" s="25">
        <f>IF(AC671=0,,MAX(AH662:AH666))</f>
        <v>0</v>
      </c>
      <c r="AH671" s="25">
        <f t="shared" si="96"/>
        <v>0</v>
      </c>
      <c r="AI671" s="24"/>
      <c r="AJ671" s="24"/>
      <c r="AK671" s="34"/>
      <c r="AL671" s="364"/>
      <c r="AM671" s="34"/>
    </row>
    <row r="672" spans="1:39" s="6" customFormat="1" ht="14.1" hidden="1" customHeight="1" outlineLevel="1" x14ac:dyDescent="0.2">
      <c r="A672" s="85"/>
      <c r="B672" s="172" t="s">
        <v>399</v>
      </c>
      <c r="C672" s="142"/>
      <c r="D672" s="165"/>
      <c r="E672" s="536"/>
      <c r="G672" s="181">
        <f>AG672</f>
        <v>0</v>
      </c>
      <c r="H672" s="181">
        <f>AH672</f>
        <v>42201</v>
      </c>
      <c r="I672" s="532"/>
      <c r="J672"/>
      <c r="K672"/>
      <c r="L672"/>
      <c r="M672"/>
      <c r="N672"/>
      <c r="O672"/>
      <c r="P672"/>
      <c r="Q672"/>
      <c r="R672"/>
      <c r="S672"/>
      <c r="T672"/>
      <c r="U672"/>
      <c r="X672"/>
      <c r="Y672" s="960"/>
      <c r="AB672" s="947"/>
      <c r="AC672" s="232">
        <f>IF(S.Hearing.1stInvolve="Y",1,0)</f>
        <v>1</v>
      </c>
      <c r="AD672" s="19"/>
      <c r="AE672" s="19"/>
      <c r="AF672" s="19"/>
      <c r="AG672" s="25">
        <f>IF(AC673=0,,S.5Comment.BEGIN)</f>
        <v>0</v>
      </c>
      <c r="AH672" s="25">
        <f>S.Hearing.1stDate</f>
        <v>42201</v>
      </c>
      <c r="AI672" s="24"/>
      <c r="AJ672" s="24"/>
      <c r="AK672" s="34"/>
      <c r="AL672" s="364"/>
      <c r="AM672" s="34"/>
    </row>
    <row r="673" spans="1:39" s="6" customFormat="1" ht="14.1" hidden="1" customHeight="1" outlineLevel="1" collapsed="1" thickBot="1" x14ac:dyDescent="0.25">
      <c r="A673" s="85"/>
      <c r="B673" s="266" t="s">
        <v>74</v>
      </c>
      <c r="C673" s="356" t="s">
        <v>0</v>
      </c>
      <c r="I673" s="532"/>
      <c r="J673"/>
      <c r="K673"/>
      <c r="L673"/>
      <c r="M673"/>
      <c r="N673"/>
      <c r="O673"/>
      <c r="P673"/>
      <c r="Q673"/>
      <c r="R673"/>
      <c r="S673"/>
      <c r="T673"/>
      <c r="U673"/>
      <c r="X673"/>
      <c r="Y673" s="960"/>
      <c r="AB673" s="947"/>
      <c r="AC673" s="232">
        <f>IF(S.Notice.Involved="Y",1,0)</f>
        <v>1</v>
      </c>
      <c r="AD673" s="19"/>
      <c r="AE673" s="19"/>
      <c r="AF673" s="19"/>
      <c r="AG673" s="24"/>
      <c r="AH673" s="24"/>
      <c r="AI673" s="24"/>
      <c r="AJ673" s="26"/>
      <c r="AK673" s="34"/>
      <c r="AL673" s="364"/>
      <c r="AM673" s="34"/>
    </row>
    <row r="674" spans="1:39" s="6" customFormat="1" ht="14.1" hidden="1" customHeight="1" outlineLevel="1" thickBot="1" x14ac:dyDescent="0.25">
      <c r="A674" s="85"/>
      <c r="B674" s="266" t="s">
        <v>76</v>
      </c>
      <c r="C674" s="259" t="s">
        <v>24</v>
      </c>
      <c r="D674" s="165"/>
      <c r="E674" s="536"/>
      <c r="G674" s="767"/>
      <c r="H674" s="767"/>
      <c r="I674" s="532"/>
      <c r="J674"/>
      <c r="K674"/>
      <c r="L674"/>
      <c r="M674"/>
      <c r="N674"/>
      <c r="O674"/>
      <c r="P674"/>
      <c r="Q674"/>
      <c r="R674"/>
      <c r="S674"/>
      <c r="T674"/>
      <c r="U674"/>
      <c r="X674"/>
      <c r="Y674" s="960"/>
      <c r="AB674" s="947"/>
      <c r="AC674" s="232">
        <f>IF(S.Notice.Involved="Y",1,0)</f>
        <v>1</v>
      </c>
      <c r="AD674" s="19"/>
      <c r="AE674" s="19"/>
      <c r="AF674" s="19"/>
      <c r="AG674" s="25">
        <f>IF(AC674=0,,S.5Comment.BEGIN)</f>
        <v>0</v>
      </c>
      <c r="AH674" s="25">
        <f>S.Hearing.1stDate</f>
        <v>42201</v>
      </c>
      <c r="AI674" s="24"/>
      <c r="AJ674" s="26"/>
      <c r="AK674" s="34"/>
      <c r="AL674" s="364"/>
      <c r="AM674" s="34"/>
    </row>
    <row r="675" spans="1:39" s="6" customFormat="1" ht="14.1" hidden="1" customHeight="1" outlineLevel="1" x14ac:dyDescent="0.2">
      <c r="A675" s="85"/>
      <c r="B675" s="266" t="str">
        <f>AB675</f>
        <v>* holds the following hearings (identified under Planning section) with assigned team:</v>
      </c>
      <c r="C675" s="356" t="s">
        <v>0</v>
      </c>
      <c r="D675" s="499"/>
      <c r="E675" s="499"/>
      <c r="G675"/>
      <c r="H675"/>
      <c r="I675" s="532"/>
      <c r="J675"/>
      <c r="K675"/>
      <c r="L675"/>
      <c r="M675"/>
      <c r="N675"/>
      <c r="O675"/>
      <c r="P675"/>
      <c r="Q675"/>
      <c r="R675"/>
      <c r="S675"/>
      <c r="T675"/>
      <c r="U675"/>
      <c r="X675"/>
      <c r="Y675" s="960"/>
      <c r="AB675" s="952" t="str">
        <f>IF(S.Hearing.1stInvolve="Y","* holds the following hearings (identified under Planning section) with assigned team:","No hearings planned (change under Oveview of Key Dates")</f>
        <v>* holds the following hearings (identified under Planning section) with assigned team:</v>
      </c>
      <c r="AC675" s="232">
        <f>IF(S.Notice.Involved="Y",1,0)</f>
        <v>1</v>
      </c>
      <c r="AD675" s="19"/>
      <c r="AE675" s="19"/>
      <c r="AF675" s="19"/>
      <c r="AG675" s="24"/>
      <c r="AH675" s="24"/>
      <c r="AI675" s="24"/>
      <c r="AJ675" s="26"/>
      <c r="AK675" s="34"/>
      <c r="AL675" s="364"/>
      <c r="AM675" s="34"/>
    </row>
    <row r="676" spans="1:39" ht="14.1" hidden="1" customHeight="1" outlineLevel="1" x14ac:dyDescent="0.2">
      <c r="A676" s="85"/>
      <c r="B676" s="913" t="str">
        <f>AB676</f>
        <v>1. Portland hearing</v>
      </c>
      <c r="C676" s="356" t="s">
        <v>0</v>
      </c>
      <c r="D676" s="499"/>
      <c r="E676" s="499"/>
      <c r="F676"/>
      <c r="G676"/>
      <c r="H676" s="191">
        <f>AH676</f>
        <v>42201</v>
      </c>
      <c r="I676" s="532"/>
      <c r="AB676" s="936" t="str">
        <f>"1. "&amp;S.Hearing.1stCity&amp;" hearing"</f>
        <v>1. Portland hearing</v>
      </c>
      <c r="AC676" s="232">
        <f>IF(AND(S.Notice.Involved="Y",S.Hearing.1stInvolve="Y",S.Hearing.2ndInvolve),1,0)</f>
        <v>1</v>
      </c>
      <c r="AD676" s="19"/>
      <c r="AE676" s="19"/>
      <c r="AF676" s="19"/>
      <c r="AG676" s="24"/>
      <c r="AH676" s="25">
        <f>S.Hearing.1stDate</f>
        <v>42201</v>
      </c>
      <c r="AI676" s="24"/>
      <c r="AJ676" s="24"/>
      <c r="AK676" s="34"/>
      <c r="AL676" s="364"/>
      <c r="AM676" s="34"/>
    </row>
    <row r="677" spans="1:39" s="6" customFormat="1" ht="14.1" hidden="1" customHeight="1" outlineLevel="1" x14ac:dyDescent="0.2">
      <c r="A677" s="85"/>
      <c r="B677" s="776" t="s">
        <v>102</v>
      </c>
      <c r="C677" s="151"/>
      <c r="D677" s="160"/>
      <c r="E677" s="160"/>
      <c r="F677" s="145"/>
      <c r="G677"/>
      <c r="H677" s="142"/>
      <c r="I677" s="532"/>
      <c r="J677"/>
      <c r="K677"/>
      <c r="L677"/>
      <c r="M677"/>
      <c r="N677"/>
      <c r="O677"/>
      <c r="P677"/>
      <c r="Q677"/>
      <c r="R677"/>
      <c r="S677"/>
      <c r="T677"/>
      <c r="U677"/>
      <c r="X677"/>
      <c r="Y677" s="960"/>
      <c r="AB677" s="926" t="s">
        <v>0</v>
      </c>
      <c r="AC677" s="232">
        <f>IF(AND(S.Notice.Involved="Y",S.Hearing.1stInvolve="Y",S.Hearing.2ndInvolve),1,0)</f>
        <v>1</v>
      </c>
      <c r="AD677" s="19"/>
      <c r="AE677" s="19"/>
      <c r="AF677" s="19"/>
      <c r="AG677" s="24"/>
      <c r="AH677" s="23"/>
      <c r="AI677" s="23"/>
      <c r="AJ677" s="16"/>
      <c r="AK677" s="34"/>
      <c r="AL677" s="364"/>
      <c r="AM677" s="34"/>
    </row>
    <row r="678" spans="1:39" ht="14.1" hidden="1" customHeight="1" outlineLevel="2" x14ac:dyDescent="0.2">
      <c r="A678" s="85"/>
      <c r="B678" s="913" t="str">
        <f>AB678</f>
        <v>2. Enter city name hearing</v>
      </c>
      <c r="C678" s="356" t="s">
        <v>0</v>
      </c>
      <c r="D678" s="499"/>
      <c r="E678" s="499"/>
      <c r="F678"/>
      <c r="G678"/>
      <c r="H678" s="191">
        <f t="shared" ref="H678:H690" si="97">AH678</f>
        <v>0</v>
      </c>
      <c r="I678" s="532"/>
      <c r="AB678" s="936" t="str">
        <f>"2. "&amp;S.Hearing.2ndCity&amp;" hearing"</f>
        <v>2. Enter city name hearing</v>
      </c>
      <c r="AC678" s="232">
        <f>IF(AND(S.Notice.Involved="Y",S.Hearing.1stInvolve="Y",S.Hearing.2ndInvolve="Y"),1,0)</f>
        <v>0</v>
      </c>
      <c r="AD678" s="19"/>
      <c r="AE678" s="19"/>
      <c r="AF678" s="19"/>
      <c r="AG678" s="24"/>
      <c r="AH678" s="25">
        <f>IF(S.Hearing.2ndInvolve="N",,S.Hearing.2ndDate)</f>
        <v>0</v>
      </c>
      <c r="AI678" s="24"/>
      <c r="AJ678" s="24"/>
      <c r="AK678" s="34"/>
      <c r="AL678" s="364"/>
      <c r="AM678" s="34"/>
    </row>
    <row r="679" spans="1:39" s="6" customFormat="1" ht="14.1" hidden="1" customHeight="1" outlineLevel="2" x14ac:dyDescent="0.2">
      <c r="A679" s="85"/>
      <c r="B679" s="776" t="s">
        <v>103</v>
      </c>
      <c r="C679" s="151"/>
      <c r="D679" s="499"/>
      <c r="E679" s="499"/>
      <c r="F679"/>
      <c r="G679"/>
      <c r="H679" s="142"/>
      <c r="I679" s="532"/>
      <c r="J679"/>
      <c r="K679"/>
      <c r="L679"/>
      <c r="M679"/>
      <c r="N679"/>
      <c r="O679"/>
      <c r="P679"/>
      <c r="Q679"/>
      <c r="R679"/>
      <c r="S679"/>
      <c r="T679"/>
      <c r="U679"/>
      <c r="X679"/>
      <c r="Y679" s="960"/>
      <c r="AB679" s="926" t="s">
        <v>0</v>
      </c>
      <c r="AC679" s="232">
        <f>IF(AND(S.Notice.Involved="Y",S.Hearing.1stInvolve="Y",S.Hearing.2ndInvolve="Y"),1,0)</f>
        <v>0</v>
      </c>
      <c r="AD679" s="19"/>
      <c r="AE679" s="19"/>
      <c r="AF679" s="19"/>
      <c r="AG679" s="24"/>
      <c r="AH679" s="23"/>
      <c r="AI679" s="23"/>
      <c r="AJ679" s="16"/>
      <c r="AK679" s="34"/>
      <c r="AL679" s="364"/>
      <c r="AM679" s="34"/>
    </row>
    <row r="680" spans="1:39" ht="14.1" hidden="1" customHeight="1" outlineLevel="2" x14ac:dyDescent="0.2">
      <c r="A680" s="85"/>
      <c r="B680" s="913" t="str">
        <f>AB680</f>
        <v>3. Enter city name hearing</v>
      </c>
      <c r="C680" s="356" t="s">
        <v>0</v>
      </c>
      <c r="D680" s="499"/>
      <c r="E680" s="499"/>
      <c r="F680"/>
      <c r="G680"/>
      <c r="H680" s="191">
        <f t="shared" si="97"/>
        <v>0</v>
      </c>
      <c r="I680" s="532"/>
      <c r="AB680" s="936" t="str">
        <f>"3. "&amp; S.Hearing.3rdCity&amp;" hearing"</f>
        <v>3. Enter city name hearing</v>
      </c>
      <c r="AC680" s="232">
        <f>IF(AND(S.Notice.Involved="Y",S.Hearing.1stInvolve="Y",S.Hearing.3rdInvolve="Y"),1,0)</f>
        <v>0</v>
      </c>
      <c r="AD680" s="19"/>
      <c r="AE680" s="19"/>
      <c r="AF680" s="19"/>
      <c r="AG680" s="24"/>
      <c r="AH680" s="25">
        <f>IF(S.Hearing.2ndInvolve="N",,S.Hearing.3rdDate)</f>
        <v>0</v>
      </c>
      <c r="AI680" s="24"/>
      <c r="AJ680" s="24"/>
      <c r="AK680" s="34"/>
      <c r="AL680" s="364"/>
      <c r="AM680" s="34"/>
    </row>
    <row r="681" spans="1:39" s="6" customFormat="1" ht="14.1" hidden="1" customHeight="1" outlineLevel="2" x14ac:dyDescent="0.2">
      <c r="A681" s="85"/>
      <c r="B681" s="776" t="s">
        <v>104</v>
      </c>
      <c r="C681" s="151"/>
      <c r="D681" s="499"/>
      <c r="E681" s="499"/>
      <c r="F681"/>
      <c r="G681"/>
      <c r="H681" s="142"/>
      <c r="I681" s="532"/>
      <c r="J681"/>
      <c r="K681"/>
      <c r="L681"/>
      <c r="M681"/>
      <c r="N681"/>
      <c r="O681"/>
      <c r="P681"/>
      <c r="Q681"/>
      <c r="R681"/>
      <c r="S681"/>
      <c r="T681"/>
      <c r="U681"/>
      <c r="X681"/>
      <c r="Y681" s="960"/>
      <c r="AB681" s="926" t="s">
        <v>0</v>
      </c>
      <c r="AC681" s="232">
        <f>IF(AND(S.Notice.Involved="Y",S.Hearing.1stInvolve="Y",S.Hearing.3rdInvolve="Y"),1,0)</f>
        <v>0</v>
      </c>
      <c r="AD681" s="19"/>
      <c r="AE681" s="19"/>
      <c r="AF681" s="19"/>
      <c r="AG681" s="24"/>
      <c r="AH681" s="23"/>
      <c r="AI681" s="23"/>
      <c r="AJ681" s="16"/>
      <c r="AK681" s="34"/>
      <c r="AL681" s="364"/>
      <c r="AM681" s="34"/>
    </row>
    <row r="682" spans="1:39" ht="14.1" hidden="1" customHeight="1" outlineLevel="2" x14ac:dyDescent="0.2">
      <c r="A682" s="85"/>
      <c r="B682" s="913" t="str">
        <f>AB682</f>
        <v>4. Enter city name hearing</v>
      </c>
      <c r="C682" s="356" t="s">
        <v>0</v>
      </c>
      <c r="D682" s="499"/>
      <c r="E682" s="499"/>
      <c r="F682"/>
      <c r="G682"/>
      <c r="H682" s="191">
        <f t="shared" si="97"/>
        <v>0</v>
      </c>
      <c r="I682" s="532"/>
      <c r="AB682" s="936" t="str">
        <f>"4. "&amp;S.Hearing.4thCity&amp;" hearing"</f>
        <v>4. Enter city name hearing</v>
      </c>
      <c r="AC682" s="232">
        <f>IF(AND(S.Notice.Involved="Y",S.Hearing.1stInvolve="Y",S.Hearing.4thInvolve="Y"),1,0)</f>
        <v>0</v>
      </c>
      <c r="AD682" s="19"/>
      <c r="AE682" s="19"/>
      <c r="AF682" s="19"/>
      <c r="AG682" s="24"/>
      <c r="AH682" s="25">
        <f>IF(S.Hearing.2ndInvolve="N",,S.Hearing.4thDate)</f>
        <v>0</v>
      </c>
      <c r="AI682" s="24"/>
      <c r="AJ682" s="24"/>
      <c r="AK682" s="34"/>
      <c r="AL682" s="364"/>
      <c r="AM682" s="34"/>
    </row>
    <row r="683" spans="1:39" s="6" customFormat="1" ht="14.1" hidden="1" customHeight="1" outlineLevel="2" x14ac:dyDescent="0.2">
      <c r="A683" s="85"/>
      <c r="B683" s="776" t="s">
        <v>105</v>
      </c>
      <c r="C683" s="151"/>
      <c r="D683" s="499"/>
      <c r="E683" s="499"/>
      <c r="F683"/>
      <c r="G683"/>
      <c r="H683" s="142"/>
      <c r="I683" s="532"/>
      <c r="J683"/>
      <c r="K683"/>
      <c r="L683"/>
      <c r="M683"/>
      <c r="N683"/>
      <c r="O683"/>
      <c r="P683"/>
      <c r="Q683"/>
      <c r="R683"/>
      <c r="S683"/>
      <c r="T683"/>
      <c r="U683"/>
      <c r="X683"/>
      <c r="Y683" s="960"/>
      <c r="AB683" s="926" t="s">
        <v>0</v>
      </c>
      <c r="AC683" s="232">
        <f>IF(AND(S.Notice.Involved="Y",S.Hearing.1stInvolve="Y",S.Hearing.4thInvolve="Y"),1,0)</f>
        <v>0</v>
      </c>
      <c r="AD683" s="19"/>
      <c r="AE683" s="19"/>
      <c r="AF683" s="19"/>
      <c r="AG683" s="24"/>
      <c r="AH683" s="23"/>
      <c r="AI683" s="23"/>
      <c r="AJ683" s="16"/>
      <c r="AK683" s="34"/>
      <c r="AL683" s="364"/>
      <c r="AM683" s="34"/>
    </row>
    <row r="684" spans="1:39" ht="14.1" hidden="1" customHeight="1" outlineLevel="2" x14ac:dyDescent="0.2">
      <c r="A684" s="85"/>
      <c r="B684" s="913" t="str">
        <f>AB684</f>
        <v>5. Enter city name hearing</v>
      </c>
      <c r="C684" s="356" t="s">
        <v>0</v>
      </c>
      <c r="D684" s="499"/>
      <c r="E684" s="499"/>
      <c r="F684"/>
      <c r="G684"/>
      <c r="H684" s="191">
        <f t="shared" si="97"/>
        <v>0</v>
      </c>
      <c r="I684" s="532"/>
      <c r="AB684" s="936" t="str">
        <f>"5. "&amp;S.Hearing.5thCity&amp;" hearing"</f>
        <v>5. Enter city name hearing</v>
      </c>
      <c r="AC684" s="232">
        <f>IF(AND(S.Notice.Involved="Y",S.Hearing.1stInvolve="Y",S.Hearing.5thInvolve="Y"),1,0)</f>
        <v>0</v>
      </c>
      <c r="AD684" s="19"/>
      <c r="AE684" s="19"/>
      <c r="AF684" s="19"/>
      <c r="AG684" s="24"/>
      <c r="AH684" s="25">
        <f>IF(S.Hearing.2ndInvolve="N",,S.Hearing.5thDate)</f>
        <v>0</v>
      </c>
      <c r="AI684" s="24"/>
      <c r="AJ684" s="24"/>
      <c r="AK684" s="34"/>
      <c r="AL684" s="364"/>
      <c r="AM684" s="34"/>
    </row>
    <row r="685" spans="1:39" s="6" customFormat="1" ht="14.1" hidden="1" customHeight="1" outlineLevel="2" x14ac:dyDescent="0.2">
      <c r="A685" s="85"/>
      <c r="B685" s="776" t="s">
        <v>106</v>
      </c>
      <c r="C685" s="151"/>
      <c r="D685" s="499"/>
      <c r="E685" s="499"/>
      <c r="F685"/>
      <c r="G685"/>
      <c r="H685" s="142"/>
      <c r="I685" s="532"/>
      <c r="J685"/>
      <c r="K685"/>
      <c r="L685"/>
      <c r="M685"/>
      <c r="N685"/>
      <c r="O685"/>
      <c r="P685"/>
      <c r="Q685"/>
      <c r="R685"/>
      <c r="S685"/>
      <c r="T685"/>
      <c r="U685"/>
      <c r="X685"/>
      <c r="Y685" s="960"/>
      <c r="AB685" s="926" t="s">
        <v>0</v>
      </c>
      <c r="AC685" s="232">
        <f>IF(AND(S.Notice.Involved="Y",S.Hearing.1stInvolve="Y",S.Hearing.5thInvolve="Y"),1,0)</f>
        <v>0</v>
      </c>
      <c r="AD685" s="19"/>
      <c r="AE685" s="19"/>
      <c r="AF685" s="19"/>
      <c r="AG685" s="24"/>
      <c r="AH685" s="23"/>
      <c r="AI685" s="23"/>
      <c r="AJ685" s="16"/>
      <c r="AK685" s="34"/>
      <c r="AL685" s="364"/>
      <c r="AM685" s="34"/>
    </row>
    <row r="686" spans="1:39" ht="14.1" hidden="1" customHeight="1" outlineLevel="2" x14ac:dyDescent="0.2">
      <c r="A686" s="85"/>
      <c r="B686" s="913" t="str">
        <f>AB686</f>
        <v>6. Enter city name hearing</v>
      </c>
      <c r="C686" s="356" t="s">
        <v>0</v>
      </c>
      <c r="D686" s="499"/>
      <c r="E686" s="499"/>
      <c r="F686"/>
      <c r="G686"/>
      <c r="H686" s="191">
        <f t="shared" si="97"/>
        <v>0</v>
      </c>
      <c r="I686" s="532"/>
      <c r="AB686" s="936" t="str">
        <f>"6. "&amp;S.Hearing.6thCity&amp;" hearing"</f>
        <v>6. Enter city name hearing</v>
      </c>
      <c r="AC686" s="232">
        <f>IF(AND(S.Notice.Involved="Y",S.Hearing.1stInvolve="Y",S.Hearing.6thInvolve="Y"),1,0)</f>
        <v>0</v>
      </c>
      <c r="AD686" s="19"/>
      <c r="AE686" s="19"/>
      <c r="AF686" s="19"/>
      <c r="AG686" s="24"/>
      <c r="AH686" s="25">
        <f>IF(S.Hearing.2ndInvolve="N",,S.Hearing.6thDate)</f>
        <v>0</v>
      </c>
      <c r="AI686" s="24"/>
      <c r="AJ686" s="24"/>
      <c r="AK686" s="34"/>
      <c r="AL686" s="364"/>
      <c r="AM686" s="34"/>
    </row>
    <row r="687" spans="1:39" s="6" customFormat="1" ht="14.1" hidden="1" customHeight="1" outlineLevel="2" x14ac:dyDescent="0.2">
      <c r="A687" s="85"/>
      <c r="B687" s="776" t="s">
        <v>107</v>
      </c>
      <c r="C687" s="151"/>
      <c r="D687" s="499"/>
      <c r="E687" s="499"/>
      <c r="F687"/>
      <c r="G687"/>
      <c r="H687" s="142"/>
      <c r="I687" s="532"/>
      <c r="J687"/>
      <c r="K687"/>
      <c r="L687"/>
      <c r="M687"/>
      <c r="N687"/>
      <c r="O687"/>
      <c r="P687"/>
      <c r="Q687"/>
      <c r="R687"/>
      <c r="S687"/>
      <c r="T687"/>
      <c r="U687"/>
      <c r="X687"/>
      <c r="Y687" s="960"/>
      <c r="AB687" s="926" t="s">
        <v>0</v>
      </c>
      <c r="AC687" s="232">
        <f>IF(AND(S.Notice.Involved="Y",S.Hearing.1stInvolve="Y",S.Hearing.6thInvolve="Y"),1,0)</f>
        <v>0</v>
      </c>
      <c r="AD687" s="19"/>
      <c r="AE687" s="19"/>
      <c r="AF687" s="19"/>
      <c r="AG687" s="24"/>
      <c r="AH687" s="23"/>
      <c r="AI687" s="23"/>
      <c r="AJ687" s="16"/>
      <c r="AK687" s="34"/>
      <c r="AL687" s="364"/>
      <c r="AM687" s="34"/>
    </row>
    <row r="688" spans="1:39" ht="14.1" hidden="1" customHeight="1" outlineLevel="2" x14ac:dyDescent="0.2">
      <c r="A688" s="85"/>
      <c r="B688" s="913" t="str">
        <f>AB688</f>
        <v>7. Enter city name hearing</v>
      </c>
      <c r="C688" s="356" t="s">
        <v>0</v>
      </c>
      <c r="D688" s="499"/>
      <c r="E688" s="499"/>
      <c r="F688"/>
      <c r="G688"/>
      <c r="H688" s="191">
        <f t="shared" si="97"/>
        <v>0</v>
      </c>
      <c r="I688" s="532"/>
      <c r="AB688" s="936" t="str">
        <f>"7. "&amp;S.Hearing.7thCity&amp;" hearing"</f>
        <v>7. Enter city name hearing</v>
      </c>
      <c r="AC688" s="232">
        <f>IF(AND(S.Notice.Involved="Y",S.Hearing.1stInvolve="Y",S.Hearing.7thInvolve="Y"),1,0)</f>
        <v>0</v>
      </c>
      <c r="AD688" s="19"/>
      <c r="AE688" s="19"/>
      <c r="AF688" s="19"/>
      <c r="AG688" s="24"/>
      <c r="AH688" s="25">
        <f>IF(S.Hearing.2ndInvolve="N",,S.Hearing.7thDate)</f>
        <v>0</v>
      </c>
      <c r="AI688" s="24"/>
      <c r="AJ688" s="24"/>
      <c r="AK688" s="34"/>
      <c r="AL688" s="364"/>
      <c r="AM688" s="34"/>
    </row>
    <row r="689" spans="1:39" s="6" customFormat="1" ht="14.1" hidden="1" customHeight="1" outlineLevel="2" x14ac:dyDescent="0.2">
      <c r="A689" s="85"/>
      <c r="B689" s="776" t="s">
        <v>108</v>
      </c>
      <c r="C689" s="151"/>
      <c r="D689" s="499"/>
      <c r="E689" s="499"/>
      <c r="F689"/>
      <c r="G689"/>
      <c r="H689" s="142"/>
      <c r="I689" s="532"/>
      <c r="J689"/>
      <c r="K689"/>
      <c r="L689"/>
      <c r="M689"/>
      <c r="N689"/>
      <c r="O689"/>
      <c r="P689"/>
      <c r="Q689"/>
      <c r="R689"/>
      <c r="S689"/>
      <c r="T689"/>
      <c r="U689"/>
      <c r="X689"/>
      <c r="Y689" s="960"/>
      <c r="AB689" s="926" t="s">
        <v>0</v>
      </c>
      <c r="AC689" s="232">
        <f>IF(AND(S.Notice.Involved="Y",S.Hearing.1stInvolve="Y",S.Hearing.7thInvolve="Y"),1,0)</f>
        <v>0</v>
      </c>
      <c r="AD689" s="19"/>
      <c r="AE689" s="19"/>
      <c r="AF689" s="19"/>
      <c r="AG689" s="24"/>
      <c r="AH689" s="23"/>
      <c r="AI689" s="23"/>
      <c r="AJ689" s="16"/>
      <c r="AK689" s="34"/>
      <c r="AL689" s="364"/>
      <c r="AM689" s="34"/>
    </row>
    <row r="690" spans="1:39" ht="14.1" hidden="1" customHeight="1" outlineLevel="2" x14ac:dyDescent="0.2">
      <c r="A690" s="85"/>
      <c r="B690" s="913" t="str">
        <f>AB690</f>
        <v>8. Enter city name hearing</v>
      </c>
      <c r="C690" s="356" t="s">
        <v>0</v>
      </c>
      <c r="D690" s="499"/>
      <c r="E690" s="499"/>
      <c r="F690"/>
      <c r="G690"/>
      <c r="H690" s="191">
        <f t="shared" si="97"/>
        <v>0</v>
      </c>
      <c r="I690" s="532"/>
      <c r="AB690" s="936" t="str">
        <f>"8. "&amp;S.Hearing.8thCity&amp;" hearing"</f>
        <v>8. Enter city name hearing</v>
      </c>
      <c r="AC690" s="232">
        <f>IF(AND(S.Notice.Involved="Y",S.Hearing.1stInvolve="Y",S.Hearing.8thtInvolve="Y"),1,0)</f>
        <v>0</v>
      </c>
      <c r="AD690" s="19"/>
      <c r="AE690" s="19"/>
      <c r="AF690" s="19"/>
      <c r="AG690" s="24"/>
      <c r="AH690" s="25">
        <f>IF(S.Hearing.8thtInvolve="N",,S.Notice.LastHearingDate)</f>
        <v>0</v>
      </c>
      <c r="AI690" s="32"/>
      <c r="AJ690" s="16"/>
      <c r="AK690" s="34"/>
      <c r="AL690" s="364"/>
      <c r="AM690" s="34"/>
    </row>
    <row r="691" spans="1:39" s="6" customFormat="1" ht="14.1" hidden="1" customHeight="1" outlineLevel="2" x14ac:dyDescent="0.2">
      <c r="A691" s="85"/>
      <c r="B691" s="776" t="s">
        <v>109</v>
      </c>
      <c r="C691" s="151"/>
      <c r="D691" s="160"/>
      <c r="E691" s="160"/>
      <c r="F691" s="145"/>
      <c r="G691" s="142"/>
      <c r="H691" s="142"/>
      <c r="I691" s="532"/>
      <c r="J691"/>
      <c r="K691"/>
      <c r="L691"/>
      <c r="M691"/>
      <c r="N691"/>
      <c r="O691"/>
      <c r="P691"/>
      <c r="Q691"/>
      <c r="R691"/>
      <c r="S691"/>
      <c r="T691"/>
      <c r="U691"/>
      <c r="X691"/>
      <c r="Y691" s="960"/>
      <c r="AB691" s="926" t="s">
        <v>0</v>
      </c>
      <c r="AC691" s="232">
        <f>IF(AND(S.Notice.Involved="Y",S.Hearing.1stInvolve="Y",S.Hearing.8thtInvolve="Y"),1,0)</f>
        <v>0</v>
      </c>
      <c r="AD691" s="19"/>
      <c r="AE691" s="19"/>
      <c r="AF691" s="19"/>
      <c r="AG691" s="23"/>
      <c r="AH691" s="23"/>
      <c r="AI691" s="23"/>
      <c r="AJ691" s="16"/>
      <c r="AK691" s="34"/>
      <c r="AL691" s="364"/>
      <c r="AM691" s="34"/>
    </row>
    <row r="692" spans="1:39" s="6" customFormat="1" ht="14.1" hidden="1" customHeight="1" outlineLevel="1" x14ac:dyDescent="0.2">
      <c r="A692" s="85"/>
      <c r="B692" s="128" t="str">
        <f>AB692</f>
        <v>Technical Lead, for comments received by mail or at hearings</v>
      </c>
      <c r="C692" s="188"/>
      <c r="D692" s="165"/>
      <c r="E692" s="165"/>
      <c r="F692" s="145"/>
      <c r="G692" s="181">
        <f t="shared" ref="G692" si="98">AG692</f>
        <v>42201</v>
      </c>
      <c r="H692" s="181">
        <f t="shared" ref="H692" si="99">AH692</f>
        <v>0</v>
      </c>
      <c r="I692" s="532"/>
      <c r="J692"/>
      <c r="K692"/>
      <c r="L692"/>
      <c r="M692"/>
      <c r="N692"/>
      <c r="O692"/>
      <c r="P692"/>
      <c r="Q692"/>
      <c r="R692"/>
      <c r="S692"/>
      <c r="T692"/>
      <c r="U692"/>
      <c r="X692"/>
      <c r="Y692" s="960"/>
      <c r="AB692" s="936" t="str">
        <f>S.Staff.Support&amp;", for comments received by mail or at hearings"</f>
        <v>Technical Lead, for comments received by mail or at hearings</v>
      </c>
      <c r="AC692" s="232">
        <f>IF(S.Notice.Involved="Y",1,0)</f>
        <v>1</v>
      </c>
      <c r="AD692" s="19"/>
      <c r="AE692" s="19"/>
      <c r="AF692" s="19"/>
      <c r="AG692" s="25">
        <f>IF(AC692=0,,S.Notice.LastHearingDate)</f>
        <v>42201</v>
      </c>
      <c r="AH692" s="25">
        <f>S.5Comment.END</f>
        <v>0</v>
      </c>
      <c r="AI692" s="24"/>
      <c r="AJ692" s="24"/>
      <c r="AK692" s="34"/>
      <c r="AL692" s="364"/>
      <c r="AM692" s="34"/>
    </row>
    <row r="693" spans="1:39" s="6" customFormat="1" ht="14.1" hidden="1" customHeight="1" outlineLevel="1" x14ac:dyDescent="0.2">
      <c r="A693" s="85"/>
      <c r="B693" s="265" t="s">
        <v>561</v>
      </c>
      <c r="C693" s="356" t="s">
        <v>0</v>
      </c>
      <c r="D693" s="165"/>
      <c r="E693" s="536"/>
      <c r="F693"/>
      <c r="G693"/>
      <c r="H693"/>
      <c r="I693" s="532"/>
      <c r="J693"/>
      <c r="K693"/>
      <c r="L693"/>
      <c r="M693"/>
      <c r="N693"/>
      <c r="O693"/>
      <c r="P693"/>
      <c r="Q693"/>
      <c r="R693"/>
      <c r="S693"/>
      <c r="T693"/>
      <c r="U693"/>
      <c r="X693"/>
      <c r="Y693" s="960"/>
      <c r="AB693" s="955"/>
      <c r="AC693" s="232">
        <f>IF(AND(S.Notice.Involved="Y",S.Hearing.1stInvolve="Y"),1,0)</f>
        <v>1</v>
      </c>
      <c r="AD693" s="19"/>
      <c r="AE693" s="19"/>
      <c r="AF693" s="19"/>
      <c r="AG693" s="24"/>
      <c r="AH693" s="24"/>
      <c r="AI693" s="24"/>
      <c r="AJ693" s="26"/>
      <c r="AK693" s="34"/>
      <c r="AL693" s="364"/>
      <c r="AM693" s="34"/>
    </row>
    <row r="694" spans="1:39" s="6" customFormat="1" ht="14.1" hidden="1" customHeight="1" outlineLevel="1" x14ac:dyDescent="0.2">
      <c r="A694" s="85"/>
      <c r="B694" s="152" t="s">
        <v>49</v>
      </c>
      <c r="C694" s="356" t="s">
        <v>0</v>
      </c>
      <c r="D694" s="165"/>
      <c r="E694" s="536"/>
      <c r="F694"/>
      <c r="G694"/>
      <c r="H694"/>
      <c r="I694" s="532"/>
      <c r="J694"/>
      <c r="K694"/>
      <c r="L694"/>
      <c r="M694"/>
      <c r="N694"/>
      <c r="O694"/>
      <c r="P694"/>
      <c r="Q694"/>
      <c r="R694"/>
      <c r="S694"/>
      <c r="T694"/>
      <c r="U694"/>
      <c r="X694"/>
      <c r="Y694" s="960"/>
      <c r="AB694" s="955"/>
      <c r="AC694" s="232">
        <f>IF(AND(S.Notice.Involved="Y",S.Hearing.1stInvolve="Y"),1,0)</f>
        <v>1</v>
      </c>
      <c r="AD694" s="19"/>
      <c r="AE694" s="19"/>
      <c r="AF694" s="19"/>
      <c r="AG694" s="24"/>
      <c r="AH694" s="24"/>
      <c r="AI694" s="24"/>
      <c r="AJ694" s="26"/>
      <c r="AK694" s="34"/>
      <c r="AL694" s="364"/>
      <c r="AM694" s="34"/>
    </row>
    <row r="695" spans="1:39" s="767" customFormat="1" ht="14.1" hidden="1" customHeight="1" outlineLevel="1" x14ac:dyDescent="0.2">
      <c r="A695" s="85"/>
      <c r="B695" s="266" t="s">
        <v>559</v>
      </c>
      <c r="C695" s="356" t="s">
        <v>0</v>
      </c>
      <c r="D695" s="165"/>
      <c r="E695" s="536"/>
      <c r="I695" s="532"/>
      <c r="Y695" s="960"/>
      <c r="AB695" s="955"/>
      <c r="AC695" s="232">
        <f>IF(S.Notice.Involved="Y",1,0)</f>
        <v>1</v>
      </c>
      <c r="AD695" s="19"/>
      <c r="AE695" s="19"/>
      <c r="AF695" s="19"/>
      <c r="AG695" s="24"/>
      <c r="AH695" s="24"/>
      <c r="AI695" s="24"/>
      <c r="AJ695" s="26"/>
      <c r="AK695" s="34"/>
      <c r="AL695" s="364"/>
      <c r="AM695" s="34"/>
    </row>
    <row r="696" spans="1:39" ht="14.1" hidden="1" customHeight="1" outlineLevel="1" x14ac:dyDescent="0.2">
      <c r="A696" s="85"/>
      <c r="B696" s="630" t="s">
        <v>0</v>
      </c>
      <c r="C696" s="630"/>
      <c r="D696" s="1065" t="s">
        <v>400</v>
      </c>
      <c r="E696" s="1065"/>
      <c r="F696" s="1065"/>
      <c r="G696" s="1066"/>
      <c r="H696" s="255">
        <f>AH696</f>
        <v>0</v>
      </c>
      <c r="I696" s="532"/>
      <c r="AB696" s="944"/>
      <c r="AC696" s="232">
        <f>IF(S.Notice.Involved="Y",1,0)</f>
        <v>1</v>
      </c>
      <c r="AD696" s="19"/>
      <c r="AE696" s="19"/>
      <c r="AF696" s="19"/>
      <c r="AG696" s="24"/>
      <c r="AH696" s="25">
        <f>S.5Comment.END</f>
        <v>0</v>
      </c>
      <c r="AI696" s="24"/>
      <c r="AJ696" s="26"/>
      <c r="AK696" s="34"/>
      <c r="AL696" s="364"/>
      <c r="AM696" s="34"/>
    </row>
    <row r="697" spans="1:39" s="6" customFormat="1" ht="14.1" hidden="1" customHeight="1" outlineLevel="1" x14ac:dyDescent="0.2">
      <c r="A697" s="85"/>
      <c r="B697" s="172" t="str">
        <f>AB697</f>
        <v>ProgLead:</v>
      </c>
      <c r="C697" s="142"/>
      <c r="D697" s="165"/>
      <c r="E697"/>
      <c r="F697" s="145"/>
      <c r="G697" s="181">
        <f>AG697</f>
        <v>42201</v>
      </c>
      <c r="H697" s="181">
        <f>AH697</f>
        <v>0</v>
      </c>
      <c r="I697" s="532"/>
      <c r="J697"/>
      <c r="K697"/>
      <c r="L697"/>
      <c r="M697"/>
      <c r="N697"/>
      <c r="O697"/>
      <c r="P697"/>
      <c r="Q697"/>
      <c r="R697"/>
      <c r="S697"/>
      <c r="T697"/>
      <c r="U697"/>
      <c r="X697"/>
      <c r="Y697" s="960"/>
      <c r="AB697" s="936" t="str">
        <f>S.Staff.Subject.Expert.FirstName&amp;":"</f>
        <v>ProgLead:</v>
      </c>
      <c r="AC697" s="232">
        <f>IF(S.Notice.Involved="Y",1,0)</f>
        <v>1</v>
      </c>
      <c r="AD697" s="19"/>
      <c r="AE697" s="19"/>
      <c r="AF697" s="19"/>
      <c r="AG697" s="25">
        <f>IF(AC697=0,,S.Notice.LastHearingDate)</f>
        <v>42201</v>
      </c>
      <c r="AH697" s="25">
        <f>S.5Comment.END</f>
        <v>0</v>
      </c>
      <c r="AI697" s="24"/>
      <c r="AJ697" s="24"/>
      <c r="AK697" s="34"/>
      <c r="AL697" s="364"/>
      <c r="AM697" s="34"/>
    </row>
    <row r="698" spans="1:39" ht="14.1" hidden="1" customHeight="1" outlineLevel="1" x14ac:dyDescent="0.2">
      <c r="A698" s="85"/>
      <c r="B698" s="152" t="s">
        <v>62</v>
      </c>
      <c r="C698" s="356" t="s">
        <v>0</v>
      </c>
      <c r="D698" s="165"/>
      <c r="E698" s="536"/>
      <c r="F698"/>
      <c r="G698"/>
      <c r="H698"/>
      <c r="I698" s="532"/>
      <c r="AB698" s="944"/>
      <c r="AC698" s="232">
        <f>IF(AND(S.Notice.Involved="Y",S.Hearing.1stInvolve="Y"),1,0)</f>
        <v>1</v>
      </c>
      <c r="AD698" s="19"/>
      <c r="AE698" s="19"/>
      <c r="AF698" s="19"/>
      <c r="AG698" s="23"/>
      <c r="AH698" s="23"/>
      <c r="AI698" s="24"/>
      <c r="AJ698" s="26"/>
      <c r="AK698" s="34"/>
      <c r="AL698" s="364"/>
      <c r="AM698" s="34"/>
    </row>
    <row r="699" spans="1:39" s="6" customFormat="1" ht="14.1" hidden="1" customHeight="1" outlineLevel="1" x14ac:dyDescent="0.2">
      <c r="A699" s="85"/>
      <c r="B699" s="152" t="s">
        <v>63</v>
      </c>
      <c r="C699" s="188"/>
      <c r="D699" s="511"/>
      <c r="E699" s="511"/>
      <c r="F699"/>
      <c r="G699"/>
      <c r="H699"/>
      <c r="I699" s="532"/>
      <c r="J699"/>
      <c r="K699"/>
      <c r="L699"/>
      <c r="M699"/>
      <c r="N699"/>
      <c r="O699"/>
      <c r="P699"/>
      <c r="Q699"/>
      <c r="R699"/>
      <c r="S699"/>
      <c r="T699"/>
      <c r="U699"/>
      <c r="X699"/>
      <c r="Y699" s="960"/>
      <c r="AB699" s="944"/>
      <c r="AC699" s="232">
        <f>IF(S.Notice.Involved="Y",1,0)</f>
        <v>1</v>
      </c>
      <c r="AD699" s="19"/>
      <c r="AE699" s="19"/>
      <c r="AF699" s="19"/>
      <c r="AG699" s="23"/>
      <c r="AH699" s="23"/>
      <c r="AI699" s="24"/>
      <c r="AJ699" s="24"/>
      <c r="AK699" s="34"/>
      <c r="AL699" s="364"/>
      <c r="AM699" s="34"/>
    </row>
    <row r="700" spans="1:39" s="6" customFormat="1" ht="14.1" hidden="1" customHeight="1" outlineLevel="1" x14ac:dyDescent="0.2">
      <c r="A700" s="85"/>
      <c r="B700" s="267" t="s">
        <v>59</v>
      </c>
      <c r="C700" s="356" t="s">
        <v>0</v>
      </c>
      <c r="D700" s="165"/>
      <c r="E700" s="536"/>
      <c r="F700"/>
      <c r="G700"/>
      <c r="H700"/>
      <c r="I700" s="532"/>
      <c r="J700"/>
      <c r="K700"/>
      <c r="L700"/>
      <c r="M700"/>
      <c r="N700"/>
      <c r="O700"/>
      <c r="P700"/>
      <c r="Q700"/>
      <c r="R700"/>
      <c r="S700"/>
      <c r="T700"/>
      <c r="U700"/>
      <c r="X700"/>
      <c r="Y700" s="960"/>
      <c r="AB700" s="944"/>
      <c r="AC700" s="232">
        <f>IF(AND(S.Notice.Involved="Y",S.Hearing.1stInvolve="Y"),1,0)</f>
        <v>1</v>
      </c>
      <c r="AD700" s="19"/>
      <c r="AE700" s="19"/>
      <c r="AF700" s="19"/>
      <c r="AG700" s="23"/>
      <c r="AH700" s="23"/>
      <c r="AI700" s="24"/>
      <c r="AJ700" s="26"/>
      <c r="AK700" s="34"/>
      <c r="AL700" s="364"/>
      <c r="AM700" s="34"/>
    </row>
    <row r="701" spans="1:39" s="6" customFormat="1" ht="14.1" hidden="1" customHeight="1" outlineLevel="1" x14ac:dyDescent="0.2">
      <c r="A701" s="85"/>
      <c r="B701" s="268" t="s">
        <v>60</v>
      </c>
      <c r="C701" s="356" t="s">
        <v>0</v>
      </c>
      <c r="D701" s="165"/>
      <c r="E701" s="536"/>
      <c r="F701"/>
      <c r="G701"/>
      <c r="H701"/>
      <c r="I701" s="532"/>
      <c r="J701"/>
      <c r="K701"/>
      <c r="L701"/>
      <c r="M701"/>
      <c r="N701"/>
      <c r="O701"/>
      <c r="P701"/>
      <c r="Q701"/>
      <c r="R701"/>
      <c r="S701"/>
      <c r="T701"/>
      <c r="U701"/>
      <c r="X701"/>
      <c r="Y701" s="960"/>
      <c r="AB701" s="944"/>
      <c r="AC701" s="232">
        <f>IF(AND(S.Notice.Involved="Y",S.Hearing.1stInvolve="Y"),1,0)</f>
        <v>1</v>
      </c>
      <c r="AD701" s="19"/>
      <c r="AE701" s="19"/>
      <c r="AF701" s="19"/>
      <c r="AG701" s="23"/>
      <c r="AH701" s="23"/>
      <c r="AI701" s="24"/>
      <c r="AJ701" s="26"/>
      <c r="AK701" s="34"/>
      <c r="AL701" s="364"/>
      <c r="AM701" s="34"/>
    </row>
    <row r="702" spans="1:39" s="6" customFormat="1" ht="14.1" hidden="1" customHeight="1" outlineLevel="1" x14ac:dyDescent="0.2">
      <c r="A702" s="85"/>
      <c r="B702" s="269" t="s">
        <v>61</v>
      </c>
      <c r="C702" s="356" t="s">
        <v>0</v>
      </c>
      <c r="D702" s="165"/>
      <c r="E702" s="536"/>
      <c r="F702"/>
      <c r="G702"/>
      <c r="H702"/>
      <c r="I702" s="532"/>
      <c r="J702"/>
      <c r="K702"/>
      <c r="L702"/>
      <c r="M702"/>
      <c r="N702"/>
      <c r="O702"/>
      <c r="P702"/>
      <c r="Q702"/>
      <c r="R702"/>
      <c r="S702"/>
      <c r="T702"/>
      <c r="U702"/>
      <c r="X702"/>
      <c r="Y702" s="960"/>
      <c r="AB702" s="944"/>
      <c r="AC702" s="232">
        <f>IF(S.Notice.Involved="Y",1,0)</f>
        <v>1</v>
      </c>
      <c r="AD702" s="19"/>
      <c r="AE702" s="19"/>
      <c r="AF702" s="19"/>
      <c r="AG702" s="23"/>
      <c r="AH702" s="23"/>
      <c r="AI702" s="24"/>
      <c r="AJ702" s="27"/>
      <c r="AK702" s="34"/>
      <c r="AL702" s="364"/>
      <c r="AM702" s="34"/>
    </row>
    <row r="703" spans="1:39" ht="14.1" hidden="1" customHeight="1" outlineLevel="1" x14ac:dyDescent="0.2">
      <c r="A703" s="85"/>
      <c r="B703" s="124" t="s">
        <v>113</v>
      </c>
      <c r="C703" s="356" t="s">
        <v>0</v>
      </c>
      <c r="D703" s="165"/>
      <c r="E703" s="536"/>
      <c r="F703"/>
      <c r="G703"/>
      <c r="H703"/>
      <c r="I703" s="532"/>
      <c r="AB703" s="944"/>
      <c r="AC703" s="232">
        <f>IF(S.Notice.Involved="Y",1,0)</f>
        <v>1</v>
      </c>
      <c r="AD703" s="19"/>
      <c r="AE703" s="19"/>
      <c r="AF703" s="19"/>
      <c r="AG703" s="23"/>
      <c r="AH703" s="23"/>
      <c r="AI703" s="24"/>
      <c r="AJ703" s="16"/>
      <c r="AK703" s="34"/>
      <c r="AL703" s="364"/>
      <c r="AM703" s="34"/>
    </row>
    <row r="704" spans="1:39" s="6" customFormat="1" ht="14.1" hidden="1" customHeight="1" outlineLevel="1" x14ac:dyDescent="0.2">
      <c r="A704" s="85"/>
      <c r="B704" s="631" t="s">
        <v>430</v>
      </c>
      <c r="C704" s="353"/>
      <c r="D704" s="183"/>
      <c r="E704" s="183"/>
      <c r="F704" s="145"/>
      <c r="G704" s="182"/>
      <c r="H704" s="182"/>
      <c r="I704" s="532"/>
      <c r="J704"/>
      <c r="K704"/>
      <c r="L704"/>
      <c r="M704"/>
      <c r="N704"/>
      <c r="O704"/>
      <c r="P704"/>
      <c r="Q704"/>
      <c r="R704"/>
      <c r="S704"/>
      <c r="T704"/>
      <c r="U704"/>
      <c r="X704"/>
      <c r="Y704" s="960"/>
      <c r="AB704" s="944"/>
      <c r="AC704" s="232">
        <f>IF(S.Notice.Involved="Y",1,0)</f>
        <v>1</v>
      </c>
      <c r="AD704" s="19"/>
      <c r="AE704" s="19"/>
      <c r="AF704" s="19"/>
      <c r="AG704" s="23"/>
      <c r="AH704" s="23"/>
      <c r="AI704" s="24"/>
      <c r="AJ704" s="24"/>
      <c r="AK704" s="34"/>
      <c r="AL704" s="364"/>
      <c r="AM704" s="34"/>
    </row>
    <row r="705" spans="1:39" s="6" customFormat="1" ht="14.1" hidden="1" customHeight="1" outlineLevel="1" x14ac:dyDescent="0.2">
      <c r="A705" s="85"/>
      <c r="B705" s="341" t="str">
        <f>AB705</f>
        <v>ProgLead asks RGLead for Rule Publication review</v>
      </c>
      <c r="C705" s="703" t="s">
        <v>24</v>
      </c>
      <c r="D705" s="165"/>
      <c r="E705" s="648"/>
      <c r="F705" s="632" t="s">
        <v>0</v>
      </c>
      <c r="G705" s="633"/>
      <c r="H705" s="181">
        <f t="shared" ref="H705" si="100">AH705</f>
        <v>2</v>
      </c>
      <c r="I705" s="532"/>
      <c r="J705"/>
      <c r="K705"/>
      <c r="L705"/>
      <c r="M705"/>
      <c r="N705"/>
      <c r="O705"/>
      <c r="P705"/>
      <c r="Q705"/>
      <c r="R705"/>
      <c r="S705"/>
      <c r="T705"/>
      <c r="U705"/>
      <c r="X705"/>
      <c r="Y705" s="960"/>
      <c r="AB705" s="936" t="str">
        <f>S.Staff.Subject.Expert.FirstName&amp;" asks "&amp;S.Staff.RG.Lead.FirstName&amp;" for Rule Publication review"</f>
        <v>ProgLead asks RGLead for Rule Publication review</v>
      </c>
      <c r="AC705" s="232">
        <f t="shared" ref="AC705:AC712" si="101">IF(S.Notice.Involved="Y",1,0)</f>
        <v>1</v>
      </c>
      <c r="AD705" s="19"/>
      <c r="AE705" s="19"/>
      <c r="AF705" s="19"/>
      <c r="AG705" s="23"/>
      <c r="AH705" s="25">
        <f>WORKDAY(H697,1,S.DDL_DEQClosed)</f>
        <v>2</v>
      </c>
      <c r="AI705" s="24"/>
      <c r="AJ705" s="24"/>
      <c r="AK705" s="34"/>
      <c r="AL705" s="364"/>
      <c r="AM705" s="34"/>
    </row>
    <row r="706" spans="1:39" s="6" customFormat="1" ht="14.1" hidden="1" customHeight="1" outlineLevel="1" x14ac:dyDescent="0.2">
      <c r="A706" s="85" t="s">
        <v>0</v>
      </c>
      <c r="B706" s="341" t="str">
        <f>AB706</f>
        <v>RGLead coordinates Rule Publication work:</v>
      </c>
      <c r="C706" s="202"/>
      <c r="D706" s="165"/>
      <c r="E706" s="536"/>
      <c r="F706"/>
      <c r="G706" s="316">
        <f t="shared" ref="G706" si="102">AG706</f>
        <v>2</v>
      </c>
      <c r="H706" s="316">
        <f t="shared" ref="H706" si="103">AH706</f>
        <v>2</v>
      </c>
      <c r="I706" s="532"/>
      <c r="J706"/>
      <c r="K706"/>
      <c r="L706"/>
      <c r="M706"/>
      <c r="N706"/>
      <c r="O706"/>
      <c r="P706"/>
      <c r="Q706"/>
      <c r="R706"/>
      <c r="S706"/>
      <c r="T706"/>
      <c r="U706"/>
      <c r="X706"/>
      <c r="Y706" s="960"/>
      <c r="AB706" s="936" t="str">
        <f>S.Staff.RG.Lead.FirstName&amp;" coordinates Rule Publication work:"</f>
        <v>RGLead coordinates Rule Publication work:</v>
      </c>
      <c r="AC706" s="232">
        <f t="shared" si="101"/>
        <v>1</v>
      </c>
      <c r="AD706" s="19"/>
      <c r="AE706" s="19"/>
      <c r="AF706" s="19"/>
      <c r="AG706" s="25">
        <f>IF(AC706=0,,H705)</f>
        <v>2</v>
      </c>
      <c r="AH706" s="25">
        <f>G706</f>
        <v>2</v>
      </c>
      <c r="AI706" s="24"/>
      <c r="AJ706" s="24"/>
      <c r="AK706" s="34"/>
      <c r="AL706" s="364"/>
      <c r="AM706" s="34"/>
    </row>
    <row r="707" spans="1:39" s="6" customFormat="1" ht="14.1" hidden="1" customHeight="1" outlineLevel="1" x14ac:dyDescent="0.2">
      <c r="A707" s="85"/>
      <c r="B707" s="180" t="s">
        <v>680</v>
      </c>
      <c r="C707" s="356" t="s">
        <v>0</v>
      </c>
      <c r="D707" s="499"/>
      <c r="E707" s="499"/>
      <c r="F707"/>
      <c r="I707" s="532"/>
      <c r="J707"/>
      <c r="K707"/>
      <c r="L707"/>
      <c r="M707"/>
      <c r="N707"/>
      <c r="O707"/>
      <c r="P707"/>
      <c r="Q707"/>
      <c r="R707"/>
      <c r="S707"/>
      <c r="T707"/>
      <c r="U707"/>
      <c r="X707"/>
      <c r="Y707" s="960"/>
      <c r="AB707" s="945"/>
      <c r="AC707" s="232">
        <f t="shared" si="101"/>
        <v>1</v>
      </c>
      <c r="AD707" s="19"/>
      <c r="AE707" s="19"/>
      <c r="AF707" s="19"/>
      <c r="AG707" s="24"/>
      <c r="AH707" s="24"/>
      <c r="AI707" s="24"/>
      <c r="AJ707" s="24"/>
      <c r="AK707" s="34"/>
      <c r="AL707" s="364"/>
      <c r="AM707" s="34"/>
    </row>
    <row r="708" spans="1:39" s="6" customFormat="1" ht="14.1" hidden="1" customHeight="1" outlineLevel="1" x14ac:dyDescent="0.2">
      <c r="A708" s="85" t="s">
        <v>0</v>
      </c>
      <c r="B708" s="343" t="str">
        <f>AB708</f>
        <v>* contacts ProgLead with questions, clarifications and suggestions</v>
      </c>
      <c r="C708" s="356" t="s">
        <v>0</v>
      </c>
      <c r="D708" s="499"/>
      <c r="E708" s="499"/>
      <c r="F708"/>
      <c r="I708" s="532"/>
      <c r="J708"/>
      <c r="K708"/>
      <c r="L708"/>
      <c r="M708"/>
      <c r="N708"/>
      <c r="O708"/>
      <c r="P708"/>
      <c r="Q708"/>
      <c r="R708"/>
      <c r="S708"/>
      <c r="T708"/>
      <c r="U708"/>
      <c r="X708"/>
      <c r="Y708" s="960"/>
      <c r="AB708" s="934" t="str">
        <f>"* contacts "&amp;S.Staff.Subject.Expert.FirstName&amp;" with questions, clarifications and suggestions"</f>
        <v>* contacts ProgLead with questions, clarifications and suggestions</v>
      </c>
      <c r="AC708" s="232">
        <f t="shared" si="101"/>
        <v>1</v>
      </c>
      <c r="AD708" s="19"/>
      <c r="AE708" s="19"/>
      <c r="AF708" s="19"/>
      <c r="AG708" s="24"/>
      <c r="AH708" s="24"/>
      <c r="AI708" s="24"/>
      <c r="AJ708" s="24"/>
      <c r="AK708" s="34"/>
      <c r="AL708" s="364"/>
      <c r="AM708" s="34"/>
    </row>
    <row r="709" spans="1:39" s="6" customFormat="1" ht="14.1" hidden="1" customHeight="1" outlineLevel="1" x14ac:dyDescent="0.2">
      <c r="A709" s="85" t="s">
        <v>0</v>
      </c>
      <c r="B709" s="343" t="str">
        <f>AB709</f>
        <v>* notifies ProgLead when complete</v>
      </c>
      <c r="C709" s="356" t="s">
        <v>0</v>
      </c>
      <c r="D709" s="499"/>
      <c r="E709" s="499"/>
      <c r="F709"/>
      <c r="I709" s="532"/>
      <c r="J709"/>
      <c r="K709"/>
      <c r="L709"/>
      <c r="M709"/>
      <c r="N709"/>
      <c r="O709"/>
      <c r="P709"/>
      <c r="Q709"/>
      <c r="R709"/>
      <c r="S709"/>
      <c r="T709"/>
      <c r="U709"/>
      <c r="X709"/>
      <c r="Y709" s="960"/>
      <c r="AB709" s="934" t="str">
        <f>"* notifies "&amp;S.Staff.Subject.Expert.FirstName&amp;" when complete"</f>
        <v>* notifies ProgLead when complete</v>
      </c>
      <c r="AC709" s="232">
        <f t="shared" si="101"/>
        <v>1</v>
      </c>
      <c r="AD709" s="19"/>
      <c r="AE709" s="19"/>
      <c r="AF709" s="19"/>
      <c r="AG709" s="24"/>
      <c r="AH709" s="24"/>
      <c r="AI709" s="24"/>
      <c r="AJ709" s="24"/>
      <c r="AK709" s="34"/>
      <c r="AL709" s="364"/>
      <c r="AM709" s="34"/>
    </row>
    <row r="710" spans="1:39" s="6" customFormat="1" ht="14.1" hidden="1" customHeight="1" outlineLevel="1" x14ac:dyDescent="0.2">
      <c r="A710" s="85"/>
      <c r="B710" s="150" t="str">
        <f>AB710</f>
        <v>ProgLead:</v>
      </c>
      <c r="C710" s="151"/>
      <c r="D710" s="151"/>
      <c r="E710" s="151"/>
      <c r="F710"/>
      <c r="G710" s="142"/>
      <c r="H710" s="142"/>
      <c r="I710" s="532"/>
      <c r="J710"/>
      <c r="K710"/>
      <c r="L710"/>
      <c r="M710"/>
      <c r="N710"/>
      <c r="O710"/>
      <c r="P710"/>
      <c r="Q710"/>
      <c r="R710"/>
      <c r="S710"/>
      <c r="T710"/>
      <c r="U710"/>
      <c r="X710"/>
      <c r="Y710" s="960"/>
      <c r="AB710" s="934" t="str">
        <f>S.Staff.Subject.Expert.FirstName&amp;":"</f>
        <v>ProgLead:</v>
      </c>
      <c r="AC710" s="232">
        <f t="shared" si="101"/>
        <v>1</v>
      </c>
      <c r="AD710" s="19"/>
      <c r="AE710" s="19"/>
      <c r="AF710" s="19"/>
      <c r="AG710" s="23"/>
      <c r="AH710" s="23"/>
      <c r="AI710" s="23"/>
      <c r="AJ710" s="16"/>
      <c r="AK710" s="34"/>
      <c r="AL710" s="364"/>
      <c r="AM710" s="34"/>
    </row>
    <row r="711" spans="1:39" s="6" customFormat="1" ht="14.1" hidden="1" customHeight="1" outlineLevel="1" x14ac:dyDescent="0.2">
      <c r="A711" s="85"/>
      <c r="B711" s="152" t="str">
        <f>AB711</f>
        <v>* shares comments/responses to comments with ProgMgr &amp; MediaLead</v>
      </c>
      <c r="C711" s="151"/>
      <c r="D711" s="165"/>
      <c r="E711" s="536"/>
      <c r="F711"/>
      <c r="G711" s="142"/>
      <c r="H711" s="181">
        <f t="shared" ref="H711:H715" si="104">AH711</f>
        <v>2</v>
      </c>
      <c r="I711" s="532"/>
      <c r="J711"/>
      <c r="K711"/>
      <c r="L711"/>
      <c r="M711"/>
      <c r="N711"/>
      <c r="O711"/>
      <c r="P711"/>
      <c r="Q711"/>
      <c r="R711"/>
      <c r="S711"/>
      <c r="T711"/>
      <c r="U711"/>
      <c r="X711"/>
      <c r="Y711" s="960"/>
      <c r="AB711" s="934" t="str">
        <f>"* shares comments/responses to comments with "&amp;S.Staff.Program.Mgr.FirstName&amp;" &amp; "&amp;S.Staff.Assistant.DA.ShortName</f>
        <v>* shares comments/responses to comments with ProgMgr &amp; MediaLead</v>
      </c>
      <c r="AC711" s="232">
        <f t="shared" si="101"/>
        <v>1</v>
      </c>
      <c r="AD711" s="19"/>
      <c r="AE711" s="19"/>
      <c r="AF711" s="19"/>
      <c r="AG711" s="23"/>
      <c r="AH711" s="25">
        <f>H706</f>
        <v>2</v>
      </c>
      <c r="AI711" s="23"/>
      <c r="AJ711" s="16"/>
      <c r="AK711" s="34"/>
      <c r="AL711" s="364"/>
      <c r="AM711" s="34"/>
    </row>
    <row r="712" spans="1:39" ht="14.1" hidden="1" customHeight="1" outlineLevel="1" thickBot="1" x14ac:dyDescent="0.25">
      <c r="A712" s="85"/>
      <c r="B712" s="315" t="s">
        <v>114</v>
      </c>
      <c r="C712" s="353"/>
      <c r="D712" s="165"/>
      <c r="E712" s="536"/>
      <c r="F712"/>
      <c r="G712" s="181">
        <f t="shared" ref="G712:G715" si="105">AG712</f>
        <v>2</v>
      </c>
      <c r="H712" s="181">
        <f t="shared" si="104"/>
        <v>2</v>
      </c>
      <c r="I712" s="532"/>
      <c r="AB712" s="944"/>
      <c r="AC712" s="232">
        <f t="shared" si="101"/>
        <v>1</v>
      </c>
      <c r="AD712" s="19"/>
      <c r="AE712" s="19"/>
      <c r="AF712" s="19"/>
      <c r="AG712" s="25">
        <f>IF(AC712=0,,H711)</f>
        <v>2</v>
      </c>
      <c r="AH712" s="25">
        <f>G712</f>
        <v>2</v>
      </c>
      <c r="AI712" s="24"/>
      <c r="AJ712" s="16"/>
      <c r="AK712" s="34"/>
      <c r="AL712" s="364"/>
      <c r="AM712" s="34"/>
    </row>
    <row r="713" spans="1:39" ht="14.1" hidden="1" customHeight="1" outlineLevel="1" thickBot="1" x14ac:dyDescent="0.25">
      <c r="A713" s="85"/>
      <c r="B713" s="312" t="s">
        <v>115</v>
      </c>
      <c r="C713" s="308" t="s">
        <v>77</v>
      </c>
      <c r="D713" s="165"/>
      <c r="E713" s="536"/>
      <c r="F713"/>
      <c r="G713" s="181">
        <f t="shared" si="105"/>
        <v>0</v>
      </c>
      <c r="H713" s="181">
        <f t="shared" si="104"/>
        <v>0</v>
      </c>
      <c r="I713" s="532"/>
      <c r="AB713" s="944"/>
      <c r="AC713" s="232">
        <f>IF(AND(S.Comment.ApproveResponseLoop2="Y",S.Notice.Involved="Y"),1,)</f>
        <v>0</v>
      </c>
      <c r="AD713" s="19"/>
      <c r="AE713" s="19"/>
      <c r="AF713" s="19"/>
      <c r="AG713" s="25">
        <f>IF(AC713=0,,H712)</f>
        <v>0</v>
      </c>
      <c r="AH713" s="25">
        <f>G713</f>
        <v>0</v>
      </c>
      <c r="AI713" s="24"/>
      <c r="AJ713" s="16"/>
      <c r="AK713" s="34"/>
      <c r="AL713" s="364"/>
      <c r="AM713" s="34"/>
    </row>
    <row r="714" spans="1:39" ht="14.1" hidden="1" customHeight="1" outlineLevel="1" thickBot="1" x14ac:dyDescent="0.25">
      <c r="A714" s="85"/>
      <c r="B714" s="313" t="s">
        <v>116</v>
      </c>
      <c r="C714" s="308" t="s">
        <v>77</v>
      </c>
      <c r="D714" s="165"/>
      <c r="E714" s="536"/>
      <c r="F714"/>
      <c r="G714" s="181">
        <f t="shared" si="105"/>
        <v>0</v>
      </c>
      <c r="H714" s="181">
        <f t="shared" si="104"/>
        <v>0</v>
      </c>
      <c r="I714" s="532"/>
      <c r="AB714" s="944"/>
      <c r="AC714" s="232">
        <f>IF(AND(S.Comment.ApproveResponseLoop3="Y",S.Notice.Involved="Y"),1,)</f>
        <v>0</v>
      </c>
      <c r="AD714" s="19"/>
      <c r="AE714" s="19"/>
      <c r="AF714" s="19"/>
      <c r="AG714" s="25">
        <f>IF(AC714=0,,H713)</f>
        <v>0</v>
      </c>
      <c r="AH714" s="25">
        <f>G714</f>
        <v>0</v>
      </c>
      <c r="AI714" s="24"/>
      <c r="AJ714" s="16"/>
      <c r="AK714" s="34"/>
      <c r="AL714" s="364"/>
      <c r="AM714" s="34"/>
    </row>
    <row r="715" spans="1:39" ht="14.1" hidden="1" customHeight="1" outlineLevel="1" thickBot="1" x14ac:dyDescent="0.25">
      <c r="A715" s="85"/>
      <c r="B715" s="314" t="s">
        <v>117</v>
      </c>
      <c r="C715" s="308" t="s">
        <v>77</v>
      </c>
      <c r="D715" s="165"/>
      <c r="E715" s="536"/>
      <c r="F715"/>
      <c r="G715" s="181">
        <f t="shared" si="105"/>
        <v>0</v>
      </c>
      <c r="H715" s="181">
        <f t="shared" si="104"/>
        <v>0</v>
      </c>
      <c r="I715" s="532"/>
      <c r="AB715" s="944"/>
      <c r="AC715" s="232">
        <f>IF(AND(S.Comment.ApproveResponseLoop4="Y",S.Notice.Involved="Y"),1,)</f>
        <v>0</v>
      </c>
      <c r="AD715" s="19"/>
      <c r="AE715" s="19"/>
      <c r="AF715" s="19"/>
      <c r="AG715" s="25">
        <f>IF(AC715=0,,H714)</f>
        <v>0</v>
      </c>
      <c r="AH715" s="25">
        <f>G715</f>
        <v>0</v>
      </c>
      <c r="AI715" s="24"/>
      <c r="AJ715" s="16"/>
      <c r="AK715" s="34"/>
      <c r="AL715" s="364"/>
      <c r="AM715" s="34"/>
    </row>
    <row r="716" spans="1:39" s="6" customFormat="1" ht="14.1" hidden="1" customHeight="1" outlineLevel="1" x14ac:dyDescent="0.2">
      <c r="A716" s="85"/>
      <c r="B716" s="172" t="str">
        <f>AB716</f>
        <v>ProgLead:</v>
      </c>
      <c r="C716" s="142"/>
      <c r="D716" s="205"/>
      <c r="E716" s="205"/>
      <c r="F716"/>
      <c r="G716" s="142"/>
      <c r="H716" s="303"/>
      <c r="I716" s="532"/>
      <c r="J716"/>
      <c r="K716"/>
      <c r="L716"/>
      <c r="M716"/>
      <c r="N716"/>
      <c r="O716"/>
      <c r="P716"/>
      <c r="Q716"/>
      <c r="R716"/>
      <c r="S716"/>
      <c r="T716"/>
      <c r="U716"/>
      <c r="X716"/>
      <c r="Y716" s="960"/>
      <c r="AB716" s="936" t="str">
        <f>S.Staff.Subject.Expert.FirstName&amp;":"</f>
        <v>ProgLead:</v>
      </c>
      <c r="AC716" s="232">
        <f>IF(S.Notice.Involved="Y",1,0)</f>
        <v>1</v>
      </c>
      <c r="AD716" s="19"/>
      <c r="AE716" s="19"/>
      <c r="AF716" s="19"/>
      <c r="AG716" s="23"/>
      <c r="AH716" s="23"/>
      <c r="AI716" s="24"/>
      <c r="AJ716" s="24"/>
      <c r="AK716" s="34"/>
      <c r="AL716" s="364"/>
      <c r="AM716" s="34"/>
    </row>
    <row r="717" spans="1:39" s="101" customFormat="1" ht="14.1" hidden="1" customHeight="1" outlineLevel="1" x14ac:dyDescent="0.2">
      <c r="A717" s="256"/>
      <c r="B717" s="152" t="s">
        <v>118</v>
      </c>
      <c r="C717" s="327" t="str">
        <f>HYPERLINK("\\deqhq1\Rule_Development\Currrent Plan","i")</f>
        <v>i</v>
      </c>
      <c r="D717" s="174"/>
      <c r="E717" s="536"/>
      <c r="F717"/>
      <c r="G717" s="142"/>
      <c r="H717" s="273">
        <f>AH717</f>
        <v>2</v>
      </c>
      <c r="I717" s="532"/>
      <c r="J717"/>
      <c r="K717"/>
      <c r="L717"/>
      <c r="M717"/>
      <c r="N717"/>
      <c r="O717"/>
      <c r="P717"/>
      <c r="Q717"/>
      <c r="R717"/>
      <c r="S717"/>
      <c r="T717"/>
      <c r="U717"/>
      <c r="V717" s="6"/>
      <c r="W717" s="6"/>
      <c r="X717"/>
      <c r="Y717" s="960"/>
      <c r="Z717" s="6"/>
      <c r="AA717" s="6"/>
      <c r="AB717" s="926" t="s">
        <v>0</v>
      </c>
      <c r="AC717" s="257">
        <f>IF(S.Notice.Involved="Y",1,0)</f>
        <v>1</v>
      </c>
      <c r="AD717" s="19"/>
      <c r="AE717" s="19"/>
      <c r="AF717" s="980"/>
      <c r="AG717" s="23"/>
      <c r="AH717" s="25">
        <f>IF(AC717=0,,MAX(H711:H715))</f>
        <v>2</v>
      </c>
      <c r="AI717" s="258"/>
      <c r="AJ717" s="258"/>
      <c r="AK717" s="986"/>
      <c r="AL717" s="364"/>
      <c r="AM717" s="986"/>
    </row>
    <row r="718" spans="1:39" s="6" customFormat="1" ht="14.1" hidden="1" customHeight="1" outlineLevel="1" x14ac:dyDescent="0.2">
      <c r="A718" s="85"/>
      <c r="B718" s="152" t="s">
        <v>90</v>
      </c>
      <c r="C718" s="151"/>
      <c r="D718" s="160"/>
      <c r="E718" s="160"/>
      <c r="F718" s="145"/>
      <c r="G718" s="142"/>
      <c r="H718" s="142"/>
      <c r="I718" s="532"/>
      <c r="J718"/>
      <c r="K718"/>
      <c r="L718"/>
      <c r="M718"/>
      <c r="N718"/>
      <c r="O718"/>
      <c r="P718"/>
      <c r="Q718"/>
      <c r="R718"/>
      <c r="S718"/>
      <c r="T718"/>
      <c r="U718"/>
      <c r="X718"/>
      <c r="Y718" s="960"/>
      <c r="AB718" s="926" t="s">
        <v>0</v>
      </c>
      <c r="AC718" s="232">
        <f>IF(S.Notice.Involved="Y",1,0)</f>
        <v>1</v>
      </c>
      <c r="AD718" s="19"/>
      <c r="AE718" s="19"/>
      <c r="AF718" s="19"/>
      <c r="AG718" s="23"/>
      <c r="AH718" s="23"/>
      <c r="AI718" s="23"/>
      <c r="AJ718" s="16"/>
      <c r="AK718" s="34"/>
      <c r="AL718" s="364"/>
      <c r="AM718" s="34"/>
    </row>
    <row r="719" spans="1:39" ht="14.25" customHeight="1" collapsed="1" x14ac:dyDescent="0.2">
      <c r="A719" s="85"/>
      <c r="B719" s="37"/>
      <c r="C719" s="38"/>
      <c r="D719" s="486"/>
      <c r="E719" s="486"/>
      <c r="F719" s="39"/>
      <c r="G719" s="38"/>
      <c r="H719" s="38"/>
      <c r="I719" s="532"/>
      <c r="AB719" s="944"/>
      <c r="AC719" s="232" t="s">
        <v>0</v>
      </c>
      <c r="AD719" s="19"/>
      <c r="AE719" s="19"/>
      <c r="AF719" s="19"/>
      <c r="AG719" s="18"/>
      <c r="AH719" s="18"/>
      <c r="AI719" s="24"/>
      <c r="AJ719" s="16"/>
      <c r="AK719" s="34"/>
      <c r="AL719" s="364"/>
      <c r="AM719" s="34"/>
    </row>
    <row r="720" spans="1:39" s="6" customFormat="1" ht="20.25" customHeight="1" x14ac:dyDescent="0.3">
      <c r="A720" s="85"/>
      <c r="B720" s="332" t="s">
        <v>56</v>
      </c>
      <c r="C720" s="344"/>
      <c r="D720" s="483"/>
      <c r="E720" s="628"/>
      <c r="F720" s="332"/>
      <c r="G720" s="332"/>
      <c r="H720" s="332"/>
      <c r="I720" s="532"/>
      <c r="J720"/>
      <c r="K720"/>
      <c r="L720"/>
      <c r="M720"/>
      <c r="N720"/>
      <c r="O720"/>
      <c r="P720"/>
      <c r="Q720"/>
      <c r="R720"/>
      <c r="S720"/>
      <c r="T720"/>
      <c r="U720"/>
      <c r="X720"/>
      <c r="Y720" s="960"/>
      <c r="AB720" s="926"/>
      <c r="AC720" s="232" t="s">
        <v>0</v>
      </c>
      <c r="AD720" s="19"/>
      <c r="AE720" s="19"/>
      <c r="AF720" s="19"/>
      <c r="AG720" s="35"/>
      <c r="AH720" s="35"/>
      <c r="AI720" s="24"/>
      <c r="AJ720" s="30"/>
      <c r="AK720" s="34"/>
      <c r="AL720" s="364"/>
      <c r="AM720" s="34"/>
    </row>
    <row r="721" spans="1:39" s="244" customFormat="1" ht="14.1" hidden="1" customHeight="1" outlineLevel="1" x14ac:dyDescent="0.2">
      <c r="A721" s="241"/>
      <c r="B721" s="702" t="str">
        <f>S.General.CodeName</f>
        <v>CodeName</v>
      </c>
      <c r="C721" s="242" t="s">
        <v>0</v>
      </c>
      <c r="D721" s="242"/>
      <c r="E721" s="242"/>
      <c r="F721" s="249"/>
      <c r="G721" s="243" t="s">
        <v>26</v>
      </c>
      <c r="H721" s="243" t="s">
        <v>57</v>
      </c>
      <c r="I721" s="532"/>
      <c r="J721"/>
      <c r="K721"/>
      <c r="L721"/>
      <c r="M721"/>
      <c r="N721"/>
      <c r="O721"/>
      <c r="P721"/>
      <c r="Q721"/>
      <c r="R721"/>
      <c r="S721"/>
      <c r="T721"/>
      <c r="U721"/>
      <c r="V721" s="6"/>
      <c r="W721" s="6"/>
      <c r="X721"/>
      <c r="Y721" s="960"/>
      <c r="Z721" s="6"/>
      <c r="AA721" s="6"/>
      <c r="AB721" s="939"/>
      <c r="AC721" s="246" t="s">
        <v>0</v>
      </c>
      <c r="AD721" s="19"/>
      <c r="AE721" s="19"/>
      <c r="AF721" s="979"/>
      <c r="AG721" s="245"/>
      <c r="AH721" s="245"/>
      <c r="AI721" s="247"/>
      <c r="AJ721" s="248"/>
      <c r="AK721" s="470"/>
      <c r="AL721" s="985"/>
      <c r="AM721" s="470"/>
    </row>
    <row r="722" spans="1:39" ht="14.1" hidden="1" customHeight="1" outlineLevel="1" x14ac:dyDescent="0.25">
      <c r="A722" s="85"/>
      <c r="B722" s="62" t="s">
        <v>0</v>
      </c>
      <c r="C722" s="64"/>
      <c r="D722" s="63"/>
      <c r="E722" s="63"/>
      <c r="F722" s="74"/>
      <c r="G722" s="104">
        <f>S.6EQC.BEGIN</f>
        <v>0</v>
      </c>
      <c r="H722" s="75">
        <f>S.6EQC.END</f>
        <v>0</v>
      </c>
      <c r="I722" s="532"/>
      <c r="AB722" s="944"/>
      <c r="AC722" s="232" t="s">
        <v>0</v>
      </c>
      <c r="AD722" s="19"/>
      <c r="AE722" s="19"/>
      <c r="AF722" s="19"/>
      <c r="AG722" s="35"/>
      <c r="AH722" s="35"/>
      <c r="AI722" s="24"/>
      <c r="AJ722" s="16"/>
      <c r="AK722" s="34"/>
      <c r="AL722" s="364"/>
      <c r="AM722" s="34"/>
    </row>
    <row r="723" spans="1:39" ht="6" hidden="1" customHeight="1" outlineLevel="1" x14ac:dyDescent="0.2">
      <c r="A723" s="85"/>
      <c r="B723" s="60"/>
      <c r="C723" s="52"/>
      <c r="D723" s="485"/>
      <c r="E723" s="485"/>
      <c r="F723" s="53"/>
      <c r="G723" s="52"/>
      <c r="H723" s="52"/>
      <c r="I723" s="532"/>
      <c r="AB723" s="944"/>
      <c r="AC723" s="232" t="s">
        <v>0</v>
      </c>
      <c r="AD723" s="19"/>
      <c r="AE723" s="19"/>
      <c r="AF723" s="19"/>
      <c r="AG723" s="18"/>
      <c r="AH723" s="18"/>
      <c r="AI723" s="24"/>
      <c r="AJ723" s="16"/>
      <c r="AK723" s="34"/>
      <c r="AL723" s="364"/>
      <c r="AM723" s="34"/>
    </row>
    <row r="724" spans="1:39" s="6" customFormat="1" ht="14.1" hidden="1" customHeight="1" outlineLevel="1" x14ac:dyDescent="0.2">
      <c r="A724" s="85"/>
      <c r="B724" s="349" t="s">
        <v>138</v>
      </c>
      <c r="C724" s="327" t="str">
        <f>HYPERLINK("\\deqhq1\Rule_Resources\i\0-VersionHistory.pdf","i")</f>
        <v>i</v>
      </c>
      <c r="D724" s="486"/>
      <c r="E724" s="486"/>
      <c r="F724" s="39"/>
      <c r="G724" s="38"/>
      <c r="H724" s="38"/>
      <c r="I724" s="532"/>
      <c r="J724"/>
      <c r="K724"/>
      <c r="L724"/>
      <c r="M724"/>
      <c r="N724"/>
      <c r="O724"/>
      <c r="P724"/>
      <c r="Q724"/>
      <c r="R724"/>
      <c r="S724"/>
      <c r="T724"/>
      <c r="U724"/>
      <c r="X724"/>
      <c r="Y724" s="960"/>
      <c r="AB724" s="929"/>
      <c r="AC724" s="233" t="s">
        <v>0</v>
      </c>
      <c r="AD724" s="19"/>
      <c r="AE724" s="19"/>
      <c r="AF724" s="19"/>
      <c r="AG724" s="18"/>
      <c r="AH724" s="18"/>
      <c r="AI724" s="31"/>
      <c r="AJ724" s="31"/>
      <c r="AK724" s="34"/>
      <c r="AL724" s="364"/>
      <c r="AM724" s="34"/>
    </row>
    <row r="725" spans="1:39" s="767" customFormat="1" ht="16.5" hidden="1" customHeight="1" outlineLevel="1" x14ac:dyDescent="0.2">
      <c r="A725" s="85"/>
      <c r="B725" s="789" t="s">
        <v>558</v>
      </c>
      <c r="C725" s="188"/>
      <c r="D725" s="515"/>
      <c r="E725" s="651"/>
      <c r="H725" s="142"/>
      <c r="I725" s="532"/>
      <c r="Y725" s="960"/>
      <c r="AB725" s="944"/>
      <c r="AC725" s="232">
        <f>IF(S.Fee.Involved="Y",1,0)</f>
        <v>0</v>
      </c>
      <c r="AD725" s="19"/>
      <c r="AE725" s="19"/>
      <c r="AF725" s="19"/>
      <c r="AG725" s="33"/>
      <c r="AH725" s="36"/>
      <c r="AI725" s="24"/>
      <c r="AJ725" s="26"/>
      <c r="AK725" s="34"/>
      <c r="AL725" s="364"/>
      <c r="AM725" s="34"/>
    </row>
    <row r="726" spans="1:39" s="767" customFormat="1" ht="16.5" hidden="1" customHeight="1" outlineLevel="1" x14ac:dyDescent="0.2">
      <c r="A726" s="85"/>
      <c r="B726" s="787" t="s">
        <v>555</v>
      </c>
      <c r="C726" s="188"/>
      <c r="D726" s="515"/>
      <c r="E726" s="651"/>
      <c r="H726" s="969" t="e">
        <f t="shared" ref="H726:H729" si="106">AH726</f>
        <v>#N/A</v>
      </c>
      <c r="I726" s="532"/>
      <c r="Y726" s="960"/>
      <c r="AB726" s="944"/>
      <c r="AC726" s="232">
        <v>1</v>
      </c>
      <c r="AD726" s="19"/>
      <c r="AE726" s="19"/>
      <c r="AF726" s="19"/>
      <c r="AG726" s="33"/>
      <c r="AH726" s="25" t="e">
        <f>S.EQC.SubmitStaffRpt</f>
        <v>#N/A</v>
      </c>
      <c r="AI726" s="24"/>
      <c r="AJ726" s="26"/>
      <c r="AK726" s="34"/>
      <c r="AL726" s="364"/>
      <c r="AM726" s="34"/>
    </row>
    <row r="727" spans="1:39" s="6" customFormat="1" ht="14.1" hidden="1" customHeight="1" outlineLevel="1" x14ac:dyDescent="0.2">
      <c r="A727" s="85" t="s">
        <v>0</v>
      </c>
      <c r="B727" s="167" t="str">
        <f>AB727</f>
        <v>No EQC involvement prior to Action Item meeting</v>
      </c>
      <c r="C727" s="356" t="s">
        <v>0</v>
      </c>
      <c r="D727" s="512"/>
      <c r="E727" s="495"/>
      <c r="F727"/>
      <c r="G727"/>
      <c r="H727"/>
      <c r="I727" s="532"/>
      <c r="J727"/>
      <c r="K727"/>
      <c r="L727"/>
      <c r="M727"/>
      <c r="N727"/>
      <c r="O727"/>
      <c r="P727"/>
      <c r="Q727"/>
      <c r="R727"/>
      <c r="S727"/>
      <c r="T727"/>
      <c r="U727"/>
      <c r="X727"/>
      <c r="Y727" s="960"/>
      <c r="AB727" s="936" t="str">
        <f>IF(AND(S.EQC.DirReport="N",S.EQC.InfoItem="N"),"No EQC involvement prior to Action Item meeting",S.Staff.Subject.Expert.FirstName&amp;":")</f>
        <v>No EQC involvement prior to Action Item meeting</v>
      </c>
      <c r="AC727" s="232">
        <v>1</v>
      </c>
      <c r="AD727" s="19"/>
      <c r="AE727" s="19"/>
      <c r="AF727" s="19"/>
      <c r="AG727" s="18"/>
      <c r="AH727" s="18"/>
      <c r="AI727" s="24"/>
      <c r="AJ727" s="16"/>
      <c r="AK727" s="34"/>
      <c r="AL727" s="364"/>
      <c r="AM727" s="34"/>
    </row>
    <row r="728" spans="1:39" s="6" customFormat="1" ht="14.1" hidden="1" customHeight="1" outlineLevel="1" x14ac:dyDescent="0.2">
      <c r="A728" s="85" t="s">
        <v>0</v>
      </c>
      <c r="B728" s="171" t="str">
        <f>AB728</f>
        <v>* no Director's Report</v>
      </c>
      <c r="C728" s="361" t="s">
        <v>0</v>
      </c>
      <c r="D728" s="362"/>
      <c r="E728" s="362"/>
      <c r="F728"/>
      <c r="G728" s="173">
        <f t="shared" ref="G728:G729" si="107">AG728</f>
        <v>0</v>
      </c>
      <c r="H728" s="173">
        <f t="shared" si="106"/>
        <v>0</v>
      </c>
      <c r="I728" s="532"/>
      <c r="J728"/>
      <c r="K728"/>
      <c r="L728"/>
      <c r="M728"/>
      <c r="N728"/>
      <c r="O728"/>
      <c r="P728"/>
      <c r="Q728"/>
      <c r="R728"/>
      <c r="S728"/>
      <c r="T728"/>
      <c r="U728"/>
      <c r="X728"/>
      <c r="Y728" s="960"/>
      <c r="AB728" s="936" t="str">
        <f>IF(S.EQC.DirReport="N","* no Director's Report","* drafts content of Director's Report to EQC")</f>
        <v>* no Director's Report</v>
      </c>
      <c r="AC728" s="232">
        <f>IF(S.EQC.DirReport="Y",1,0)</f>
        <v>0</v>
      </c>
      <c r="AD728" s="19"/>
      <c r="AE728" s="19"/>
      <c r="AF728" s="19"/>
      <c r="AG728" s="25">
        <f>IF(AC728=0,,S.6EQC.BEGIN)</f>
        <v>0</v>
      </c>
      <c r="AH728" s="25">
        <f>IF(AC728=0,,S.EQC.SubmitStaffRpt)</f>
        <v>0</v>
      </c>
      <c r="AI728" s="24"/>
      <c r="AJ728" s="16"/>
      <c r="AK728" s="34"/>
      <c r="AL728" s="364"/>
      <c r="AM728" s="34"/>
    </row>
    <row r="729" spans="1:39" s="6" customFormat="1" ht="14.1" hidden="1" customHeight="1" outlineLevel="1" x14ac:dyDescent="0.2">
      <c r="A729" s="85"/>
      <c r="B729" s="171" t="str">
        <f>AB729</f>
        <v>* no EQC Information Item</v>
      </c>
      <c r="C729" s="328" t="str">
        <f>HYPERLINK("\\deqhq1\Rule_Resources\0.IndividualRulemaking\6-EQC Preparation\STAFF.RPT.InformationItem.docx","i")</f>
        <v>i</v>
      </c>
      <c r="D729" s="362"/>
      <c r="E729" s="362"/>
      <c r="F729"/>
      <c r="G729" s="173">
        <f t="shared" si="107"/>
        <v>0</v>
      </c>
      <c r="H729" s="173">
        <f t="shared" si="106"/>
        <v>0</v>
      </c>
      <c r="I729" s="532"/>
      <c r="J729"/>
      <c r="K729"/>
      <c r="L729"/>
      <c r="M729"/>
      <c r="N729"/>
      <c r="O729"/>
      <c r="P729"/>
      <c r="Q729"/>
      <c r="R729"/>
      <c r="S729"/>
      <c r="T729"/>
      <c r="U729"/>
      <c r="X729"/>
      <c r="Y729" s="960"/>
      <c r="AB729" s="936" t="str">
        <f>IF(S.EQC.InfoItem="N","* no EQC Information Item","* drafts EQC Information  Item")</f>
        <v>* no EQC Information Item</v>
      </c>
      <c r="AC729" s="232">
        <f>IF(S.EQC.InfoItem="Y",1,0)</f>
        <v>0</v>
      </c>
      <c r="AD729" s="19"/>
      <c r="AE729" s="19"/>
      <c r="AF729" s="19"/>
      <c r="AG729" s="25">
        <f>IF(AC729=0,,S.6EQC.BEGIN)</f>
        <v>0</v>
      </c>
      <c r="AH729" s="25">
        <f>IF(AC729=0,,S.EQC.SubmitStaffRpt)</f>
        <v>0</v>
      </c>
      <c r="AI729" s="24"/>
      <c r="AJ729" s="16"/>
      <c r="AK729" s="34"/>
      <c r="AL729" s="364"/>
      <c r="AM729" s="34"/>
    </row>
    <row r="730" spans="1:39" s="6" customFormat="1" ht="13.5" hidden="1" customHeight="1" outlineLevel="1" x14ac:dyDescent="0.2">
      <c r="A730" s="85"/>
      <c r="B730" s="171" t="str">
        <f>AB730</f>
        <v>* blank row</v>
      </c>
      <c r="C730" s="361" t="s">
        <v>0</v>
      </c>
      <c r="D730" s="362"/>
      <c r="E730" s="362"/>
      <c r="F730"/>
      <c r="G730" s="173">
        <f t="shared" ref="G730" si="108">AG730</f>
        <v>0</v>
      </c>
      <c r="H730" s="173">
        <f t="shared" ref="H730" si="109">AH730</f>
        <v>0</v>
      </c>
      <c r="I730" s="532"/>
      <c r="J730"/>
      <c r="K730"/>
      <c r="L730"/>
      <c r="M730"/>
      <c r="N730"/>
      <c r="O730"/>
      <c r="P730"/>
      <c r="Q730"/>
      <c r="R730"/>
      <c r="S730"/>
      <c r="T730"/>
      <c r="U730"/>
      <c r="X730"/>
      <c r="Y730" s="960"/>
      <c r="AB730" s="936" t="str">
        <f>IF(OR(S.EQC.DirReport="Y",S.EQC.InfoItem="Y"),"* leads EQC material review","* blank row")</f>
        <v>* blank row</v>
      </c>
      <c r="AC730" s="232">
        <f>IF(OR(S.EQC.DirReport="Y",S.EQC.FacHearing="Y"),1,0)</f>
        <v>0</v>
      </c>
      <c r="AD730" s="19"/>
      <c r="AE730" s="19"/>
      <c r="AF730" s="19"/>
      <c r="AG730" s="25">
        <f>IF(AC730=0,,S.6EQC.BEGIN)</f>
        <v>0</v>
      </c>
      <c r="AH730" s="25">
        <f>IF(AC730=0,,S.EQC.SubmitStaffRpt)</f>
        <v>0</v>
      </c>
      <c r="AI730" s="24"/>
      <c r="AJ730" s="16"/>
      <c r="AK730" s="34"/>
      <c r="AL730" s="364"/>
      <c r="AM730" s="34"/>
    </row>
    <row r="731" spans="1:39" s="767" customFormat="1" ht="6.75" hidden="1" customHeight="1" outlineLevel="1" x14ac:dyDescent="0.2">
      <c r="A731" s="85"/>
      <c r="B731" s="180"/>
      <c r="C731"/>
      <c r="D731"/>
      <c r="E731"/>
      <c r="F731"/>
      <c r="G731"/>
      <c r="H731"/>
      <c r="I731" s="532"/>
      <c r="Y731" s="960"/>
      <c r="AB731" s="936"/>
      <c r="AC731" s="232"/>
      <c r="AD731" s="19"/>
      <c r="AE731" s="19"/>
      <c r="AF731" s="19"/>
      <c r="AG731" s="25"/>
      <c r="AH731" s="25"/>
      <c r="AI731" s="24"/>
      <c r="AJ731" s="16"/>
      <c r="AK731" s="34"/>
      <c r="AL731" s="364"/>
      <c r="AM731" s="34"/>
    </row>
    <row r="732" spans="1:39" s="6" customFormat="1" ht="14.1" hidden="1" customHeight="1" outlineLevel="1" x14ac:dyDescent="0.2">
      <c r="A732" s="85"/>
      <c r="B732" s="150" t="str">
        <f>AB732</f>
        <v>ProgLead:</v>
      </c>
      <c r="C732" s="188"/>
      <c r="D732" s="499"/>
      <c r="E732" s="189"/>
      <c r="F732"/>
      <c r="G732" s="173">
        <f>AG732</f>
        <v>0</v>
      </c>
      <c r="H732" s="173" t="e">
        <f>AH732</f>
        <v>#N/A</v>
      </c>
      <c r="I732" s="532"/>
      <c r="J732"/>
      <c r="K732"/>
      <c r="L732"/>
      <c r="M732"/>
      <c r="N732"/>
      <c r="O732"/>
      <c r="P732"/>
      <c r="Q732"/>
      <c r="R732"/>
      <c r="S732"/>
      <c r="T732"/>
      <c r="U732"/>
      <c r="X732"/>
      <c r="Y732" s="960"/>
      <c r="AB732" s="936" t="str">
        <f>S.Staff.Subject.Expert.FirstName&amp;":"</f>
        <v>ProgLead:</v>
      </c>
      <c r="AC732" s="232">
        <v>1</v>
      </c>
      <c r="AD732" s="19"/>
      <c r="AE732" s="19"/>
      <c r="AF732" s="19"/>
      <c r="AG732" s="25">
        <f>S.6EQC.BEGIN</f>
        <v>0</v>
      </c>
      <c r="AH732" s="25" t="e">
        <f>WORKDAY(S.EQC.SubmitStaffRpt-29,-1,S.DDL_DEQClosed)</f>
        <v>#N/A</v>
      </c>
      <c r="AI732" s="24"/>
      <c r="AJ732" s="89"/>
      <c r="AK732" s="34"/>
      <c r="AL732" s="364"/>
      <c r="AM732" s="34"/>
    </row>
    <row r="733" spans="1:39" s="767" customFormat="1" ht="13.5" hidden="1" customHeight="1" outlineLevel="1" x14ac:dyDescent="0.2">
      <c r="A733" s="85"/>
      <c r="B733" s="152" t="s">
        <v>557</v>
      </c>
      <c r="C733" s="356" t="s">
        <v>0</v>
      </c>
      <c r="D733" s="513"/>
      <c r="E733" s="499"/>
      <c r="G733" s="211"/>
      <c r="H733" s="211"/>
      <c r="I733" s="532"/>
      <c r="Y733" s="960"/>
      <c r="AB733" s="944"/>
      <c r="AC733" s="232">
        <v>1</v>
      </c>
      <c r="AD733" s="19"/>
      <c r="AE733" s="19"/>
      <c r="AF733" s="19"/>
      <c r="AG733" s="24"/>
      <c r="AH733" s="24"/>
      <c r="AI733" s="24"/>
      <c r="AJ733" s="89"/>
      <c r="AK733" s="34"/>
      <c r="AL733" s="364"/>
      <c r="AM733" s="34"/>
    </row>
    <row r="734" spans="1:39" ht="14.1" hidden="1" customHeight="1" outlineLevel="1" x14ac:dyDescent="0.2">
      <c r="A734" s="85"/>
      <c r="B734" s="125" t="str">
        <f>AB734</f>
        <v>- STAFF.RPT.Permanent preloaded into folder 6 using instructions in template</v>
      </c>
      <c r="C734" s="356" t="s">
        <v>0</v>
      </c>
      <c r="D734" s="499"/>
      <c r="E734" s="513"/>
      <c r="F734"/>
      <c r="I734" s="532"/>
      <c r="AB734" s="936" t="str">
        <f>IF(S.General.RuleType="P","- STAFF.RPT.Permanent preloaded into folder 6 using instructions in template","- STAFF.RPT.Temporary preloaded in folder 6")</f>
        <v>- STAFF.RPT.Permanent preloaded into folder 6 using instructions in template</v>
      </c>
      <c r="AC734" s="232">
        <v>1</v>
      </c>
      <c r="AD734" s="19"/>
      <c r="AE734" s="19"/>
      <c r="AF734" s="19"/>
      <c r="AG734" s="24"/>
      <c r="AH734" s="24"/>
      <c r="AI734" s="24"/>
      <c r="AJ734" s="89"/>
      <c r="AK734" s="34"/>
      <c r="AL734" s="364"/>
      <c r="AM734" s="34"/>
    </row>
    <row r="735" spans="1:39" s="6" customFormat="1" ht="14.1" hidden="1" customHeight="1" outlineLevel="1" x14ac:dyDescent="0.2">
      <c r="A735" s="85"/>
      <c r="B735" s="268" t="s">
        <v>681</v>
      </c>
      <c r="C735" s="356" t="s">
        <v>0</v>
      </c>
      <c r="D735" s="499"/>
      <c r="E735" s="513"/>
      <c r="F735" s="918"/>
      <c r="G735" s="34"/>
      <c r="H735" s="34"/>
      <c r="I735" s="531"/>
      <c r="J735"/>
      <c r="K735"/>
      <c r="L735"/>
      <c r="M735"/>
      <c r="N735"/>
      <c r="O735"/>
      <c r="P735"/>
      <c r="Q735"/>
      <c r="R735"/>
      <c r="S735"/>
      <c r="T735"/>
      <c r="U735"/>
      <c r="X735"/>
      <c r="Y735" s="960"/>
      <c r="AB735" s="955" t="s">
        <v>0</v>
      </c>
      <c r="AC735" s="232">
        <v>1</v>
      </c>
      <c r="AD735" s="19"/>
      <c r="AE735" s="19"/>
      <c r="AF735" s="19"/>
      <c r="AG735" s="24"/>
      <c r="AH735" s="24"/>
      <c r="AI735" s="24"/>
      <c r="AJ735" s="89"/>
      <c r="AK735" s="34"/>
      <c r="AL735" s="364"/>
      <c r="AM735" s="34"/>
    </row>
    <row r="736" spans="1:39" s="6" customFormat="1" ht="14.1" hidden="1" customHeight="1" outlineLevel="1" x14ac:dyDescent="0.2">
      <c r="A736" s="85"/>
      <c r="B736" s="919" t="s">
        <v>682</v>
      </c>
      <c r="C736" s="356" t="s">
        <v>0</v>
      </c>
      <c r="D736" s="499"/>
      <c r="E736" s="513"/>
      <c r="F736" s="918"/>
      <c r="G736"/>
      <c r="H736"/>
      <c r="I736" s="531"/>
      <c r="J736"/>
      <c r="K736"/>
      <c r="L736"/>
      <c r="M736"/>
      <c r="N736"/>
      <c r="O736"/>
      <c r="P736"/>
      <c r="Q736"/>
      <c r="R736"/>
      <c r="S736"/>
      <c r="T736"/>
      <c r="U736"/>
      <c r="X736"/>
      <c r="Y736" s="960"/>
      <c r="AB736" s="955" t="s">
        <v>0</v>
      </c>
      <c r="AC736" s="232">
        <v>1</v>
      </c>
      <c r="AD736" s="19"/>
      <c r="AE736" s="19"/>
      <c r="AF736" s="19"/>
      <c r="AG736" s="24"/>
      <c r="AH736" s="24"/>
      <c r="AI736" s="24"/>
      <c r="AJ736" s="89"/>
      <c r="AK736" s="34"/>
      <c r="AL736" s="364"/>
      <c r="AM736" s="34"/>
    </row>
    <row r="737" spans="1:39" s="6" customFormat="1" ht="13.5" hidden="1" customHeight="1" outlineLevel="1" x14ac:dyDescent="0.2">
      <c r="A737" s="85"/>
      <c r="B737" s="152" t="str">
        <f>AB737</f>
        <v>* notifies RGLead that EQC packet is ready for Rule Publication work</v>
      </c>
      <c r="C737" s="356" t="s">
        <v>0</v>
      </c>
      <c r="D737" s="499"/>
      <c r="E737" s="499"/>
      <c r="F737" s="918"/>
      <c r="I737" s="531"/>
      <c r="J737"/>
      <c r="K737"/>
      <c r="L737"/>
      <c r="M737"/>
      <c r="N737"/>
      <c r="O737"/>
      <c r="P737"/>
      <c r="Q737"/>
      <c r="R737"/>
      <c r="S737"/>
      <c r="T737"/>
      <c r="U737"/>
      <c r="X737"/>
      <c r="Y737" s="960"/>
      <c r="AB737" s="954" t="str">
        <f>"* notifies "&amp;S.Staff.RG.Lead.FirstName&amp;" that EQC packet is ready for Rule Publication work"</f>
        <v>* notifies RGLead that EQC packet is ready for Rule Publication work</v>
      </c>
      <c r="AC737" s="232">
        <v>1</v>
      </c>
      <c r="AD737" s="19"/>
      <c r="AE737" s="19"/>
      <c r="AF737" s="19"/>
      <c r="AG737" s="24"/>
      <c r="AH737" s="24"/>
      <c r="AI737" s="24"/>
      <c r="AJ737" s="89"/>
      <c r="AK737" s="34"/>
      <c r="AL737" s="364"/>
      <c r="AM737" s="34"/>
    </row>
    <row r="738" spans="1:39" s="6" customFormat="1" ht="13.5" hidden="1" customHeight="1" outlineLevel="1" x14ac:dyDescent="0.2">
      <c r="A738" s="85"/>
      <c r="B738" s="559" t="str">
        <f>AB738</f>
        <v>RGLead leads initial Rule Publication work that includes:</v>
      </c>
      <c r="C738" s="151"/>
      <c r="D738" s="507"/>
      <c r="E738" s="13"/>
      <c r="F738" s="918"/>
      <c r="G738" s="173" t="e">
        <f>AG738</f>
        <v>#N/A</v>
      </c>
      <c r="H738" s="173" t="e">
        <f>AH738</f>
        <v>#N/A</v>
      </c>
      <c r="I738" s="531"/>
      <c r="Y738" s="960"/>
      <c r="AB738" s="954" t="str">
        <f>S.Staff.RG.Lead.FirstName&amp;" leads initial Rule Publication work that includes:"</f>
        <v>RGLead leads initial Rule Publication work that includes:</v>
      </c>
      <c r="AC738" s="232">
        <v>1</v>
      </c>
      <c r="AD738" s="19"/>
      <c r="AE738" s="19"/>
      <c r="AF738" s="19"/>
      <c r="AG738" s="372" t="e">
        <f>WORKDAY(H732,1,S.DDL_DEQClosed)</f>
        <v>#N/A</v>
      </c>
      <c r="AH738" s="372" t="e">
        <f>WORKDAY(G738,7,S.DDL_DEQClosed)</f>
        <v>#N/A</v>
      </c>
      <c r="AI738" s="23"/>
      <c r="AJ738" s="16"/>
      <c r="AK738" s="34"/>
      <c r="AL738" s="364"/>
      <c r="AM738" s="34"/>
    </row>
    <row r="739" spans="1:39" s="6" customFormat="1" ht="14.1" hidden="1" customHeight="1" outlineLevel="1" x14ac:dyDescent="0.2">
      <c r="A739" s="85" t="s">
        <v>0</v>
      </c>
      <c r="B739" s="266" t="s">
        <v>556</v>
      </c>
      <c r="C739" s="151"/>
      <c r="E739" s="643"/>
      <c r="F739" s="918"/>
      <c r="G739"/>
      <c r="H739"/>
      <c r="I739" s="531"/>
      <c r="Y739" s="960"/>
      <c r="AB739" s="944"/>
      <c r="AC739" s="232">
        <v>1</v>
      </c>
      <c r="AD739" s="19"/>
      <c r="AE739" s="19"/>
      <c r="AF739" s="19"/>
      <c r="AG739" s="24"/>
      <c r="AH739" s="24"/>
      <c r="AI739" s="23"/>
      <c r="AJ739" s="16"/>
      <c r="AK739" s="34"/>
      <c r="AL739" s="364"/>
      <c r="AM739" s="34"/>
    </row>
    <row r="740" spans="1:39" s="6" customFormat="1" ht="14.1" hidden="1" customHeight="1" outlineLevel="1" x14ac:dyDescent="0.2">
      <c r="A740" s="85"/>
      <c r="B740" s="201" t="str">
        <f>AB740</f>
        <v>* obtaining/consolidating BrianW, StephanieC &amp; AndreaG edits if needed</v>
      </c>
      <c r="C740" s="151"/>
      <c r="F740" s="918"/>
      <c r="I740" s="531"/>
      <c r="Y740" s="960"/>
      <c r="AB740" s="934" t="str">
        <f>"* obtaining/consolidating "&amp;S.Staff.PublicAffairsOfficer&amp;", "&amp;S.Staff.EQCAssistant&amp;" &amp; "&amp;S.Staff.SIPCo&amp;" edits if needed"</f>
        <v>* obtaining/consolidating BrianW, StephanieC &amp; AndreaG edits if needed</v>
      </c>
      <c r="AC740" s="232">
        <v>1</v>
      </c>
      <c r="AD740" s="19"/>
      <c r="AE740" s="19"/>
      <c r="AF740" s="19"/>
      <c r="AG740" s="24"/>
      <c r="AH740" s="24"/>
      <c r="AI740" s="23"/>
      <c r="AJ740" s="16"/>
      <c r="AK740" s="34"/>
      <c r="AL740" s="364"/>
      <c r="AM740" s="34"/>
    </row>
    <row r="741" spans="1:39" s="6" customFormat="1" ht="14.1" hidden="1" customHeight="1" outlineLevel="1" x14ac:dyDescent="0.2">
      <c r="A741" s="85"/>
      <c r="B741" s="920" t="s">
        <v>380</v>
      </c>
      <c r="C741" s="356" t="s">
        <v>0</v>
      </c>
      <c r="D741" s="499"/>
      <c r="E741" s="499"/>
      <c r="I741" s="532"/>
      <c r="Y741" s="960"/>
      <c r="AB741" s="944"/>
      <c r="AC741" s="232">
        <v>1</v>
      </c>
      <c r="AD741" s="19"/>
      <c r="AE741" s="19"/>
      <c r="AF741" s="19"/>
      <c r="AG741" s="24"/>
      <c r="AH741" s="24"/>
      <c r="AI741" s="24"/>
      <c r="AJ741" s="24"/>
      <c r="AK741" s="34"/>
      <c r="AL741" s="364"/>
      <c r="AM741" s="34"/>
    </row>
    <row r="742" spans="1:39" s="6" customFormat="1" ht="14.1" hidden="1" customHeight="1" outlineLevel="1" x14ac:dyDescent="0.2">
      <c r="A742" s="85"/>
      <c r="B742" s="201" t="s">
        <v>369</v>
      </c>
      <c r="C742" s="164"/>
      <c r="G742" s="13"/>
      <c r="H742" s="13"/>
      <c r="I742" s="532"/>
      <c r="Y742" s="960"/>
      <c r="AB742" s="944"/>
      <c r="AC742" s="232">
        <v>1</v>
      </c>
      <c r="AD742" s="19"/>
      <c r="AE742" s="19"/>
      <c r="AF742" s="19"/>
      <c r="AG742" s="24"/>
      <c r="AH742" s="24"/>
      <c r="AI742" s="24"/>
      <c r="AJ742" s="24"/>
      <c r="AK742" s="34"/>
      <c r="AL742" s="364"/>
      <c r="AM742" s="34"/>
    </row>
    <row r="743" spans="1:39" s="767" customFormat="1" ht="14.1" hidden="1" customHeight="1" outlineLevel="1" x14ac:dyDescent="0.2">
      <c r="A743" s="85" t="s">
        <v>0</v>
      </c>
      <c r="B743" s="180" t="str">
        <f>AB743</f>
        <v>* getting Meyer's review of PROPOSED.RULES- SOS/LC and CHECKLIST review</v>
      </c>
      <c r="C743" s="356" t="s">
        <v>0</v>
      </c>
      <c r="D743" s="499"/>
      <c r="E743" s="499"/>
      <c r="I743" s="532"/>
      <c r="Y743" s="960"/>
      <c r="AB743" s="956" t="str">
        <f>"* getting "&amp;S.Staff.AgencyRulesCoordinator&amp;"'s review of PROPOSED.RULES- SOS/LC and CHECKLIST review"</f>
        <v>* getting Meyer's review of PROPOSED.RULES- SOS/LC and CHECKLIST review</v>
      </c>
      <c r="AC743" s="232">
        <v>1</v>
      </c>
      <c r="AD743" s="19"/>
      <c r="AE743" s="19"/>
      <c r="AF743" s="19"/>
      <c r="AG743" s="24"/>
      <c r="AH743" s="24"/>
      <c r="AI743" s="24"/>
      <c r="AJ743" s="24"/>
      <c r="AK743" s="34"/>
      <c r="AL743" s="364"/>
      <c r="AM743" s="34"/>
    </row>
    <row r="744" spans="1:39" s="6" customFormat="1" ht="14.1" hidden="1" customHeight="1" outlineLevel="1" x14ac:dyDescent="0.2">
      <c r="A744" s="85" t="s">
        <v>0</v>
      </c>
      <c r="B744" s="180" t="str">
        <f>AB744</f>
        <v>* contacts ProgLead with questions or modifications and when work is complete</v>
      </c>
      <c r="C744" s="356" t="s">
        <v>0</v>
      </c>
      <c r="D744" s="499"/>
      <c r="E744" s="499"/>
      <c r="F744"/>
      <c r="I744" s="532"/>
      <c r="J744"/>
      <c r="K744"/>
      <c r="L744"/>
      <c r="M744"/>
      <c r="N744"/>
      <c r="O744"/>
      <c r="P744"/>
      <c r="Q744"/>
      <c r="R744"/>
      <c r="S744"/>
      <c r="T744"/>
      <c r="U744"/>
      <c r="X744"/>
      <c r="Y744" s="960"/>
      <c r="AB744" s="956" t="str">
        <f>"* contacts "&amp;S.Staff.Subject.Expert.FirstName&amp;" with questions or modifications and when work is complete"</f>
        <v>* contacts ProgLead with questions or modifications and when work is complete</v>
      </c>
      <c r="AC744" s="232">
        <v>1</v>
      </c>
      <c r="AD744" s="19"/>
      <c r="AE744" s="19"/>
      <c r="AF744" s="19"/>
      <c r="AG744" s="24"/>
      <c r="AH744" s="24"/>
      <c r="AI744" s="24"/>
      <c r="AJ744" s="24"/>
      <c r="AK744" s="34"/>
      <c r="AL744" s="364"/>
      <c r="AM744" s="34"/>
    </row>
    <row r="745" spans="1:39" s="426" customFormat="1" ht="14.1" hidden="1" customHeight="1" outlineLevel="1" x14ac:dyDescent="0.2">
      <c r="A745" s="395"/>
      <c r="B745" s="149" t="str">
        <f>AB745</f>
        <v>ProgLead:</v>
      </c>
      <c r="C745" s="151" t="s">
        <v>0</v>
      </c>
      <c r="E745" s="646"/>
      <c r="F745" s="6"/>
      <c r="G745" s="140" t="e">
        <f t="shared" ref="G745" si="110">AG745</f>
        <v>#N/A</v>
      </c>
      <c r="H745" s="140" t="e">
        <f t="shared" ref="H745" si="111">AH745</f>
        <v>#N/A</v>
      </c>
      <c r="I745" s="680"/>
      <c r="AB745" s="956" t="str">
        <f>S.Staff.Subject.Expert.FirstName&amp;":"</f>
        <v>ProgLead:</v>
      </c>
      <c r="AC745" s="232">
        <v>1</v>
      </c>
      <c r="AD745" s="19"/>
      <c r="AE745" s="19"/>
      <c r="AF745" s="19"/>
      <c r="AG745" s="556" t="e">
        <f>WORKDAY(H738,1,S.DDL_DEQClosed)</f>
        <v>#N/A</v>
      </c>
      <c r="AH745" s="556" t="e">
        <f>WORKDAY(S.EQC.SubmitStaffRpt,-1,S.DDL_DEQClosed)</f>
        <v>#N/A</v>
      </c>
      <c r="AI745" s="24"/>
      <c r="AJ745" s="24"/>
      <c r="AK745" s="34"/>
      <c r="AL745" s="364"/>
      <c r="AM745" s="34"/>
    </row>
    <row r="746" spans="1:39" s="767" customFormat="1" ht="14.1" hidden="1" customHeight="1" outlineLevel="1" x14ac:dyDescent="0.2">
      <c r="A746" s="85"/>
      <c r="B746" s="201" t="s">
        <v>683</v>
      </c>
      <c r="C746" s="164"/>
      <c r="D746" s="555"/>
      <c r="G746" s="13"/>
      <c r="H746" s="13"/>
      <c r="I746" s="532"/>
      <c r="Y746" s="960"/>
      <c r="AB746" s="944"/>
      <c r="AC746" s="232">
        <v>1</v>
      </c>
      <c r="AD746" s="19"/>
      <c r="AE746" s="19"/>
      <c r="AF746" s="19"/>
      <c r="AG746" s="24"/>
      <c r="AH746" s="24"/>
      <c r="AI746" s="24"/>
      <c r="AJ746" s="24"/>
      <c r="AK746" s="34"/>
      <c r="AL746" s="364"/>
      <c r="AM746" s="34"/>
    </row>
    <row r="747" spans="1:39" s="767" customFormat="1" ht="14.1" hidden="1" customHeight="1" outlineLevel="1" x14ac:dyDescent="0.2">
      <c r="A747" s="85"/>
      <c r="B747" s="201" t="s">
        <v>684</v>
      </c>
      <c r="C747" s="164"/>
      <c r="D747" s="555"/>
      <c r="G747" s="13"/>
      <c r="H747" s="13"/>
      <c r="I747" s="532"/>
      <c r="Y747" s="960"/>
      <c r="AB747" s="944"/>
      <c r="AC747" s="232">
        <v>1</v>
      </c>
      <c r="AD747" s="19"/>
      <c r="AE747" s="19"/>
      <c r="AF747" s="19"/>
      <c r="AG747" s="24"/>
      <c r="AH747" s="24"/>
      <c r="AI747" s="24"/>
      <c r="AJ747" s="24"/>
      <c r="AK747" s="34"/>
      <c r="AL747" s="364"/>
      <c r="AM747" s="34"/>
    </row>
    <row r="748" spans="1:39" s="917" customFormat="1" ht="14.1" hidden="1" customHeight="1" outlineLevel="1" x14ac:dyDescent="0.2">
      <c r="A748" s="85"/>
      <c r="B748" s="201" t="s">
        <v>685</v>
      </c>
      <c r="C748" s="164"/>
      <c r="D748" s="555"/>
      <c r="G748" s="13"/>
      <c r="H748" s="13"/>
      <c r="I748" s="532"/>
      <c r="Y748" s="960"/>
      <c r="AB748" s="944"/>
      <c r="AC748" s="232">
        <v>1</v>
      </c>
      <c r="AD748" s="19"/>
      <c r="AE748" s="19"/>
      <c r="AF748" s="19"/>
      <c r="AG748" s="24"/>
      <c r="AH748" s="24"/>
      <c r="AI748" s="24"/>
      <c r="AJ748" s="24"/>
      <c r="AK748" s="34"/>
      <c r="AL748" s="364"/>
      <c r="AM748" s="34"/>
    </row>
    <row r="749" spans="1:39" s="6" customFormat="1" ht="14.1" hidden="1" customHeight="1" outlineLevel="1" x14ac:dyDescent="0.2">
      <c r="A749" s="85"/>
      <c r="B749" s="921" t="str">
        <f>AB749</f>
        <v>- ProgMgr</v>
      </c>
      <c r="C749" s="356" t="s">
        <v>0</v>
      </c>
      <c r="D749" s="555"/>
      <c r="E749" s="513"/>
      <c r="F749"/>
      <c r="G749" s="13"/>
      <c r="H749" s="13"/>
      <c r="I749" s="532"/>
      <c r="J749"/>
      <c r="K749"/>
      <c r="L749"/>
      <c r="M749"/>
      <c r="N749"/>
      <c r="O749"/>
      <c r="P749"/>
      <c r="Q749"/>
      <c r="R749"/>
      <c r="S749"/>
      <c r="T749"/>
      <c r="U749"/>
      <c r="X749"/>
      <c r="Y749" s="960"/>
      <c r="AB749" s="936" t="str">
        <f>"- "&amp;S.Staff.Program.Mgr.FirstName</f>
        <v>- ProgMgr</v>
      </c>
      <c r="AC749" s="232">
        <v>1</v>
      </c>
      <c r="AD749" s="19"/>
      <c r="AE749" s="19"/>
      <c r="AF749" s="19"/>
      <c r="AG749" s="24"/>
      <c r="AH749" s="24"/>
      <c r="AI749" s="24"/>
      <c r="AJ749" s="89"/>
      <c r="AK749" s="34"/>
      <c r="AL749" s="364"/>
      <c r="AM749" s="34"/>
    </row>
    <row r="750" spans="1:39" s="767" customFormat="1" ht="14.1" hidden="1" customHeight="1" outlineLevel="1" x14ac:dyDescent="0.2">
      <c r="A750" s="85"/>
      <c r="B750" s="921" t="str">
        <f>AB750</f>
        <v>- DA.Program, if indicated</v>
      </c>
      <c r="C750" s="356" t="s">
        <v>0</v>
      </c>
      <c r="D750" s="555"/>
      <c r="E750" s="513"/>
      <c r="G750" s="13"/>
      <c r="H750" s="13"/>
      <c r="I750" s="532"/>
      <c r="Y750" s="960"/>
      <c r="AB750" s="936" t="str">
        <f>"- "&amp;S.Staff.DA.ForProgram.FirstName&amp;", if indicated"</f>
        <v>- DA.Program, if indicated</v>
      </c>
      <c r="AC750" s="232">
        <v>1</v>
      </c>
      <c r="AD750" s="19"/>
      <c r="AE750" s="19"/>
      <c r="AF750" s="19"/>
      <c r="AG750" s="24"/>
      <c r="AH750" s="24"/>
      <c r="AI750" s="24"/>
      <c r="AJ750" s="89"/>
      <c r="AK750" s="34"/>
      <c r="AL750" s="364"/>
      <c r="AM750" s="34"/>
    </row>
    <row r="751" spans="1:39" s="6" customFormat="1" ht="14.1" hidden="1" customHeight="1" outlineLevel="1" x14ac:dyDescent="0.2">
      <c r="A751" s="85"/>
      <c r="B751" s="922" t="s">
        <v>94</v>
      </c>
      <c r="C751" s="356" t="s">
        <v>0</v>
      </c>
      <c r="D751" s="555"/>
      <c r="E751" s="508"/>
      <c r="F751"/>
      <c r="G751" s="13"/>
      <c r="H751" s="13"/>
      <c r="I751" s="532"/>
      <c r="J751"/>
      <c r="K751"/>
      <c r="L751"/>
      <c r="M751"/>
      <c r="N751"/>
      <c r="O751"/>
      <c r="P751"/>
      <c r="Q751"/>
      <c r="R751"/>
      <c r="S751"/>
      <c r="T751"/>
      <c r="U751"/>
      <c r="X751"/>
      <c r="Y751" s="960"/>
      <c r="AB751" s="944"/>
      <c r="AC751" s="232">
        <v>1</v>
      </c>
      <c r="AD751" s="19"/>
      <c r="AE751" s="19"/>
      <c r="AF751" s="19"/>
      <c r="AG751" s="24"/>
      <c r="AH751" s="24"/>
      <c r="AI751" s="24"/>
      <c r="AJ751" s="89"/>
      <c r="AK751" s="34"/>
      <c r="AL751" s="364"/>
      <c r="AM751" s="34"/>
    </row>
    <row r="752" spans="1:39" s="6" customFormat="1" ht="14.1" hidden="1" customHeight="1" outlineLevel="1" x14ac:dyDescent="0.2">
      <c r="A752" s="85"/>
      <c r="B752" s="922" t="s">
        <v>94</v>
      </c>
      <c r="C752" s="356" t="s">
        <v>0</v>
      </c>
      <c r="D752" s="555"/>
      <c r="E752" s="508"/>
      <c r="F752"/>
      <c r="G752" s="13"/>
      <c r="H752" s="13"/>
      <c r="I752" s="532"/>
      <c r="J752"/>
      <c r="K752"/>
      <c r="L752"/>
      <c r="M752"/>
      <c r="N752"/>
      <c r="O752"/>
      <c r="P752"/>
      <c r="Q752"/>
      <c r="R752"/>
      <c r="S752"/>
      <c r="T752"/>
      <c r="U752"/>
      <c r="X752"/>
      <c r="Y752" s="960"/>
      <c r="AB752" s="944"/>
      <c r="AC752" s="232">
        <v>1</v>
      </c>
      <c r="AD752" s="19"/>
      <c r="AE752" s="19"/>
      <c r="AF752" s="19"/>
      <c r="AG752" s="24"/>
      <c r="AH752" s="24"/>
      <c r="AI752" s="24"/>
      <c r="AJ752" s="89"/>
      <c r="AK752" s="34"/>
      <c r="AL752" s="364"/>
      <c r="AM752" s="34"/>
    </row>
    <row r="753" spans="1:39" s="767" customFormat="1" ht="14.1" hidden="1" customHeight="1" outlineLevel="1" thickBot="1" x14ac:dyDescent="0.25">
      <c r="A753" s="85"/>
      <c r="B753" s="201" t="str">
        <f>AB753</f>
        <v>* obtains approval from ProgMgr to submit EQC packet</v>
      </c>
      <c r="C753" s="164"/>
      <c r="D753" s="555"/>
      <c r="G753" s="13"/>
      <c r="H753" s="13"/>
      <c r="I753" s="532"/>
      <c r="Y753" s="960"/>
      <c r="AB753" s="936" t="str">
        <f>"* obtains approval from "&amp;S.Staff.Program.Mgr.FirstName&amp;" to submit EQC packet"</f>
        <v>* obtains approval from ProgMgr to submit EQC packet</v>
      </c>
      <c r="AC753" s="232">
        <v>1</v>
      </c>
      <c r="AD753" s="19"/>
      <c r="AE753" s="19"/>
      <c r="AF753" s="19"/>
      <c r="AG753" s="24"/>
      <c r="AH753" s="24"/>
      <c r="AI753" s="24"/>
      <c r="AJ753" s="24"/>
      <c r="AK753" s="34"/>
      <c r="AL753" s="364"/>
      <c r="AM753" s="34"/>
    </row>
    <row r="754" spans="1:39" s="6" customFormat="1" ht="14.1" hidden="1" customHeight="1" outlineLevel="2" thickBot="1" x14ac:dyDescent="0.25">
      <c r="A754" s="85"/>
      <c r="B754" s="923" t="str">
        <f>AB754</f>
        <v>* discusses need for 1|1 commissioners briefings with ProgMgr &amp; MediaLead</v>
      </c>
      <c r="C754" s="308" t="s">
        <v>77</v>
      </c>
      <c r="D754" s="513"/>
      <c r="E754" s="513"/>
      <c r="F754"/>
      <c r="G754" s="173">
        <f t="shared" ref="G754:H754" si="112">AG754</f>
        <v>0</v>
      </c>
      <c r="H754" s="173">
        <f t="shared" si="112"/>
        <v>0</v>
      </c>
      <c r="I754" s="532"/>
      <c r="J754"/>
      <c r="K754"/>
      <c r="L754"/>
      <c r="M754"/>
      <c r="N754"/>
      <c r="O754"/>
      <c r="P754"/>
      <c r="Q754"/>
      <c r="R754"/>
      <c r="S754"/>
      <c r="T754"/>
      <c r="U754"/>
      <c r="X754"/>
      <c r="Y754" s="960"/>
      <c r="AB754" s="936" t="str">
        <f>"* discusses need for 1|1 commissioners briefings with "&amp;S.Staff.Program.Mgr.FirstName&amp;" &amp; "&amp;S.Staff.Assistant.DA.ShortName</f>
        <v>* discusses need for 1|1 commissioners briefings with ProgMgr &amp; MediaLead</v>
      </c>
      <c r="AC754" s="232">
        <f t="shared" ref="AC754:AC759" si="113">IF(S.EQC.1on1Briefing="Y",1,0)</f>
        <v>0</v>
      </c>
      <c r="AD754" s="19"/>
      <c r="AE754" s="19"/>
      <c r="AF754" s="19"/>
      <c r="AG754" s="25">
        <f>IF(AC754=0,,MAX(H751:H752))</f>
        <v>0</v>
      </c>
      <c r="AH754" s="25">
        <f>IF(AC754=0,,S.EQC.SubmitStaffRpt)</f>
        <v>0</v>
      </c>
      <c r="AI754" s="24"/>
      <c r="AJ754" s="89"/>
      <c r="AK754" s="34"/>
      <c r="AL754" s="364"/>
      <c r="AM754" s="34"/>
    </row>
    <row r="755" spans="1:39" s="6" customFormat="1" ht="14.1" hidden="1" customHeight="1" outlineLevel="2" x14ac:dyDescent="0.2">
      <c r="A755" s="85"/>
      <c r="B755" s="924" t="s">
        <v>154</v>
      </c>
      <c r="C755" s="916"/>
      <c r="D755" s="916"/>
      <c r="E755" s="916"/>
      <c r="F755" s="916"/>
      <c r="G755" s="916"/>
      <c r="H755" s="681"/>
      <c r="I755" s="652"/>
      <c r="J755" s="652"/>
      <c r="K755" s="652"/>
      <c r="L755" s="652"/>
      <c r="M755" s="652"/>
      <c r="N755" s="652"/>
      <c r="O755" s="652"/>
      <c r="P755" s="652"/>
      <c r="Q755" s="652"/>
      <c r="R755" s="652"/>
      <c r="S755" s="652"/>
      <c r="T755" s="652"/>
      <c r="U755" s="652"/>
      <c r="V755" s="652"/>
      <c r="W755" s="652"/>
      <c r="X755" s="652"/>
      <c r="Y755" s="652"/>
      <c r="Z755" s="652"/>
      <c r="AA755" s="652"/>
      <c r="AB755" s="944"/>
      <c r="AC755" s="232">
        <f t="shared" si="113"/>
        <v>0</v>
      </c>
      <c r="AD755" s="19"/>
      <c r="AE755" s="19"/>
      <c r="AF755" s="19"/>
      <c r="AG755" s="36"/>
      <c r="AH755" s="36"/>
      <c r="AI755" s="24"/>
      <c r="AJ755" s="16"/>
      <c r="AK755" s="34"/>
      <c r="AL755" s="364"/>
      <c r="AM755" s="34"/>
    </row>
    <row r="756" spans="1:39" s="6" customFormat="1" ht="14.1" hidden="1" customHeight="1" outlineLevel="2" x14ac:dyDescent="0.2">
      <c r="A756" s="85"/>
      <c r="B756" s="924" t="s">
        <v>128</v>
      </c>
      <c r="C756" s="916"/>
      <c r="D756" s="916"/>
      <c r="E756" s="916"/>
      <c r="F756" s="916"/>
      <c r="G756" s="916"/>
      <c r="H756" s="681"/>
      <c r="I756" s="652"/>
      <c r="J756" s="652"/>
      <c r="K756" s="652"/>
      <c r="L756" s="652"/>
      <c r="M756" s="652"/>
      <c r="N756" s="652"/>
      <c r="O756" s="652"/>
      <c r="P756" s="652"/>
      <c r="Q756" s="652"/>
      <c r="R756" s="652"/>
      <c r="S756" s="652"/>
      <c r="T756" s="652"/>
      <c r="U756" s="652"/>
      <c r="V756" s="652"/>
      <c r="W756" s="652"/>
      <c r="X756" s="652"/>
      <c r="Y756" s="652"/>
      <c r="Z756" s="652"/>
      <c r="AA756" s="652"/>
      <c r="AB756" s="944"/>
      <c r="AC756" s="232">
        <f t="shared" si="113"/>
        <v>0</v>
      </c>
      <c r="AD756" s="19"/>
      <c r="AE756" s="19"/>
      <c r="AF756" s="19"/>
      <c r="AG756" s="36"/>
      <c r="AH756" s="36"/>
      <c r="AI756" s="24"/>
      <c r="AJ756" s="16"/>
      <c r="AK756" s="34"/>
      <c r="AL756" s="364"/>
      <c r="AM756" s="34"/>
    </row>
    <row r="757" spans="1:39" s="6" customFormat="1" ht="14.1" hidden="1" customHeight="1" outlineLevel="2" x14ac:dyDescent="0.2">
      <c r="A757" s="85"/>
      <c r="B757" s="924" t="s">
        <v>129</v>
      </c>
      <c r="C757" s="916"/>
      <c r="D757" s="916"/>
      <c r="E757" s="916"/>
      <c r="F757" s="916"/>
      <c r="G757" s="916"/>
      <c r="H757" s="916"/>
      <c r="I757" s="916"/>
      <c r="J757" s="916"/>
      <c r="K757" s="916"/>
      <c r="L757" s="916"/>
      <c r="M757" s="916"/>
      <c r="N757" s="916"/>
      <c r="O757" s="916"/>
      <c r="P757" s="916"/>
      <c r="Q757" s="916"/>
      <c r="R757" s="916"/>
      <c r="S757" s="916"/>
      <c r="T757" s="916"/>
      <c r="U757" s="916"/>
      <c r="V757" s="916"/>
      <c r="W757" s="916"/>
      <c r="X757" s="916"/>
      <c r="Y757" s="916"/>
      <c r="Z757" s="916"/>
      <c r="AA757" s="916"/>
      <c r="AB757" s="944"/>
      <c r="AC757" s="232">
        <f t="shared" si="113"/>
        <v>0</v>
      </c>
      <c r="AD757" s="19"/>
      <c r="AE757" s="19"/>
      <c r="AF757" s="19"/>
      <c r="AG757" s="36"/>
      <c r="AH757" s="36"/>
      <c r="AI757" s="24"/>
      <c r="AJ757" s="16"/>
      <c r="AK757" s="34"/>
      <c r="AL757" s="364"/>
      <c r="AM757" s="34"/>
    </row>
    <row r="758" spans="1:39" s="6" customFormat="1" ht="14.1" hidden="1" customHeight="1" outlineLevel="2" x14ac:dyDescent="0.2">
      <c r="A758" s="85"/>
      <c r="B758" s="924" t="s">
        <v>130</v>
      </c>
      <c r="C758" s="916"/>
      <c r="D758" s="916"/>
      <c r="E758" s="916"/>
      <c r="F758" s="916"/>
      <c r="G758" s="916"/>
      <c r="H758" s="916"/>
      <c r="I758" s="916"/>
      <c r="J758" s="916"/>
      <c r="K758" s="916"/>
      <c r="L758" s="916"/>
      <c r="M758" s="916"/>
      <c r="N758" s="916"/>
      <c r="O758" s="916"/>
      <c r="P758" s="916"/>
      <c r="Q758" s="916"/>
      <c r="R758" s="916"/>
      <c r="S758" s="916"/>
      <c r="T758" s="916"/>
      <c r="U758" s="916"/>
      <c r="V758" s="916"/>
      <c r="W758" s="916"/>
      <c r="X758" s="916"/>
      <c r="Y758" s="916"/>
      <c r="Z758" s="916"/>
      <c r="AA758" s="916"/>
      <c r="AB758" s="944"/>
      <c r="AC758" s="232">
        <f t="shared" si="113"/>
        <v>0</v>
      </c>
      <c r="AD758" s="19"/>
      <c r="AE758" s="19"/>
      <c r="AF758" s="19"/>
      <c r="AG758" s="36"/>
      <c r="AH758" s="36"/>
      <c r="AI758" s="24"/>
      <c r="AJ758" s="16"/>
      <c r="AK758" s="34"/>
      <c r="AL758" s="364"/>
      <c r="AM758" s="34"/>
    </row>
    <row r="759" spans="1:39" s="6" customFormat="1" ht="14.1" hidden="1" customHeight="1" outlineLevel="2" x14ac:dyDescent="0.2">
      <c r="A759" s="85"/>
      <c r="B759" s="924" t="s">
        <v>131</v>
      </c>
      <c r="C759" s="916"/>
      <c r="D759" s="916"/>
      <c r="E759" s="916"/>
      <c r="F759" s="916"/>
      <c r="G759" s="916"/>
      <c r="H759" s="916"/>
      <c r="I759" s="916"/>
      <c r="J759" s="916"/>
      <c r="K759" s="916"/>
      <c r="L759" s="916"/>
      <c r="M759" s="916"/>
      <c r="N759" s="916"/>
      <c r="O759" s="916"/>
      <c r="P759" s="916"/>
      <c r="Q759" s="916"/>
      <c r="R759" s="916"/>
      <c r="S759" s="916"/>
      <c r="T759" s="916"/>
      <c r="U759" s="916"/>
      <c r="V759" s="916"/>
      <c r="W759" s="916"/>
      <c r="X759" s="916"/>
      <c r="Y759" s="916"/>
      <c r="Z759" s="916"/>
      <c r="AA759" s="916"/>
      <c r="AB759" s="944"/>
      <c r="AC759" s="232">
        <f t="shared" si="113"/>
        <v>0</v>
      </c>
      <c r="AD759" s="19"/>
      <c r="AE759" s="19"/>
      <c r="AF759" s="19"/>
      <c r="AG759" s="36"/>
      <c r="AH759" s="36"/>
      <c r="AI759" s="24"/>
      <c r="AJ759" s="16"/>
      <c r="AK759" s="34"/>
      <c r="AL759" s="364"/>
      <c r="AM759" s="34"/>
    </row>
    <row r="760" spans="1:39" s="767" customFormat="1" ht="12" hidden="1" customHeight="1" outlineLevel="1" x14ac:dyDescent="0.2">
      <c r="A760" s="85"/>
      <c r="B760" s="124"/>
      <c r="C760" s="353"/>
      <c r="D760" s="499"/>
      <c r="E760" s="499"/>
      <c r="I760" s="532"/>
      <c r="Y760" s="960"/>
      <c r="AB760" s="944"/>
      <c r="AC760" s="232"/>
      <c r="AD760" s="19"/>
      <c r="AE760" s="19"/>
      <c r="AF760" s="19"/>
      <c r="AG760" s="35"/>
      <c r="AH760" s="35"/>
      <c r="AI760" s="24"/>
      <c r="AJ760" s="16"/>
      <c r="AK760" s="34"/>
      <c r="AL760" s="364"/>
      <c r="AM760" s="34"/>
    </row>
    <row r="761" spans="1:39" s="917" customFormat="1" ht="13.5" hidden="1" customHeight="1" outlineLevel="1" x14ac:dyDescent="0.2">
      <c r="A761" s="85"/>
      <c r="B761" s="925" t="str">
        <f>AB761</f>
        <v>* submits EQC packet to StephanieC</v>
      </c>
      <c r="C761" s="188"/>
      <c r="D761" s="515"/>
      <c r="E761" s="651"/>
      <c r="H761" s="255" t="e">
        <f t="shared" ref="H761" si="114">AH761</f>
        <v>#N/A</v>
      </c>
      <c r="I761" s="532"/>
      <c r="Y761" s="960"/>
      <c r="AB761" s="934" t="str">
        <f>"* submits EQC packet to "&amp;S.Staff.EQCAssistant</f>
        <v>* submits EQC packet to StephanieC</v>
      </c>
      <c r="AC761" s="232">
        <v>1</v>
      </c>
      <c r="AD761" s="19"/>
      <c r="AE761" s="19"/>
      <c r="AF761" s="19"/>
      <c r="AG761" s="33"/>
      <c r="AH761" s="25" t="e">
        <f>S.EQC.SubmitStaffRpt</f>
        <v>#N/A</v>
      </c>
      <c r="AI761" s="24"/>
      <c r="AJ761" s="26"/>
      <c r="AK761" s="34"/>
      <c r="AL761" s="364"/>
      <c r="AM761" s="34"/>
    </row>
    <row r="762" spans="1:39" s="6" customFormat="1" ht="14.1" hidden="1" customHeight="1" outlineLevel="1" x14ac:dyDescent="0.2">
      <c r="A762" s="85" t="s">
        <v>0</v>
      </c>
      <c r="B762" s="180" t="s">
        <v>686</v>
      </c>
      <c r="C762" s="202"/>
      <c r="D762" s="190"/>
      <c r="E762" s="190"/>
      <c r="F762"/>
      <c r="G762" s="274">
        <f t="shared" ref="G762" si="115">AG762</f>
        <v>0</v>
      </c>
      <c r="H762" s="274">
        <f t="shared" ref="H762" si="116">AH762</f>
        <v>42353</v>
      </c>
      <c r="I762" s="532"/>
      <c r="J762"/>
      <c r="K762"/>
      <c r="L762"/>
      <c r="M762"/>
      <c r="N762"/>
      <c r="O762"/>
      <c r="P762"/>
      <c r="Q762"/>
      <c r="R762"/>
      <c r="S762"/>
      <c r="T762"/>
      <c r="U762"/>
      <c r="X762"/>
      <c r="Y762" s="960"/>
      <c r="AB762" s="945"/>
      <c r="AC762" s="232">
        <v>1</v>
      </c>
      <c r="AD762" s="19"/>
      <c r="AE762" s="19"/>
      <c r="AF762" s="19"/>
      <c r="AG762" s="25">
        <f>S.6EQC.BEGIN</f>
        <v>0</v>
      </c>
      <c r="AH762" s="25">
        <f>S.EQC.Meeting-1</f>
        <v>42353</v>
      </c>
      <c r="AI762" s="24"/>
      <c r="AJ762" s="24"/>
      <c r="AK762" s="34"/>
      <c r="AL762" s="364"/>
      <c r="AM762" s="34"/>
    </row>
    <row r="763" spans="1:39" s="6" customFormat="1" ht="14.1" hidden="1" customHeight="1" outlineLevel="1" x14ac:dyDescent="0.2">
      <c r="A763" s="85"/>
      <c r="B763" s="302" t="s">
        <v>401</v>
      </c>
      <c r="C763" s="356" t="s">
        <v>0</v>
      </c>
      <c r="D763" s="190"/>
      <c r="E763" s="296"/>
      <c r="I763" s="532"/>
      <c r="Y763" s="960"/>
      <c r="AB763" s="944"/>
      <c r="AC763" s="232">
        <v>1</v>
      </c>
      <c r="AD763" s="19"/>
      <c r="AE763" s="19"/>
      <c r="AF763" s="19"/>
      <c r="AG763" s="24"/>
      <c r="AH763" s="24"/>
      <c r="AI763" s="24"/>
      <c r="AJ763" s="16"/>
      <c r="AK763" s="34"/>
      <c r="AL763" s="364"/>
      <c r="AM763" s="34"/>
    </row>
    <row r="764" spans="1:39" s="6" customFormat="1" ht="14.1" hidden="1" customHeight="1" outlineLevel="1" x14ac:dyDescent="0.2">
      <c r="A764" s="85"/>
      <c r="B764" s="302" t="s">
        <v>98</v>
      </c>
      <c r="C764" s="356" t="s">
        <v>0</v>
      </c>
      <c r="D764" s="190"/>
      <c r="E764" s="296"/>
      <c r="F764"/>
      <c r="G764"/>
      <c r="H764"/>
      <c r="I764" s="532"/>
      <c r="J764"/>
      <c r="K764"/>
      <c r="L764"/>
      <c r="M764"/>
      <c r="N764"/>
      <c r="O764"/>
      <c r="P764"/>
      <c r="Q764"/>
      <c r="R764"/>
      <c r="S764"/>
      <c r="T764"/>
      <c r="U764"/>
      <c r="X764"/>
      <c r="Y764" s="960"/>
      <c r="AB764" s="944"/>
      <c r="AC764" s="232">
        <v>1</v>
      </c>
      <c r="AD764" s="19"/>
      <c r="AE764" s="19"/>
      <c r="AF764" s="19"/>
      <c r="AG764" s="24"/>
      <c r="AH764" s="24"/>
      <c r="AI764" s="24"/>
      <c r="AJ764" s="16"/>
      <c r="AK764" s="34"/>
      <c r="AL764" s="364"/>
      <c r="AM764" s="34"/>
    </row>
    <row r="765" spans="1:39" s="6" customFormat="1" ht="14.1" hidden="1" customHeight="1" outlineLevel="1" x14ac:dyDescent="0.2">
      <c r="A765" s="85"/>
      <c r="B765" s="302" t="s">
        <v>99</v>
      </c>
      <c r="C765" s="356" t="s">
        <v>0</v>
      </c>
      <c r="D765" s="190"/>
      <c r="E765" s="296"/>
      <c r="F765"/>
      <c r="G765"/>
      <c r="H765"/>
      <c r="I765" s="532"/>
      <c r="J765"/>
      <c r="K765"/>
      <c r="L765"/>
      <c r="M765"/>
      <c r="N765"/>
      <c r="O765"/>
      <c r="P765"/>
      <c r="Q765"/>
      <c r="R765"/>
      <c r="S765"/>
      <c r="T765"/>
      <c r="U765"/>
      <c r="X765"/>
      <c r="Y765" s="960"/>
      <c r="AB765" s="944"/>
      <c r="AC765" s="232">
        <f>IF(S.AC.CommitteeInvolved="Y",1,0)</f>
        <v>0</v>
      </c>
      <c r="AD765" s="19"/>
      <c r="AE765" s="19"/>
      <c r="AF765" s="19"/>
      <c r="AG765" s="24"/>
      <c r="AH765" s="24"/>
      <c r="AI765" s="24"/>
      <c r="AJ765" s="16"/>
      <c r="AK765" s="34"/>
      <c r="AL765" s="364"/>
      <c r="AM765" s="34"/>
    </row>
    <row r="766" spans="1:39" s="6" customFormat="1" ht="14.1" hidden="1" customHeight="1" outlineLevel="1" x14ac:dyDescent="0.2">
      <c r="A766" s="85"/>
      <c r="B766" s="302" t="s">
        <v>100</v>
      </c>
      <c r="C766" s="356" t="s">
        <v>0</v>
      </c>
      <c r="D766" s="190"/>
      <c r="E766" s="296"/>
      <c r="F766"/>
      <c r="G766"/>
      <c r="H766"/>
      <c r="I766" s="532"/>
      <c r="J766"/>
      <c r="K766"/>
      <c r="L766"/>
      <c r="M766"/>
      <c r="N766"/>
      <c r="O766"/>
      <c r="P766"/>
      <c r="Q766"/>
      <c r="R766"/>
      <c r="S766"/>
      <c r="T766"/>
      <c r="U766"/>
      <c r="X766"/>
      <c r="Y766" s="960"/>
      <c r="AB766" s="944"/>
      <c r="AC766" s="232">
        <f>IF(S.Notice.Involved="Y",1,0)</f>
        <v>1</v>
      </c>
      <c r="AD766" s="19"/>
      <c r="AE766" s="19"/>
      <c r="AF766" s="19"/>
      <c r="AG766" s="24"/>
      <c r="AH766" s="24"/>
      <c r="AI766" s="24"/>
      <c r="AJ766" s="16"/>
      <c r="AK766" s="34"/>
      <c r="AL766" s="364"/>
      <c r="AM766" s="34"/>
    </row>
    <row r="767" spans="1:39" s="6" customFormat="1" ht="14.1" hidden="1" customHeight="1" outlineLevel="1" x14ac:dyDescent="0.2">
      <c r="A767" s="85"/>
      <c r="B767" s="302" t="s">
        <v>101</v>
      </c>
      <c r="C767" s="356" t="s">
        <v>0</v>
      </c>
      <c r="D767" s="190"/>
      <c r="E767" s="296"/>
      <c r="F767"/>
      <c r="G767"/>
      <c r="H767"/>
      <c r="I767" s="532"/>
      <c r="J767"/>
      <c r="K767"/>
      <c r="L767"/>
      <c r="M767"/>
      <c r="N767"/>
      <c r="O767"/>
      <c r="P767"/>
      <c r="Q767"/>
      <c r="R767"/>
      <c r="S767"/>
      <c r="T767"/>
      <c r="U767"/>
      <c r="X767"/>
      <c r="Y767" s="960"/>
      <c r="AB767" s="944"/>
      <c r="AC767" s="232">
        <v>1</v>
      </c>
      <c r="AD767" s="19"/>
      <c r="AE767" s="19"/>
      <c r="AF767" s="19"/>
      <c r="AG767" s="24"/>
      <c r="AH767" s="24"/>
      <c r="AI767" s="24"/>
      <c r="AJ767" s="16"/>
      <c r="AK767" s="34"/>
      <c r="AL767" s="364"/>
      <c r="AM767" s="34"/>
    </row>
    <row r="768" spans="1:39" ht="14.1" hidden="1" customHeight="1" outlineLevel="1" x14ac:dyDescent="0.2">
      <c r="A768" s="85"/>
      <c r="B768" s="186" t="s">
        <v>91</v>
      </c>
      <c r="C768" s="356" t="s">
        <v>0</v>
      </c>
      <c r="D768" s="190"/>
      <c r="E768" s="190"/>
      <c r="F768"/>
      <c r="G768" s="274">
        <f t="shared" ref="G768:H770" si="117">AG768</f>
        <v>0</v>
      </c>
      <c r="H768" s="274">
        <f t="shared" si="117"/>
        <v>42353</v>
      </c>
      <c r="I768" s="532"/>
      <c r="AB768" s="944"/>
      <c r="AC768" s="232">
        <v>1</v>
      </c>
      <c r="AD768" s="19"/>
      <c r="AE768" s="19"/>
      <c r="AF768" s="19"/>
      <c r="AG768" s="25">
        <f>S.6EQC.BEGIN</f>
        <v>0</v>
      </c>
      <c r="AH768" s="25">
        <f>WORKDAY(S.EQC.Meeting,-1,S.DDL_DEQClosed)</f>
        <v>42353</v>
      </c>
      <c r="AI768" s="24"/>
      <c r="AJ768" s="16"/>
      <c r="AK768" s="34"/>
      <c r="AL768" s="364"/>
      <c r="AM768" s="34"/>
    </row>
    <row r="769" spans="1:39" ht="14.1" hidden="1" customHeight="1" outlineLevel="1" x14ac:dyDescent="0.2">
      <c r="A769" s="85"/>
      <c r="B769" s="124" t="s">
        <v>93</v>
      </c>
      <c r="C769" s="164" t="s">
        <v>0</v>
      </c>
      <c r="D769" s="190"/>
      <c r="E769" s="190"/>
      <c r="F769"/>
      <c r="G769" s="274">
        <f t="shared" si="117"/>
        <v>0</v>
      </c>
      <c r="H769" s="274">
        <f t="shared" si="117"/>
        <v>42353</v>
      </c>
      <c r="I769" s="532"/>
      <c r="AB769" s="944" t="s">
        <v>0</v>
      </c>
      <c r="AC769" s="232">
        <v>1</v>
      </c>
      <c r="AD769" s="19"/>
      <c r="AE769" s="19"/>
      <c r="AF769" s="19"/>
      <c r="AG769" s="25">
        <f>S.6EQC.BEGIN</f>
        <v>0</v>
      </c>
      <c r="AH769" s="25">
        <f>S.EQC.Meeting-1</f>
        <v>42353</v>
      </c>
      <c r="AI769" s="24"/>
      <c r="AJ769" s="16"/>
      <c r="AK769" s="34"/>
      <c r="AL769" s="364"/>
      <c r="AM769" s="34"/>
    </row>
    <row r="770" spans="1:39" ht="14.1" hidden="1" customHeight="1" outlineLevel="1" x14ac:dyDescent="0.2">
      <c r="A770" s="85"/>
      <c r="B770" s="290" t="s">
        <v>92</v>
      </c>
      <c r="C770" s="151" t="s">
        <v>0</v>
      </c>
      <c r="D770" s="190"/>
      <c r="E770" s="190"/>
      <c r="F770"/>
      <c r="G770" s="274">
        <f t="shared" si="117"/>
        <v>0</v>
      </c>
      <c r="H770" s="274">
        <f t="shared" si="117"/>
        <v>42353</v>
      </c>
      <c r="I770" s="532"/>
      <c r="AB770" s="944"/>
      <c r="AC770" s="232">
        <v>1</v>
      </c>
      <c r="AD770" s="19"/>
      <c r="AE770" s="19"/>
      <c r="AF770" s="19"/>
      <c r="AG770" s="25">
        <f>S.6EQC.BEGIN</f>
        <v>0</v>
      </c>
      <c r="AH770" s="25">
        <f>S.EQC.Meeting-1</f>
        <v>42353</v>
      </c>
      <c r="AI770" s="24"/>
      <c r="AJ770" s="15"/>
      <c r="AK770" s="34"/>
      <c r="AL770" s="364"/>
      <c r="AM770" s="34"/>
    </row>
    <row r="771" spans="1:39" ht="14.1" hidden="1" customHeight="1" outlineLevel="1" x14ac:dyDescent="0.2">
      <c r="A771" s="85"/>
      <c r="B771" s="187" t="s">
        <v>70</v>
      </c>
      <c r="C771" s="204"/>
      <c r="D771" s="187"/>
      <c r="E771" s="187"/>
      <c r="F771"/>
      <c r="G771" s="275">
        <f>AG771</f>
        <v>0</v>
      </c>
      <c r="H771" s="276">
        <f>AH771</f>
        <v>42354</v>
      </c>
      <c r="I771" s="532"/>
      <c r="AB771" s="944"/>
      <c r="AC771" s="232">
        <v>1</v>
      </c>
      <c r="AD771" s="19"/>
      <c r="AE771" s="19"/>
      <c r="AF771" s="19"/>
      <c r="AG771" s="24"/>
      <c r="AH771" s="25">
        <f>S.EQC.Meeting</f>
        <v>42354</v>
      </c>
      <c r="AI771" s="24"/>
      <c r="AJ771" s="16"/>
      <c r="AK771" s="34"/>
      <c r="AL771" s="364"/>
      <c r="AM771" s="34"/>
    </row>
    <row r="772" spans="1:39" s="6" customFormat="1" ht="14.1" hidden="1" customHeight="1" outlineLevel="1" x14ac:dyDescent="0.2">
      <c r="A772" s="85"/>
      <c r="B772" s="128" t="str">
        <f>AB772</f>
        <v>ProgLead collects emails about EQC preparations for Rule Record and saves as:</v>
      </c>
      <c r="C772" s="327" t="str">
        <f>HYPERLINK("\\deqhq1\Rule_Development\Currrent Plan","i")</f>
        <v>i</v>
      </c>
      <c r="D772" s="174"/>
      <c r="E772" s="536"/>
      <c r="F772"/>
      <c r="G772"/>
      <c r="H772" s="337">
        <f>AH772</f>
        <v>42354</v>
      </c>
      <c r="I772" s="532"/>
      <c r="J772"/>
      <c r="K772"/>
      <c r="L772"/>
      <c r="M772"/>
      <c r="N772"/>
      <c r="O772"/>
      <c r="P772"/>
      <c r="Q772"/>
      <c r="R772"/>
      <c r="S772"/>
      <c r="T772"/>
      <c r="U772"/>
      <c r="X772"/>
      <c r="Y772" s="960"/>
      <c r="AB772" s="934" t="str">
        <f>S.Staff.Subject.Expert.FirstName&amp;" collects emails about EQC preparations for Rule Record and saves as:"</f>
        <v>ProgLead collects emails about EQC preparations for Rule Record and saves as:</v>
      </c>
      <c r="AC772" s="232">
        <v>1</v>
      </c>
      <c r="AD772" s="19"/>
      <c r="AE772" s="19"/>
      <c r="AF772" s="19"/>
      <c r="AG772" s="23"/>
      <c r="AH772" s="25">
        <f>S.EQC.Meeting</f>
        <v>42354</v>
      </c>
      <c r="AI772" s="24"/>
      <c r="AJ772" s="24"/>
      <c r="AK772" s="34"/>
      <c r="AL772" s="364"/>
      <c r="AM772" s="34"/>
    </row>
    <row r="773" spans="1:39" s="6" customFormat="1" ht="14.1" hidden="1" customHeight="1" outlineLevel="1" x14ac:dyDescent="0.2">
      <c r="A773" s="85"/>
      <c r="B773" s="159" t="s">
        <v>52</v>
      </c>
      <c r="C773" s="151"/>
      <c r="D773" s="160"/>
      <c r="E773" s="160"/>
      <c r="F773" s="145"/>
      <c r="G773" s="142"/>
      <c r="H773" s="142"/>
      <c r="I773" s="532"/>
      <c r="J773"/>
      <c r="K773"/>
      <c r="L773"/>
      <c r="M773"/>
      <c r="N773"/>
      <c r="O773"/>
      <c r="P773"/>
      <c r="Q773"/>
      <c r="R773"/>
      <c r="S773"/>
      <c r="T773"/>
      <c r="U773"/>
      <c r="X773"/>
      <c r="Y773" s="960"/>
      <c r="AB773" s="926" t="s">
        <v>0</v>
      </c>
      <c r="AC773" s="232">
        <v>1</v>
      </c>
      <c r="AD773" s="19"/>
      <c r="AE773" s="19"/>
      <c r="AF773" s="19"/>
      <c r="AG773" s="23"/>
      <c r="AH773" s="23"/>
      <c r="AI773" s="23"/>
      <c r="AJ773" s="16"/>
      <c r="AK773" s="34"/>
      <c r="AL773" s="364"/>
      <c r="AM773" s="34"/>
    </row>
    <row r="774" spans="1:39" ht="14.25" customHeight="1" collapsed="1" x14ac:dyDescent="0.2">
      <c r="A774" s="85"/>
      <c r="B774" s="129"/>
      <c r="C774" s="56"/>
      <c r="D774" s="55"/>
      <c r="E774" s="55"/>
      <c r="F774" s="57"/>
      <c r="G774" s="76"/>
      <c r="H774" s="72"/>
      <c r="I774" s="532"/>
      <c r="AB774" s="944"/>
      <c r="AC774" s="232" t="s">
        <v>0</v>
      </c>
      <c r="AD774" s="19"/>
      <c r="AE774" s="19"/>
      <c r="AF774" s="19"/>
      <c r="AG774" s="18"/>
      <c r="AH774" s="18"/>
      <c r="AI774" s="24"/>
      <c r="AJ774" s="16"/>
      <c r="AK774" s="34"/>
      <c r="AL774" s="364"/>
      <c r="AM774" s="34"/>
    </row>
    <row r="775" spans="1:39" s="6" customFormat="1" ht="18" customHeight="1" x14ac:dyDescent="0.3">
      <c r="A775" s="85"/>
      <c r="B775" s="1056" t="s">
        <v>73</v>
      </c>
      <c r="C775" s="1056"/>
      <c r="D775" s="1056"/>
      <c r="E775" s="1056"/>
      <c r="F775" s="1056"/>
      <c r="G775" s="1056"/>
      <c r="H775" s="1056"/>
      <c r="I775" s="532"/>
      <c r="J775"/>
      <c r="K775"/>
      <c r="L775"/>
      <c r="M775"/>
      <c r="N775"/>
      <c r="O775"/>
      <c r="P775"/>
      <c r="Q775"/>
      <c r="R775"/>
      <c r="S775"/>
      <c r="T775"/>
      <c r="U775"/>
      <c r="X775"/>
      <c r="Y775" s="960"/>
      <c r="AB775" s="926"/>
      <c r="AC775" s="232" t="s">
        <v>0</v>
      </c>
      <c r="AD775" s="19"/>
      <c r="AE775" s="19"/>
      <c r="AF775" s="19"/>
      <c r="AG775" s="24"/>
      <c r="AH775" s="24"/>
      <c r="AI775" s="24"/>
      <c r="AJ775" s="30"/>
      <c r="AK775" s="34"/>
      <c r="AL775" s="364"/>
      <c r="AM775" s="34"/>
    </row>
    <row r="776" spans="1:39" s="244" customFormat="1" ht="14.1" hidden="1" customHeight="1" outlineLevel="1" x14ac:dyDescent="0.2">
      <c r="A776" s="241"/>
      <c r="B776" s="702" t="str">
        <f>S.General.CodeName</f>
        <v>CodeName</v>
      </c>
      <c r="C776" s="242" t="s">
        <v>0</v>
      </c>
      <c r="D776" s="242"/>
      <c r="E776" s="242"/>
      <c r="F776" s="249"/>
      <c r="G776" s="243" t="s">
        <v>26</v>
      </c>
      <c r="H776" s="243" t="s">
        <v>57</v>
      </c>
      <c r="I776" s="532"/>
      <c r="J776"/>
      <c r="K776"/>
      <c r="L776"/>
      <c r="M776"/>
      <c r="N776"/>
      <c r="O776"/>
      <c r="P776"/>
      <c r="Q776"/>
      <c r="R776"/>
      <c r="S776"/>
      <c r="T776"/>
      <c r="U776"/>
      <c r="V776" s="6"/>
      <c r="W776" s="6"/>
      <c r="X776"/>
      <c r="Y776" s="960"/>
      <c r="Z776" s="6"/>
      <c r="AA776" s="6"/>
      <c r="AB776" s="939"/>
      <c r="AC776" s="246" t="s">
        <v>0</v>
      </c>
      <c r="AD776" s="19"/>
      <c r="AE776" s="19"/>
      <c r="AF776" s="979"/>
      <c r="AG776" s="245"/>
      <c r="AH776" s="245"/>
      <c r="AI776" s="247"/>
      <c r="AJ776" s="248"/>
      <c r="AK776" s="470"/>
      <c r="AL776" s="985"/>
      <c r="AM776" s="470"/>
    </row>
    <row r="777" spans="1:39" ht="14.1" hidden="1" customHeight="1" outlineLevel="1" x14ac:dyDescent="0.25">
      <c r="A777" s="85"/>
      <c r="B777" s="62"/>
      <c r="C777" s="77" t="s">
        <v>0</v>
      </c>
      <c r="D777" s="63"/>
      <c r="E777" s="63"/>
      <c r="F777" s="74"/>
      <c r="G777" s="104">
        <f>S.7PostEQC.BEGIN</f>
        <v>0</v>
      </c>
      <c r="H777" s="75">
        <f>S.7PostEQC.END</f>
        <v>0</v>
      </c>
      <c r="I777" s="532"/>
      <c r="AB777" s="944"/>
      <c r="AC777" s="232" t="s">
        <v>0</v>
      </c>
      <c r="AD777" s="19"/>
      <c r="AE777" s="19"/>
      <c r="AF777" s="19"/>
      <c r="AG777" s="245"/>
      <c r="AH777" s="245"/>
      <c r="AI777" s="24"/>
      <c r="AJ777" s="16"/>
      <c r="AK777" s="34"/>
      <c r="AL777" s="364"/>
      <c r="AM777" s="34"/>
    </row>
    <row r="778" spans="1:39" ht="6" hidden="1" customHeight="1" outlineLevel="1" x14ac:dyDescent="0.2">
      <c r="A778" s="85"/>
      <c r="B778" s="60"/>
      <c r="C778" s="52"/>
      <c r="D778" s="485"/>
      <c r="E778" s="485"/>
      <c r="F778" s="53"/>
      <c r="G778" s="52"/>
      <c r="H778" s="52"/>
      <c r="I778" s="532"/>
      <c r="AB778" s="944"/>
      <c r="AC778" s="232" t="s">
        <v>0</v>
      </c>
      <c r="AD778" s="19"/>
      <c r="AE778" s="19"/>
      <c r="AF778" s="19"/>
      <c r="AG778" s="18"/>
      <c r="AH778" s="18"/>
      <c r="AI778" s="24"/>
      <c r="AJ778" s="16"/>
      <c r="AK778" s="34"/>
      <c r="AL778" s="364"/>
      <c r="AM778" s="34"/>
    </row>
    <row r="779" spans="1:39" s="6" customFormat="1" ht="14.1" hidden="1" customHeight="1" outlineLevel="1" x14ac:dyDescent="0.2">
      <c r="A779" s="85"/>
      <c r="B779" s="349" t="s">
        <v>138</v>
      </c>
      <c r="C779" s="327" t="str">
        <f>HYPERLINK("\\deqhq1\Rule_Resources\i\0-VersionHistory.pdf","i")</f>
        <v>i</v>
      </c>
      <c r="D779" s="486"/>
      <c r="E779" s="486"/>
      <c r="F779" s="39"/>
      <c r="G779" s="38"/>
      <c r="H779" s="38"/>
      <c r="I779" s="532"/>
      <c r="J779"/>
      <c r="K779"/>
      <c r="L779"/>
      <c r="M779"/>
      <c r="N779"/>
      <c r="O779"/>
      <c r="P779"/>
      <c r="Q779"/>
      <c r="R779"/>
      <c r="S779"/>
      <c r="T779"/>
      <c r="U779"/>
      <c r="X779"/>
      <c r="Y779" s="960"/>
      <c r="AB779" s="929"/>
      <c r="AC779" s="233" t="s">
        <v>0</v>
      </c>
      <c r="AD779" s="19"/>
      <c r="AE779" s="19"/>
      <c r="AF779" s="19"/>
      <c r="AG779" s="18"/>
      <c r="AH779" s="18"/>
      <c r="AI779" s="31"/>
      <c r="AJ779" s="31"/>
      <c r="AK779" s="34"/>
      <c r="AL779" s="364"/>
      <c r="AM779" s="34"/>
    </row>
    <row r="780" spans="1:39" s="775" customFormat="1" ht="18.75" hidden="1" customHeight="1" outlineLevel="1" x14ac:dyDescent="0.2">
      <c r="A780" s="85"/>
      <c r="B780" s="334" t="s">
        <v>562</v>
      </c>
      <c r="C780" s="357" t="s">
        <v>0</v>
      </c>
      <c r="D780" s="189"/>
      <c r="E780" s="536"/>
      <c r="I780" s="532"/>
      <c r="Y780" s="960"/>
      <c r="AB780" s="934" t="str">
        <f>IF(S.Fee.DASApprovalRequired="Y","* submits Part 2 of signed DAS approval within 10 days of effective date",IF(S.Fee.Involved="Y","* prepares and emails DAS notification for fees that don't require approval","* no DAS involvement"))</f>
        <v>* no DAS involvement</v>
      </c>
      <c r="AC780" s="232">
        <v>1</v>
      </c>
      <c r="AD780" s="19"/>
      <c r="AE780" s="19"/>
      <c r="AF780" s="19"/>
      <c r="AG780" s="36"/>
      <c r="AH780" s="36"/>
      <c r="AI780" s="24"/>
      <c r="AJ780" s="24"/>
      <c r="AK780" s="34"/>
      <c r="AL780" s="364"/>
      <c r="AM780" s="34"/>
    </row>
    <row r="781" spans="1:39" s="917" customFormat="1" ht="14.1" hidden="1" customHeight="1" outlineLevel="1" x14ac:dyDescent="0.2">
      <c r="A781" s="85"/>
      <c r="B781" s="538" t="str">
        <f>AB781</f>
        <v>ProgLead saves following documents to 7.PostEQC folder on Rule_Develpment:</v>
      </c>
      <c r="C781" s="356"/>
      <c r="D781" s="363"/>
      <c r="E781" s="650"/>
      <c r="I781" s="532"/>
      <c r="Y781" s="960"/>
      <c r="AB781" s="936" t="str">
        <f>S.Staff.Subject.Expert.FirstName&amp;" saves following documents to 7.PostEQC folder on Rule_Develpment:"</f>
        <v>ProgLead saves following documents to 7.PostEQC folder on Rule_Develpment:</v>
      </c>
      <c r="AC781" s="232">
        <v>1</v>
      </c>
      <c r="AD781" s="19"/>
      <c r="AE781" s="19"/>
      <c r="AF781" s="19"/>
      <c r="AG781" s="36"/>
      <c r="AH781" s="36"/>
      <c r="AI781" s="24"/>
      <c r="AJ781" s="16"/>
      <c r="AK781" s="34"/>
      <c r="AL781" s="364"/>
      <c r="AM781" s="34"/>
    </row>
    <row r="782" spans="1:39" ht="14.1" hidden="1" customHeight="1" outlineLevel="1" x14ac:dyDescent="0.2">
      <c r="A782" s="85"/>
      <c r="B782" s="152" t="str">
        <f>AB782</f>
        <v>* gets documents as presented to EQC from StephanieC:</v>
      </c>
      <c r="C782" s="356" t="s">
        <v>0</v>
      </c>
      <c r="D782" s="189"/>
      <c r="E782" s="650"/>
      <c r="F782"/>
      <c r="G782"/>
      <c r="H782" s="140">
        <f t="shared" ref="H782" si="118">AH782</f>
        <v>0</v>
      </c>
      <c r="I782" s="532"/>
      <c r="AB782" s="936" t="str">
        <f>"* gets documents as presented to EQC from "&amp;S.Staff.EQCAssistant&amp;":"</f>
        <v>* gets documents as presented to EQC from StephanieC:</v>
      </c>
      <c r="AC782" s="232">
        <v>1</v>
      </c>
      <c r="AD782" s="19"/>
      <c r="AE782" s="19"/>
      <c r="AF782" s="19"/>
      <c r="AG782" s="36"/>
      <c r="AH782" s="25">
        <f t="shared" ref="AH782" si="119">S.7PostEQC.BEGIN</f>
        <v>0</v>
      </c>
      <c r="AI782" s="24"/>
      <c r="AJ782" s="16"/>
      <c r="AK782" s="34"/>
      <c r="AL782" s="364"/>
      <c r="AM782" s="34"/>
    </row>
    <row r="783" spans="1:39" s="767" customFormat="1" ht="14.1" hidden="1" customHeight="1" outlineLevel="1" x14ac:dyDescent="0.2">
      <c r="A783" s="85"/>
      <c r="B783" s="553" t="s">
        <v>687</v>
      </c>
      <c r="C783" s="356"/>
      <c r="D783" s="363"/>
      <c r="E783" s="650"/>
      <c r="H783" s="695"/>
      <c r="I783" s="532"/>
      <c r="Y783" s="960"/>
      <c r="AB783" s="955"/>
      <c r="AC783" s="232">
        <v>1</v>
      </c>
      <c r="AD783" s="19"/>
      <c r="AE783" s="19"/>
      <c r="AF783" s="19"/>
      <c r="AG783" s="36"/>
      <c r="AH783" s="36"/>
      <c r="AI783" s="24"/>
      <c r="AJ783" s="16"/>
      <c r="AK783" s="34"/>
      <c r="AL783" s="364"/>
      <c r="AM783" s="34"/>
    </row>
    <row r="784" spans="1:39" s="6" customFormat="1" ht="14.1" hidden="1" customHeight="1" outlineLevel="1" x14ac:dyDescent="0.2">
      <c r="A784" s="85"/>
      <c r="B784" s="553" t="s">
        <v>528</v>
      </c>
      <c r="C784" s="356" t="s">
        <v>0</v>
      </c>
      <c r="D784" s="363"/>
      <c r="E784" s="650"/>
      <c r="F784"/>
      <c r="G784"/>
      <c r="H784" s="353"/>
      <c r="I784" s="532"/>
      <c r="J784"/>
      <c r="K784"/>
      <c r="L784"/>
      <c r="M784"/>
      <c r="N784"/>
      <c r="O784"/>
      <c r="P784"/>
      <c r="Q784"/>
      <c r="R784"/>
      <c r="S784"/>
      <c r="T784"/>
      <c r="U784"/>
      <c r="X784"/>
      <c r="Y784" s="960"/>
      <c r="AB784" s="955"/>
      <c r="AC784" s="232">
        <v>1</v>
      </c>
      <c r="AD784" s="19"/>
      <c r="AE784" s="19"/>
      <c r="AF784" s="19"/>
      <c r="AG784" s="36"/>
      <c r="AH784" s="36"/>
      <c r="AI784" s="24"/>
      <c r="AJ784" s="16"/>
      <c r="AK784" s="34"/>
      <c r="AL784" s="364"/>
      <c r="AM784" s="34"/>
    </row>
    <row r="785" spans="1:39" s="775" customFormat="1" ht="14.1" hidden="1" customHeight="1" outlineLevel="1" x14ac:dyDescent="0.2">
      <c r="A785" s="85"/>
      <c r="B785" s="152" t="s">
        <v>688</v>
      </c>
      <c r="C785" s="356" t="s">
        <v>0</v>
      </c>
      <c r="D785" s="189"/>
      <c r="E785" s="650"/>
      <c r="H785" s="140">
        <f t="shared" ref="H785" si="120">AH785</f>
        <v>0</v>
      </c>
      <c r="I785" s="532"/>
      <c r="Y785" s="960"/>
      <c r="AB785" s="955"/>
      <c r="AC785" s="232">
        <v>1</v>
      </c>
      <c r="AD785" s="19"/>
      <c r="AE785" s="19"/>
      <c r="AF785" s="19"/>
      <c r="AG785" s="36"/>
      <c r="AH785" s="25">
        <f t="shared" ref="AH785" si="121">S.7PostEQC.BEGIN</f>
        <v>0</v>
      </c>
      <c r="AI785" s="24"/>
      <c r="AJ785" s="16"/>
      <c r="AK785" s="34"/>
      <c r="AL785" s="364"/>
      <c r="AM785" s="34"/>
    </row>
    <row r="786" spans="1:39" s="6" customFormat="1" ht="14.1" hidden="1" customHeight="1" outlineLevel="1" x14ac:dyDescent="0.2">
      <c r="A786" s="85"/>
      <c r="B786" s="447" t="s">
        <v>689</v>
      </c>
      <c r="C786" s="356" t="s">
        <v>0</v>
      </c>
      <c r="D786" s="363"/>
      <c r="E786" s="650"/>
      <c r="F786"/>
      <c r="G786"/>
      <c r="H786"/>
      <c r="I786" s="532"/>
      <c r="J786"/>
      <c r="K786"/>
      <c r="L786"/>
      <c r="M786"/>
      <c r="N786"/>
      <c r="O786"/>
      <c r="P786"/>
      <c r="Q786"/>
      <c r="R786"/>
      <c r="S786"/>
      <c r="T786"/>
      <c r="U786"/>
      <c r="X786"/>
      <c r="Y786" s="960"/>
      <c r="AB786" s="955"/>
      <c r="AC786" s="232">
        <v>1</v>
      </c>
      <c r="AD786" s="19"/>
      <c r="AE786" s="19"/>
      <c r="AF786" s="19"/>
      <c r="AG786" s="36"/>
      <c r="AH786" s="36"/>
      <c r="AI786" s="24"/>
      <c r="AJ786" s="16"/>
      <c r="AK786" s="34"/>
      <c r="AL786" s="364"/>
      <c r="AM786" s="34"/>
    </row>
    <row r="787" spans="1:39" s="775" customFormat="1" ht="14.1" hidden="1" customHeight="1" outlineLevel="1" x14ac:dyDescent="0.2">
      <c r="A787" s="85"/>
      <c r="B787" s="776" t="s">
        <v>566</v>
      </c>
      <c r="C787" s="356" t="s">
        <v>0</v>
      </c>
      <c r="D787" s="363"/>
      <c r="E787" s="650"/>
      <c r="I787" s="532"/>
      <c r="Y787" s="960"/>
      <c r="AB787" s="955"/>
      <c r="AC787" s="232">
        <v>1</v>
      </c>
      <c r="AD787" s="19"/>
      <c r="AE787" s="19"/>
      <c r="AF787" s="19"/>
      <c r="AG787" s="36"/>
      <c r="AH787" s="36"/>
      <c r="AI787" s="24"/>
      <c r="AJ787" s="16"/>
      <c r="AK787" s="34"/>
      <c r="AL787" s="364"/>
      <c r="AM787" s="34"/>
    </row>
    <row r="788" spans="1:39" s="775" customFormat="1" ht="14.1" hidden="1" customHeight="1" outlineLevel="1" x14ac:dyDescent="0.2">
      <c r="A788" s="85"/>
      <c r="B788" s="776" t="s">
        <v>690</v>
      </c>
      <c r="C788" s="356" t="s">
        <v>0</v>
      </c>
      <c r="D788" s="363"/>
      <c r="E788" s="650"/>
      <c r="I788" s="532"/>
      <c r="Y788" s="960"/>
      <c r="AB788" s="955"/>
      <c r="AC788" s="232">
        <v>1</v>
      </c>
      <c r="AD788" s="19"/>
      <c r="AE788" s="19"/>
      <c r="AF788" s="19"/>
      <c r="AG788" s="36"/>
      <c r="AH788" s="36"/>
      <c r="AI788" s="24"/>
      <c r="AJ788" s="16"/>
      <c r="AK788" s="34"/>
      <c r="AL788" s="364"/>
      <c r="AM788" s="34"/>
    </row>
    <row r="789" spans="1:39" s="6" customFormat="1" ht="14.1" hidden="1" customHeight="1" outlineLevel="1" x14ac:dyDescent="0.2">
      <c r="A789" s="85"/>
      <c r="B789" s="553" t="s">
        <v>136</v>
      </c>
      <c r="C789" s="356" t="s">
        <v>0</v>
      </c>
      <c r="D789" s="363"/>
      <c r="E789" s="650"/>
      <c r="F789"/>
      <c r="G789"/>
      <c r="H789"/>
      <c r="I789" s="532"/>
      <c r="J789"/>
      <c r="K789"/>
      <c r="L789"/>
      <c r="M789"/>
      <c r="N789"/>
      <c r="O789"/>
      <c r="P789"/>
      <c r="Q789"/>
      <c r="R789"/>
      <c r="S789"/>
      <c r="T789"/>
      <c r="U789"/>
      <c r="X789"/>
      <c r="Y789" s="960"/>
      <c r="AB789" s="955"/>
      <c r="AC789" s="232">
        <v>1</v>
      </c>
      <c r="AD789" s="19"/>
      <c r="AE789" s="19"/>
      <c r="AF789" s="19"/>
      <c r="AG789" s="36"/>
      <c r="AH789" s="36"/>
      <c r="AI789" s="24"/>
      <c r="AJ789" s="16"/>
      <c r="AK789" s="34"/>
      <c r="AL789" s="364"/>
      <c r="AM789" s="34"/>
    </row>
    <row r="790" spans="1:39" s="6" customFormat="1" ht="14.1" hidden="1" customHeight="1" outlineLevel="1" x14ac:dyDescent="0.2">
      <c r="A790" s="85"/>
      <c r="B790" s="553" t="s">
        <v>136</v>
      </c>
      <c r="C790" s="356" t="s">
        <v>0</v>
      </c>
      <c r="D790" s="363"/>
      <c r="E790" s="650"/>
      <c r="F790"/>
      <c r="G790"/>
      <c r="H790"/>
      <c r="I790" s="532"/>
      <c r="J790"/>
      <c r="K790"/>
      <c r="L790"/>
      <c r="M790"/>
      <c r="N790"/>
      <c r="O790"/>
      <c r="P790"/>
      <c r="Q790"/>
      <c r="R790"/>
      <c r="S790"/>
      <c r="T790"/>
      <c r="U790"/>
      <c r="X790"/>
      <c r="Y790" s="960"/>
      <c r="AB790" s="955"/>
      <c r="AC790" s="232">
        <v>1</v>
      </c>
      <c r="AD790" s="19"/>
      <c r="AE790" s="19"/>
      <c r="AF790" s="19"/>
      <c r="AG790" s="36"/>
      <c r="AH790" s="36"/>
      <c r="AI790" s="24"/>
      <c r="AJ790" s="16"/>
      <c r="AK790" s="34"/>
      <c r="AL790" s="364"/>
      <c r="AM790" s="34"/>
    </row>
    <row r="791" spans="1:39" s="6" customFormat="1" ht="14.1" hidden="1" customHeight="1" outlineLevel="1" x14ac:dyDescent="0.2">
      <c r="A791" s="85"/>
      <c r="B791" s="152" t="str">
        <f>AB791</f>
        <v>* coordinates EPA.SIP.SUBMITAL with AndreaG</v>
      </c>
      <c r="C791" s="356" t="s">
        <v>0</v>
      </c>
      <c r="D791" s="165"/>
      <c r="E791" s="536"/>
      <c r="F791"/>
      <c r="G791"/>
      <c r="H791" s="767"/>
      <c r="I791" s="532"/>
      <c r="J791"/>
      <c r="K791"/>
      <c r="L791"/>
      <c r="M791"/>
      <c r="N791"/>
      <c r="O791"/>
      <c r="P791"/>
      <c r="Q791"/>
      <c r="R791"/>
      <c r="S791"/>
      <c r="T791"/>
      <c r="U791"/>
      <c r="X791"/>
      <c r="Y791" s="960"/>
      <c r="AB791" s="936" t="str">
        <f>"* coordinates EPA.SIP.SUBMITAL with "&amp;S.Staff.SIPCo</f>
        <v>* coordinates EPA.SIP.SUBMITAL with AndreaG</v>
      </c>
      <c r="AC791" s="233">
        <f>IF(S.SIP.Involved="Y",1,0)</f>
        <v>1</v>
      </c>
      <c r="AD791" s="19"/>
      <c r="AE791" s="19"/>
      <c r="AF791" s="19"/>
      <c r="AG791" s="36"/>
      <c r="AH791" s="36"/>
      <c r="AI791" s="24"/>
      <c r="AJ791" s="24"/>
      <c r="AK791" s="34"/>
      <c r="AL791" s="364"/>
      <c r="AM791" s="34"/>
    </row>
    <row r="792" spans="1:39" s="767" customFormat="1" ht="14.1" hidden="1" customHeight="1" outlineLevel="1" x14ac:dyDescent="0.2">
      <c r="A792" s="85"/>
      <c r="B792" s="135"/>
      <c r="C792" s="188"/>
      <c r="D792" s="189"/>
      <c r="E792" s="651"/>
      <c r="H792" s="188"/>
      <c r="I792" s="532"/>
      <c r="Y792" s="960"/>
      <c r="AB792" s="944"/>
      <c r="AC792" s="232">
        <f>IF(S.Fee.Involved="Y",1,0)</f>
        <v>0</v>
      </c>
      <c r="AD792" s="19"/>
      <c r="AE792" s="19"/>
      <c r="AF792" s="19"/>
      <c r="AG792" s="33"/>
      <c r="AH792" s="33"/>
      <c r="AI792" s="24"/>
      <c r="AJ792" s="26"/>
      <c r="AK792" s="34"/>
      <c r="AL792" s="364"/>
      <c r="AM792" s="34"/>
    </row>
    <row r="793" spans="1:39" s="767" customFormat="1" ht="14.1" hidden="1" customHeight="1" outlineLevel="1" x14ac:dyDescent="0.2">
      <c r="A793" s="85"/>
      <c r="B793" s="334" t="s">
        <v>534</v>
      </c>
      <c r="C793" s="357" t="s">
        <v>0</v>
      </c>
      <c r="D793" s="189"/>
      <c r="E793" s="536"/>
      <c r="I793" s="532"/>
      <c r="Y793" s="960"/>
      <c r="AB793" s="934" t="str">
        <f>IF(S.Fee.DASApprovalRequired="Y","* submits Part 2 of signed DAS approval within 10 days of effective date",IF(S.Fee.Involved="Y","* prepares and emails DAS notification for fees that don't require approval","* no DAS involvement"))</f>
        <v>* no DAS involvement</v>
      </c>
      <c r="AC793" s="232">
        <f>IF(S.Fee.Involved="Y",1,0)</f>
        <v>0</v>
      </c>
      <c r="AD793" s="19"/>
      <c r="AE793" s="19"/>
      <c r="AF793" s="19"/>
      <c r="AG793" s="36"/>
      <c r="AH793" s="33"/>
      <c r="AI793" s="24"/>
      <c r="AJ793" s="24"/>
      <c r="AK793" s="34"/>
      <c r="AL793" s="364"/>
      <c r="AM793" s="34"/>
    </row>
    <row r="794" spans="1:39" s="6" customFormat="1" ht="14.1" hidden="1" customHeight="1" outlineLevel="1" x14ac:dyDescent="0.2">
      <c r="A794" s="85"/>
      <c r="B794" s="515" t="s">
        <v>538</v>
      </c>
      <c r="C794" s="182"/>
      <c r="D794" s="498"/>
      <c r="E794" s="498"/>
      <c r="F794" s="145"/>
      <c r="G794" s="142"/>
      <c r="H794" s="142"/>
      <c r="I794" s="532"/>
      <c r="J794"/>
      <c r="K794"/>
      <c r="L794"/>
      <c r="M794"/>
      <c r="N794"/>
      <c r="O794"/>
      <c r="P794"/>
      <c r="Q794"/>
      <c r="R794"/>
      <c r="S794"/>
      <c r="T794"/>
      <c r="U794"/>
      <c r="X794"/>
      <c r="Y794" s="960"/>
      <c r="AB794" s="944"/>
      <c r="AC794" s="232">
        <v>1</v>
      </c>
      <c r="AD794" s="19"/>
      <c r="AE794" s="19"/>
      <c r="AF794" s="19"/>
      <c r="AG794" s="18"/>
      <c r="AH794" s="18"/>
      <c r="AI794" s="18"/>
      <c r="AJ794" s="26"/>
      <c r="AK794" s="34"/>
      <c r="AL794" s="364"/>
      <c r="AM794" s="34"/>
    </row>
    <row r="795" spans="1:39" s="767" customFormat="1" ht="14.1" hidden="1" customHeight="1" outlineLevel="1" x14ac:dyDescent="0.2">
      <c r="A795" s="85"/>
      <c r="B795" s="768" t="s">
        <v>546</v>
      </c>
      <c r="C795" s="188"/>
      <c r="D795" s="515"/>
      <c r="E795" s="651"/>
      <c r="H795" s="142"/>
      <c r="I795" s="532"/>
      <c r="Y795" s="960"/>
      <c r="AB795" s="944"/>
      <c r="AC795" s="232">
        <v>1</v>
      </c>
      <c r="AD795" s="19"/>
      <c r="AE795" s="19"/>
      <c r="AF795" s="19"/>
      <c r="AG795" s="33"/>
      <c r="AH795" s="36"/>
      <c r="AI795" s="24"/>
      <c r="AJ795" s="26"/>
      <c r="AK795" s="34"/>
      <c r="AL795" s="364"/>
      <c r="AM795" s="34"/>
    </row>
    <row r="796" spans="1:39" ht="14.1" hidden="1" customHeight="1" outlineLevel="1" x14ac:dyDescent="0.2">
      <c r="A796" s="85"/>
      <c r="B796" s="136" t="str">
        <f>AB796</f>
        <v>Meyer:</v>
      </c>
      <c r="C796" s="182"/>
      <c r="D796" s="165"/>
      <c r="E796" s="536"/>
      <c r="F796" s="767"/>
      <c r="G796" s="767"/>
      <c r="H796" s="142"/>
      <c r="I796" s="532"/>
      <c r="AB796" s="934" t="str">
        <f>S.Staff.AgencyRulesCoordinator&amp;":"</f>
        <v>Meyer:</v>
      </c>
      <c r="AC796" s="232">
        <v>1</v>
      </c>
      <c r="AD796" s="19"/>
      <c r="AE796" s="19"/>
      <c r="AF796" s="19"/>
      <c r="AG796" s="18"/>
      <c r="AH796" s="36"/>
      <c r="AI796" s="24"/>
      <c r="AJ796" s="26"/>
      <c r="AK796" s="34"/>
      <c r="AL796" s="364"/>
      <c r="AM796" s="34"/>
    </row>
    <row r="797" spans="1:39" s="767" customFormat="1" ht="14.1" hidden="1" customHeight="1" outlineLevel="1" x14ac:dyDescent="0.2">
      <c r="A797" s="85"/>
      <c r="B797" s="134" t="s">
        <v>536</v>
      </c>
      <c r="C797" s="330" t="str">
        <f>HYPERLINK("http://arcweb.sos.state.or.us/pages/rules/resources/fileonline.html","i")</f>
        <v>i</v>
      </c>
      <c r="D797" s="228"/>
      <c r="E797" s="536"/>
      <c r="H797" s="142"/>
      <c r="I797" s="532"/>
      <c r="Y797" s="960"/>
      <c r="AB797" s="944"/>
      <c r="AC797" s="232">
        <v>1</v>
      </c>
      <c r="AD797" s="19"/>
      <c r="AE797" s="19"/>
      <c r="AF797" s="19"/>
      <c r="AG797" s="18"/>
      <c r="AH797" s="36"/>
      <c r="AI797" s="24"/>
      <c r="AJ797" s="26"/>
      <c r="AK797" s="34"/>
      <c r="AL797" s="364"/>
      <c r="AM797" s="34"/>
    </row>
    <row r="798" spans="1:39" s="767" customFormat="1" ht="14.1" hidden="1" customHeight="1" outlineLevel="1" x14ac:dyDescent="0.2">
      <c r="A798" s="85"/>
      <c r="B798" s="134" t="s">
        <v>537</v>
      </c>
      <c r="C798" s="182"/>
      <c r="D798" s="165"/>
      <c r="E798" s="536"/>
      <c r="H798" s="142"/>
      <c r="I798" s="532"/>
      <c r="Y798" s="960"/>
      <c r="AB798" s="944"/>
      <c r="AC798" s="232">
        <v>1</v>
      </c>
      <c r="AD798" s="19"/>
      <c r="AE798" s="19"/>
      <c r="AF798" s="19"/>
      <c r="AG798" s="18"/>
      <c r="AH798" s="36"/>
      <c r="AI798" s="24"/>
      <c r="AJ798" s="26"/>
      <c r="AK798" s="34"/>
      <c r="AL798" s="364"/>
      <c r="AM798" s="34"/>
    </row>
    <row r="799" spans="1:39" s="767" customFormat="1" ht="14.1" hidden="1" customHeight="1" outlineLevel="1" x14ac:dyDescent="0.2">
      <c r="A799" s="85"/>
      <c r="B799" s="134" t="s">
        <v>535</v>
      </c>
      <c r="C799" s="182"/>
      <c r="D799" s="165"/>
      <c r="E799" s="536"/>
      <c r="H799" s="142"/>
      <c r="I799" s="532"/>
      <c r="Y799" s="960"/>
      <c r="AB799" s="944"/>
      <c r="AC799" s="232">
        <v>1</v>
      </c>
      <c r="AD799" s="19"/>
      <c r="AE799" s="19"/>
      <c r="AF799" s="19"/>
      <c r="AG799" s="18"/>
      <c r="AH799" s="36" t="s">
        <v>603</v>
      </c>
      <c r="AI799" s="24"/>
      <c r="AJ799" s="26"/>
      <c r="AK799" s="34"/>
      <c r="AL799" s="364"/>
      <c r="AM799" s="34"/>
    </row>
    <row r="800" spans="1:39" s="767" customFormat="1" ht="14.1" hidden="1" customHeight="1" outlineLevel="1" x14ac:dyDescent="0.2">
      <c r="A800" s="85"/>
      <c r="B800" s="785" t="s">
        <v>567</v>
      </c>
      <c r="C800" s="356" t="s">
        <v>0</v>
      </c>
      <c r="D800" s="363"/>
      <c r="E800" s="650"/>
      <c r="I800" s="532"/>
      <c r="Y800" s="960"/>
      <c r="AB800" s="955"/>
      <c r="AC800" s="232">
        <v>1</v>
      </c>
      <c r="AD800" s="19"/>
      <c r="AE800" s="19"/>
      <c r="AF800" s="19"/>
      <c r="AG800" s="36"/>
      <c r="AH800" s="36"/>
      <c r="AI800" s="24"/>
      <c r="AJ800" s="16"/>
      <c r="AK800" s="34"/>
      <c r="AL800" s="364"/>
      <c r="AM800" s="34"/>
    </row>
    <row r="801" spans="1:39" s="767" customFormat="1" ht="14.1" hidden="1" customHeight="1" outlineLevel="1" x14ac:dyDescent="0.2">
      <c r="A801" s="85"/>
      <c r="B801" s="785" t="s">
        <v>530</v>
      </c>
      <c r="C801" s="356" t="s">
        <v>0</v>
      </c>
      <c r="D801" s="363"/>
      <c r="E801" s="650"/>
      <c r="I801" s="532"/>
      <c r="Y801" s="960"/>
      <c r="AB801" s="955"/>
      <c r="AC801" s="232">
        <v>1</v>
      </c>
      <c r="AD801" s="19"/>
      <c r="AE801" s="19"/>
      <c r="AF801" s="19"/>
      <c r="AG801" s="36"/>
      <c r="AH801" s="36"/>
      <c r="AI801" s="24"/>
      <c r="AJ801" s="16"/>
      <c r="AK801" s="34"/>
      <c r="AL801" s="364"/>
      <c r="AM801" s="34"/>
    </row>
    <row r="802" spans="1:39" s="767" customFormat="1" ht="14.1" hidden="1" customHeight="1" outlineLevel="1" x14ac:dyDescent="0.2">
      <c r="A802" s="85"/>
      <c r="B802" s="785" t="s">
        <v>531</v>
      </c>
      <c r="C802" s="356" t="s">
        <v>0</v>
      </c>
      <c r="D802" s="363"/>
      <c r="E802" s="650"/>
      <c r="I802" s="532"/>
      <c r="Y802" s="960"/>
      <c r="AB802" s="955"/>
      <c r="AC802" s="232">
        <v>1</v>
      </c>
      <c r="AD802" s="19"/>
      <c r="AE802" s="19"/>
      <c r="AF802" s="19"/>
      <c r="AG802" s="36"/>
      <c r="AH802" s="36"/>
      <c r="AI802" s="24"/>
      <c r="AJ802" s="16"/>
      <c r="AK802" s="34"/>
      <c r="AL802" s="364"/>
      <c r="AM802" s="34"/>
    </row>
    <row r="803" spans="1:39" s="767" customFormat="1" ht="14.1" hidden="1" customHeight="1" outlineLevel="1" x14ac:dyDescent="0.2">
      <c r="A803" s="85"/>
      <c r="B803" s="134" t="s">
        <v>532</v>
      </c>
      <c r="C803" s="356" t="s">
        <v>0</v>
      </c>
      <c r="D803" s="165"/>
      <c r="E803" s="536"/>
      <c r="H803" s="142"/>
      <c r="I803" s="532"/>
      <c r="Y803" s="960"/>
      <c r="AB803" s="944"/>
      <c r="AC803" s="232">
        <v>1</v>
      </c>
      <c r="AD803" s="19"/>
      <c r="AE803" s="19"/>
      <c r="AF803" s="19"/>
      <c r="AG803" s="18"/>
      <c r="AH803" s="36"/>
      <c r="AI803" s="24"/>
      <c r="AJ803" s="26"/>
      <c r="AK803" s="34"/>
      <c r="AL803" s="364"/>
      <c r="AM803" s="34"/>
    </row>
    <row r="804" spans="1:39" s="767" customFormat="1" ht="14.1" hidden="1" customHeight="1" outlineLevel="1" x14ac:dyDescent="0.2">
      <c r="A804" s="85"/>
      <c r="B804" s="134" t="s">
        <v>529</v>
      </c>
      <c r="C804" s="356" t="s">
        <v>0</v>
      </c>
      <c r="D804" s="165"/>
      <c r="E804" s="536"/>
      <c r="F804" s="1054" t="s">
        <v>540</v>
      </c>
      <c r="G804" s="1055"/>
      <c r="H804" s="146">
        <f t="shared" ref="H804" si="122">AH804</f>
        <v>42356</v>
      </c>
      <c r="I804" s="532"/>
      <c r="Y804" s="960"/>
      <c r="AB804" s="944"/>
      <c r="AC804" s="232">
        <v>1</v>
      </c>
      <c r="AD804" s="19"/>
      <c r="AE804" s="19"/>
      <c r="AF804" s="19"/>
      <c r="AG804" s="18"/>
      <c r="AH804" s="25">
        <f>S.PostEQC.FileRuleWithSOS</f>
        <v>42356</v>
      </c>
      <c r="AI804" s="24"/>
      <c r="AJ804" s="26"/>
      <c r="AK804" s="34"/>
      <c r="AL804" s="364"/>
      <c r="AM804" s="34"/>
    </row>
    <row r="805" spans="1:39" s="6" customFormat="1" ht="14.1" hidden="1" customHeight="1" outlineLevel="1" x14ac:dyDescent="0.2">
      <c r="A805" s="85"/>
      <c r="B805" s="192"/>
      <c r="C805" s="204"/>
      <c r="D805" s="188"/>
      <c r="E805" s="536"/>
      <c r="F805" s="1054" t="s">
        <v>539</v>
      </c>
      <c r="G805" s="1055"/>
      <c r="H805" s="146">
        <f>AH805</f>
        <v>42356</v>
      </c>
      <c r="I805" s="532"/>
      <c r="J805"/>
      <c r="K805"/>
      <c r="L805"/>
      <c r="M805"/>
      <c r="N805"/>
      <c r="O805"/>
      <c r="P805"/>
      <c r="Q805"/>
      <c r="R805"/>
      <c r="S805"/>
      <c r="T805"/>
      <c r="U805"/>
      <c r="X805"/>
      <c r="Y805" s="960"/>
      <c r="AB805" s="944"/>
      <c r="AC805" s="232">
        <v>1</v>
      </c>
      <c r="AD805" s="19"/>
      <c r="AE805" s="19"/>
      <c r="AF805" s="19"/>
      <c r="AG805" s="33"/>
      <c r="AH805" s="25">
        <f>S.PostEQC.RuleEffective</f>
        <v>42356</v>
      </c>
      <c r="AI805" s="24"/>
      <c r="AJ805" s="24"/>
      <c r="AK805" s="34"/>
      <c r="AL805" s="364"/>
      <c r="AM805" s="34"/>
    </row>
    <row r="806" spans="1:39" s="767" customFormat="1" ht="14.1" hidden="1" customHeight="1" outlineLevel="1" x14ac:dyDescent="0.2">
      <c r="A806" s="85"/>
      <c r="B806" s="134" t="s">
        <v>541</v>
      </c>
      <c r="C806" s="356" t="s">
        <v>0</v>
      </c>
      <c r="D806" s="165"/>
      <c r="E806" s="536"/>
      <c r="H806" s="142"/>
      <c r="I806" s="532"/>
      <c r="Y806" s="960"/>
      <c r="AB806" s="944"/>
      <c r="AC806" s="232">
        <v>1</v>
      </c>
      <c r="AD806" s="19"/>
      <c r="AE806" s="19"/>
      <c r="AF806" s="19"/>
      <c r="AG806" s="18"/>
      <c r="AH806" s="36"/>
      <c r="AI806" s="24"/>
      <c r="AJ806" s="26"/>
      <c r="AK806" s="34"/>
      <c r="AL806" s="364"/>
      <c r="AM806" s="34"/>
    </row>
    <row r="807" spans="1:39" s="767" customFormat="1" ht="14.1" hidden="1" customHeight="1" outlineLevel="1" x14ac:dyDescent="0.2">
      <c r="A807" s="85"/>
      <c r="B807" s="134" t="s">
        <v>691</v>
      </c>
      <c r="C807" s="356"/>
      <c r="D807" s="165"/>
      <c r="E807" s="536"/>
      <c r="H807" s="142"/>
      <c r="I807" s="532"/>
      <c r="Y807" s="960"/>
      <c r="AB807" s="944"/>
      <c r="AC807" s="232">
        <v>1</v>
      </c>
      <c r="AD807" s="19"/>
      <c r="AE807" s="19"/>
      <c r="AF807" s="19"/>
      <c r="AG807" s="18"/>
      <c r="AH807" s="36"/>
      <c r="AI807" s="24"/>
      <c r="AJ807" s="26"/>
      <c r="AK807" s="34"/>
      <c r="AL807" s="364"/>
      <c r="AM807" s="34"/>
    </row>
    <row r="808" spans="1:39" s="767" customFormat="1" ht="14.1" hidden="1" customHeight="1" outlineLevel="1" x14ac:dyDescent="0.2">
      <c r="A808" s="85"/>
      <c r="B808" s="134" t="s">
        <v>693</v>
      </c>
      <c r="C808" s="356" t="s">
        <v>0</v>
      </c>
      <c r="D808" s="165"/>
      <c r="E808" s="536"/>
      <c r="H808" s="142"/>
      <c r="I808" s="532"/>
      <c r="Y808" s="960"/>
      <c r="AB808" s="944"/>
      <c r="AC808" s="232">
        <v>1</v>
      </c>
      <c r="AD808" s="19"/>
      <c r="AE808" s="19"/>
      <c r="AF808" s="19"/>
      <c r="AG808" s="18"/>
      <c r="AH808" s="36"/>
      <c r="AI808" s="24"/>
      <c r="AJ808" s="26"/>
      <c r="AK808" s="34"/>
      <c r="AL808" s="364"/>
      <c r="AM808" s="34"/>
    </row>
    <row r="809" spans="1:39" s="767" customFormat="1" ht="14.1" hidden="1" customHeight="1" outlineLevel="1" x14ac:dyDescent="0.2">
      <c r="A809" s="85"/>
      <c r="B809" s="184" t="s">
        <v>692</v>
      </c>
      <c r="C809" s="188"/>
      <c r="D809" s="165"/>
      <c r="E809" s="189"/>
      <c r="F809" s="145"/>
      <c r="G809" s="188"/>
      <c r="H809" s="188"/>
      <c r="I809" s="532"/>
      <c r="Y809" s="960"/>
      <c r="AB809" s="936" t="str">
        <f>S.Staff.AgencyRulesCoordinator&amp;" moves folders on shared drive after EQC approval:"</f>
        <v>Meyer moves folders on shared drive after EQC approval:</v>
      </c>
      <c r="AC809" s="232">
        <v>1</v>
      </c>
      <c r="AD809" s="19"/>
      <c r="AE809" s="19"/>
      <c r="AF809" s="19"/>
      <c r="AG809" s="36"/>
      <c r="AH809" s="36"/>
      <c r="AI809" s="24"/>
      <c r="AJ809" s="89"/>
      <c r="AK809" s="34"/>
      <c r="AL809" s="364"/>
      <c r="AM809" s="34"/>
    </row>
    <row r="810" spans="1:39" s="767" customFormat="1" ht="14.1" hidden="1" customHeight="1" outlineLevel="1" x14ac:dyDescent="0.2">
      <c r="A810" s="85"/>
      <c r="B810" s="325" t="s">
        <v>548</v>
      </c>
      <c r="C810" s="327" t="str">
        <f>HYPERLINK("\\deqhq1\Rule_Development\Currrent","i")</f>
        <v>i</v>
      </c>
      <c r="D810" s="189"/>
      <c r="E810" s="189"/>
      <c r="F810" s="145"/>
      <c r="G810" s="188"/>
      <c r="H810" s="188"/>
      <c r="I810" s="532"/>
      <c r="Y810" s="960"/>
      <c r="AB810" s="929"/>
      <c r="AC810" s="232">
        <v>1</v>
      </c>
      <c r="AD810" s="19"/>
      <c r="AE810" s="19"/>
      <c r="AF810" s="19"/>
      <c r="AG810" s="36"/>
      <c r="AH810" s="36"/>
      <c r="AI810" s="24"/>
      <c r="AJ810" s="89"/>
      <c r="AK810" s="34"/>
      <c r="AL810" s="364"/>
      <c r="AM810" s="34"/>
    </row>
    <row r="811" spans="1:39" s="767" customFormat="1" ht="14.1" hidden="1" customHeight="1" outlineLevel="1" x14ac:dyDescent="0.2">
      <c r="A811" s="85"/>
      <c r="B811" s="325" t="s">
        <v>549</v>
      </c>
      <c r="C811" s="327" t="str">
        <f>HYPERLINK("\\deqhq1\Rule_Development\Filed","i")</f>
        <v>i</v>
      </c>
      <c r="D811" s="189"/>
      <c r="E811" s="189"/>
      <c r="F811" s="145"/>
      <c r="G811" s="188"/>
      <c r="H811" s="188"/>
      <c r="I811" s="532"/>
      <c r="Y811" s="960"/>
      <c r="AB811" s="929"/>
      <c r="AC811" s="232">
        <v>1</v>
      </c>
      <c r="AD811" s="19"/>
      <c r="AE811" s="19"/>
      <c r="AF811" s="19"/>
      <c r="AG811" s="36"/>
      <c r="AH811" s="36"/>
      <c r="AI811" s="24"/>
      <c r="AJ811" s="89"/>
      <c r="AK811" s="34"/>
      <c r="AL811" s="364"/>
      <c r="AM811" s="34"/>
    </row>
    <row r="812" spans="1:39" s="767" customFormat="1" ht="14.1" hidden="1" customHeight="1" outlineLevel="1" x14ac:dyDescent="0.2">
      <c r="A812" s="85"/>
      <c r="B812" s="135"/>
      <c r="C812" s="188"/>
      <c r="D812" s="515"/>
      <c r="E812" s="651"/>
      <c r="H812" s="188"/>
      <c r="I812" s="532"/>
      <c r="Y812" s="960"/>
      <c r="AB812" s="944"/>
      <c r="AC812" s="232">
        <f>IF(S.Fee.Involved="Y",1,0)</f>
        <v>0</v>
      </c>
      <c r="AD812" s="19"/>
      <c r="AE812" s="19"/>
      <c r="AF812" s="19"/>
      <c r="AG812" s="33"/>
      <c r="AH812" s="33"/>
      <c r="AI812" s="24"/>
      <c r="AJ812" s="26"/>
      <c r="AK812" s="34"/>
      <c r="AL812" s="364"/>
      <c r="AM812" s="34"/>
    </row>
    <row r="813" spans="1:39" s="767" customFormat="1" ht="14.1" hidden="1" customHeight="1" outlineLevel="1" x14ac:dyDescent="0.2">
      <c r="A813" s="85"/>
      <c r="B813" s="784" t="s">
        <v>554</v>
      </c>
      <c r="C813" s="357" t="s">
        <v>0</v>
      </c>
      <c r="D813" s="515"/>
      <c r="E813" s="536"/>
      <c r="I813" s="532"/>
      <c r="Y813" s="960"/>
      <c r="AB813" s="934" t="str">
        <f>IF(S.Fee.DASApprovalRequired="Y","* submits Part 2 of signed DAS approval within 10 days of effective date",IF(S.Fee.Involved="Y","* prepares and emails DAS notification for fees that don't require approval","* no DAS involvement"))</f>
        <v>* no DAS involvement</v>
      </c>
      <c r="AC813" s="232">
        <f>IF(S.Fee.Involved="Y",1,0)</f>
        <v>0</v>
      </c>
      <c r="AD813" s="19"/>
      <c r="AE813" s="19"/>
      <c r="AF813" s="19"/>
      <c r="AG813" s="36"/>
      <c r="AH813" s="33"/>
      <c r="AI813" s="24"/>
      <c r="AJ813" s="24"/>
      <c r="AK813" s="34"/>
      <c r="AL813" s="364"/>
      <c r="AM813" s="34"/>
    </row>
    <row r="814" spans="1:39" s="767" customFormat="1" ht="14.1" hidden="1" customHeight="1" outlineLevel="1" x14ac:dyDescent="0.2">
      <c r="A814" s="85"/>
      <c r="B814" s="768" t="s">
        <v>542</v>
      </c>
      <c r="C814" s="188"/>
      <c r="D814" s="515"/>
      <c r="E814" s="651"/>
      <c r="H814" s="142"/>
      <c r="I814" s="532"/>
      <c r="Y814" s="960"/>
      <c r="AB814" s="944"/>
      <c r="AC814" s="232">
        <v>1</v>
      </c>
      <c r="AD814" s="19"/>
      <c r="AE814" s="19"/>
      <c r="AF814" s="19"/>
      <c r="AG814" s="33"/>
      <c r="AH814" s="36"/>
      <c r="AI814" s="24"/>
      <c r="AJ814" s="26"/>
      <c r="AK814" s="34"/>
      <c r="AL814" s="364"/>
      <c r="AM814" s="34"/>
    </row>
    <row r="815" spans="1:39" s="767" customFormat="1" ht="16.5" hidden="1" customHeight="1" outlineLevel="1" x14ac:dyDescent="0.2">
      <c r="A815" s="85"/>
      <c r="B815" s="768" t="s">
        <v>533</v>
      </c>
      <c r="C815" s="188"/>
      <c r="D815" s="515"/>
      <c r="E815" s="651"/>
      <c r="H815" s="142"/>
      <c r="I815" s="532"/>
      <c r="Y815" s="960"/>
      <c r="AB815" s="944"/>
      <c r="AC815" s="232">
        <v>1</v>
      </c>
      <c r="AD815" s="19"/>
      <c r="AE815" s="19"/>
      <c r="AF815" s="19"/>
      <c r="AG815" s="33"/>
      <c r="AH815" s="36"/>
      <c r="AI815" s="24"/>
      <c r="AJ815" s="26"/>
      <c r="AK815" s="34"/>
      <c r="AL815" s="364"/>
      <c r="AM815" s="34"/>
    </row>
    <row r="816" spans="1:39" s="767" customFormat="1" ht="14.1" hidden="1" customHeight="1" outlineLevel="1" x14ac:dyDescent="0.2">
      <c r="A816" s="85"/>
      <c r="B816" s="136" t="str">
        <f>AB816</f>
        <v>Meyer:</v>
      </c>
      <c r="C816" s="182"/>
      <c r="D816" s="515"/>
      <c r="E816" s="536"/>
      <c r="H816" s="142"/>
      <c r="I816" s="532"/>
      <c r="Y816" s="960"/>
      <c r="AB816" s="934" t="str">
        <f>S.Staff.AgencyRulesCoordinator&amp;":"</f>
        <v>Meyer:</v>
      </c>
      <c r="AC816" s="232">
        <v>1</v>
      </c>
      <c r="AD816" s="19"/>
      <c r="AE816" s="19"/>
      <c r="AF816" s="19"/>
      <c r="AG816" s="18"/>
      <c r="AH816" s="36"/>
      <c r="AI816" s="24"/>
      <c r="AJ816" s="26"/>
      <c r="AK816" s="34"/>
      <c r="AL816" s="364"/>
      <c r="AM816" s="34"/>
    </row>
    <row r="817" spans="1:39" s="767" customFormat="1" ht="14.1" hidden="1" customHeight="1" outlineLevel="1" x14ac:dyDescent="0.2">
      <c r="A817" s="85"/>
      <c r="B817" s="135" t="s">
        <v>695</v>
      </c>
      <c r="C817" s="188"/>
      <c r="D817" s="516"/>
      <c r="E817" s="651"/>
      <c r="H817" s="142"/>
      <c r="I817" s="532"/>
      <c r="Y817" s="960"/>
      <c r="AB817" s="944"/>
      <c r="AC817" s="232">
        <v>1</v>
      </c>
      <c r="AD817" s="19"/>
      <c r="AE817" s="19"/>
      <c r="AF817" s="19"/>
      <c r="AG817" s="33"/>
      <c r="AH817" s="36"/>
      <c r="AI817" s="24"/>
      <c r="AJ817" s="26"/>
      <c r="AK817" s="34"/>
      <c r="AL817" s="364"/>
      <c r="AM817" s="34"/>
    </row>
    <row r="818" spans="1:39" s="767" customFormat="1" ht="14.1" hidden="1" customHeight="1" outlineLevel="1" x14ac:dyDescent="0.2">
      <c r="A818" s="85"/>
      <c r="B818" s="913" t="s">
        <v>703</v>
      </c>
      <c r="C818" s="188"/>
      <c r="D818" s="515"/>
      <c r="E818" s="515"/>
      <c r="F818" s="145"/>
      <c r="G818" s="188"/>
      <c r="H818" s="188"/>
      <c r="I818" s="532"/>
      <c r="Y818" s="960"/>
      <c r="AB818" s="929"/>
      <c r="AC818" s="232">
        <v>1</v>
      </c>
      <c r="AD818" s="19"/>
      <c r="AE818" s="19"/>
      <c r="AF818" s="19"/>
      <c r="AG818" s="33"/>
      <c r="AH818" s="33"/>
      <c r="AI818" s="24"/>
      <c r="AJ818" s="26"/>
      <c r="AK818" s="34"/>
      <c r="AL818" s="364"/>
      <c r="AM818" s="34"/>
    </row>
    <row r="819" spans="1:39" s="6" customFormat="1" ht="14.1" hidden="1" customHeight="1" outlineLevel="1" x14ac:dyDescent="0.2">
      <c r="A819" s="85"/>
      <c r="B819" s="553" t="s">
        <v>694</v>
      </c>
      <c r="C819" s="188"/>
      <c r="D819" s="515"/>
      <c r="E819" s="515"/>
      <c r="F819" s="145"/>
      <c r="G819" s="188"/>
      <c r="H819" s="188"/>
      <c r="I819" s="532"/>
      <c r="J819"/>
      <c r="K819"/>
      <c r="L819"/>
      <c r="M819"/>
      <c r="N819"/>
      <c r="O819"/>
      <c r="P819"/>
      <c r="Q819"/>
      <c r="R819"/>
      <c r="S819"/>
      <c r="T819"/>
      <c r="U819"/>
      <c r="X819"/>
      <c r="Y819" s="960"/>
      <c r="AB819" s="929"/>
      <c r="AC819" s="232">
        <v>1</v>
      </c>
      <c r="AD819" s="19"/>
      <c r="AE819" s="19"/>
      <c r="AF819" s="19"/>
      <c r="AG819" s="33"/>
      <c r="AH819" s="33"/>
      <c r="AI819" s="24"/>
      <c r="AJ819" s="26"/>
      <c r="AK819" s="34"/>
      <c r="AL819" s="364"/>
      <c r="AM819" s="34"/>
    </row>
    <row r="820" spans="1:39" s="6" customFormat="1" ht="14.1" hidden="1" customHeight="1" outlineLevel="1" x14ac:dyDescent="0.2">
      <c r="A820" s="85"/>
      <c r="B820" s="553" t="s">
        <v>71</v>
      </c>
      <c r="C820" s="188"/>
      <c r="D820" s="515"/>
      <c r="E820" s="515"/>
      <c r="F820" s="145"/>
      <c r="G820" s="188"/>
      <c r="H820" s="188"/>
      <c r="I820" s="532"/>
      <c r="J820"/>
      <c r="K820"/>
      <c r="L820"/>
      <c r="M820"/>
      <c r="N820"/>
      <c r="O820"/>
      <c r="P820"/>
      <c r="Q820"/>
      <c r="R820"/>
      <c r="S820"/>
      <c r="T820"/>
      <c r="U820"/>
      <c r="X820"/>
      <c r="Y820" s="960"/>
      <c r="AB820" s="929"/>
      <c r="AC820" s="232">
        <v>1</v>
      </c>
      <c r="AD820" s="19"/>
      <c r="AE820" s="19"/>
      <c r="AF820" s="19"/>
      <c r="AG820" s="33"/>
      <c r="AH820" s="33"/>
      <c r="AI820" s="24"/>
      <c r="AJ820" s="26"/>
      <c r="AK820" s="34"/>
      <c r="AL820" s="364"/>
      <c r="AM820" s="34"/>
    </row>
    <row r="821" spans="1:39" s="6" customFormat="1" ht="14.1" hidden="1" customHeight="1" outlineLevel="1" x14ac:dyDescent="0.2">
      <c r="A821" s="85"/>
      <c r="B821" s="786" t="s">
        <v>72</v>
      </c>
      <c r="C821" s="188"/>
      <c r="D821" s="515"/>
      <c r="E821" s="515"/>
      <c r="F821" s="145"/>
      <c r="G821" s="188"/>
      <c r="H821" s="188"/>
      <c r="I821" s="532"/>
      <c r="J821"/>
      <c r="K821"/>
      <c r="L821"/>
      <c r="M821"/>
      <c r="N821"/>
      <c r="O821"/>
      <c r="P821"/>
      <c r="Q821"/>
      <c r="R821"/>
      <c r="S821"/>
      <c r="T821"/>
      <c r="U821"/>
      <c r="X821"/>
      <c r="Y821" s="960"/>
      <c r="AB821" s="929"/>
      <c r="AC821" s="232">
        <v>1</v>
      </c>
      <c r="AD821" s="19"/>
      <c r="AE821" s="19"/>
      <c r="AF821" s="19"/>
      <c r="AG821" s="33"/>
      <c r="AH821" s="33"/>
      <c r="AI821" s="24"/>
      <c r="AJ821" s="26"/>
      <c r="AK821" s="34"/>
      <c r="AL821" s="364"/>
      <c r="AM821" s="34"/>
    </row>
    <row r="822" spans="1:39" s="917" customFormat="1" ht="14.1" hidden="1" customHeight="1" outlineLevel="1" x14ac:dyDescent="0.2">
      <c r="A822" s="85"/>
      <c r="B822" s="135" t="s">
        <v>704</v>
      </c>
      <c r="C822" s="188"/>
      <c r="D822" s="516"/>
      <c r="E822" s="515"/>
      <c r="F822" s="145"/>
      <c r="G822" s="188"/>
      <c r="H822" s="188"/>
      <c r="I822" s="532"/>
      <c r="Y822" s="960"/>
      <c r="AB822" s="929"/>
      <c r="AC822" s="232">
        <v>1</v>
      </c>
      <c r="AD822" s="19"/>
      <c r="AE822" s="19"/>
      <c r="AF822" s="19"/>
      <c r="AG822" s="33"/>
      <c r="AH822" s="33"/>
      <c r="AI822" s="24"/>
      <c r="AJ822" s="26"/>
      <c r="AK822" s="34"/>
      <c r="AL822" s="364"/>
      <c r="AM822" s="34"/>
    </row>
    <row r="823" spans="1:39" s="767" customFormat="1" ht="14.1" hidden="1" customHeight="1" outlineLevel="1" x14ac:dyDescent="0.2">
      <c r="A823" s="85"/>
      <c r="B823" s="135" t="s">
        <v>696</v>
      </c>
      <c r="C823" s="188"/>
      <c r="D823" s="516"/>
      <c r="E823" s="515"/>
      <c r="F823" s="145"/>
      <c r="G823" s="188"/>
      <c r="H823" s="188"/>
      <c r="I823" s="532"/>
      <c r="Y823" s="960"/>
      <c r="AB823" s="929"/>
      <c r="AC823" s="232">
        <v>1</v>
      </c>
      <c r="AD823" s="19"/>
      <c r="AE823" s="19"/>
      <c r="AF823" s="19"/>
      <c r="AG823" s="33"/>
      <c r="AH823" s="33"/>
      <c r="AI823" s="24"/>
      <c r="AJ823" s="26"/>
      <c r="AK823" s="34"/>
      <c r="AL823" s="364"/>
      <c r="AM823" s="34"/>
    </row>
    <row r="824" spans="1:39" s="6" customFormat="1" ht="14.1" hidden="1" customHeight="1" outlineLevel="1" x14ac:dyDescent="0.2">
      <c r="A824" s="85"/>
      <c r="B824" s="134" t="s">
        <v>543</v>
      </c>
      <c r="C824" s="330" t="str">
        <f>HYPERLINK("http://www.lc.state.or.us/arrs.htm","i")</f>
        <v>i</v>
      </c>
      <c r="D824" s="514"/>
      <c r="E824" s="651"/>
      <c r="F824"/>
      <c r="G824"/>
      <c r="H824" s="143">
        <f t="shared" ref="H824" si="123">AH824</f>
        <v>42356</v>
      </c>
      <c r="I824" s="532"/>
      <c r="J824"/>
      <c r="K824"/>
      <c r="L824"/>
      <c r="M824"/>
      <c r="N824"/>
      <c r="O824"/>
      <c r="P824"/>
      <c r="Q824"/>
      <c r="R824"/>
      <c r="S824"/>
      <c r="T824"/>
      <c r="U824"/>
      <c r="X824"/>
      <c r="Y824" s="960"/>
      <c r="AB824" s="944"/>
      <c r="AC824" s="232">
        <v>1</v>
      </c>
      <c r="AD824" s="19"/>
      <c r="AE824" s="19"/>
      <c r="AF824" s="19"/>
      <c r="AG824" s="33"/>
      <c r="AH824" s="25">
        <f>S.PostEQC.FileRuleWithSOS</f>
        <v>42356</v>
      </c>
      <c r="AI824" s="24"/>
      <c r="AJ824" s="26"/>
      <c r="AK824" s="34"/>
      <c r="AL824" s="364"/>
      <c r="AM824" s="34"/>
    </row>
    <row r="825" spans="1:39" s="767" customFormat="1" ht="14.1" hidden="1" customHeight="1" outlineLevel="1" x14ac:dyDescent="0.2">
      <c r="A825" s="85"/>
      <c r="B825" s="135"/>
      <c r="C825" s="188"/>
      <c r="D825" s="515"/>
      <c r="E825" s="651"/>
      <c r="H825" s="188"/>
      <c r="I825" s="532"/>
      <c r="Y825" s="960"/>
      <c r="AB825" s="944"/>
      <c r="AC825" s="232">
        <v>1</v>
      </c>
      <c r="AD825" s="19"/>
      <c r="AE825" s="19"/>
      <c r="AF825" s="19"/>
      <c r="AG825" s="33"/>
      <c r="AH825" s="33"/>
      <c r="AI825" s="24"/>
      <c r="AJ825" s="26"/>
      <c r="AK825" s="34"/>
      <c r="AL825" s="364"/>
      <c r="AM825" s="34"/>
    </row>
    <row r="826" spans="1:39" s="767" customFormat="1" ht="14.1" hidden="1" customHeight="1" outlineLevel="1" x14ac:dyDescent="0.2">
      <c r="A826" s="85"/>
      <c r="B826" s="784" t="str">
        <f>AB826</f>
        <v>NO FEES INVOLVED</v>
      </c>
      <c r="C826" s="357" t="s">
        <v>0</v>
      </c>
      <c r="D826" s="515"/>
      <c r="E826" s="536"/>
      <c r="I826" s="532"/>
      <c r="Y826" s="960"/>
      <c r="AB826" s="934" t="str">
        <f>IF(S.Fee.DASApprovalRequired="Y","DAS FEE APPROVAL - PART 2",IF(S.Fee.Involved="Y","DAS EMAIL NOTIFICATION","NO FEES INVOLVED"))</f>
        <v>NO FEES INVOLVED</v>
      </c>
      <c r="AC826" s="232">
        <f t="shared" ref="AC826:AC834" si="124">IF(S.Fee.Involved="Y",1,0)</f>
        <v>0</v>
      </c>
      <c r="AD826" s="19"/>
      <c r="AE826" s="19"/>
      <c r="AF826" s="19"/>
      <c r="AG826" s="36"/>
      <c r="AH826" s="36"/>
      <c r="AI826" s="24"/>
      <c r="AJ826" s="24"/>
      <c r="AK826" s="34"/>
      <c r="AL826" s="364"/>
      <c r="AM826" s="34"/>
    </row>
    <row r="827" spans="1:39" s="767" customFormat="1" ht="16.5" hidden="1" customHeight="1" outlineLevel="1" x14ac:dyDescent="0.2">
      <c r="A827" s="85"/>
      <c r="B827" s="788" t="s">
        <v>544</v>
      </c>
      <c r="C827" s="188"/>
      <c r="D827" s="515"/>
      <c r="E827" s="651"/>
      <c r="H827" s="142"/>
      <c r="I827" s="532"/>
      <c r="Y827" s="960"/>
      <c r="AB827" s="944"/>
      <c r="AC827" s="232">
        <f t="shared" si="124"/>
        <v>0</v>
      </c>
      <c r="AD827" s="19"/>
      <c r="AE827" s="19"/>
      <c r="AF827" s="19"/>
      <c r="AG827" s="33"/>
      <c r="AH827" s="36"/>
      <c r="AI827" s="24"/>
      <c r="AJ827" s="26"/>
      <c r="AK827" s="34"/>
      <c r="AL827" s="364"/>
      <c r="AM827" s="34"/>
    </row>
    <row r="828" spans="1:39" s="767" customFormat="1" ht="14.1" hidden="1" customHeight="1" outlineLevel="1" x14ac:dyDescent="0.2">
      <c r="A828" s="85"/>
      <c r="B828" s="185" t="str">
        <f t="shared" ref="B828:B834" si="125">AB828</f>
        <v/>
      </c>
      <c r="C828" s="188"/>
      <c r="D828" s="189"/>
      <c r="E828" s="189"/>
      <c r="F828" s="145"/>
      <c r="G828" s="188"/>
      <c r="H828" s="188"/>
      <c r="I828" s="532"/>
      <c r="Y828" s="960"/>
      <c r="AB828" s="934" t="str">
        <f>IF(S.Fee.DASApprovalRequired="Y",S.Staff.Subject.Expert.FirstName&amp;":",IF(S.Fee.Involved="Y",S.Staff.AgencyRulesCoordinator&amp;":",""))</f>
        <v/>
      </c>
      <c r="AC828" s="232">
        <f t="shared" si="124"/>
        <v>0</v>
      </c>
      <c r="AD828" s="19"/>
      <c r="AE828" s="19"/>
      <c r="AF828" s="19"/>
      <c r="AG828" s="36"/>
      <c r="AH828" s="36"/>
      <c r="AI828" s="24"/>
      <c r="AJ828" s="89"/>
      <c r="AK828" s="34"/>
      <c r="AL828" s="364"/>
      <c r="AM828" s="34"/>
    </row>
    <row r="829" spans="1:39" s="6" customFormat="1" ht="14.1" hidden="1" customHeight="1" outlineLevel="1" x14ac:dyDescent="0.2">
      <c r="A829" s="85"/>
      <c r="B829" s="152" t="str">
        <f t="shared" si="125"/>
        <v>* no DAS involvement</v>
      </c>
      <c r="C829" s="357" t="s">
        <v>0</v>
      </c>
      <c r="D829" s="165"/>
      <c r="E829" s="536"/>
      <c r="F829"/>
      <c r="G829"/>
      <c r="H829" s="140">
        <f>AH829</f>
        <v>0</v>
      </c>
      <c r="I829" s="532"/>
      <c r="J829"/>
      <c r="K829"/>
      <c r="L829"/>
      <c r="M829"/>
      <c r="N829"/>
      <c r="O829"/>
      <c r="P829"/>
      <c r="Q829"/>
      <c r="R829"/>
      <c r="S829"/>
      <c r="T829"/>
      <c r="U829"/>
      <c r="X829"/>
      <c r="Y829" s="960"/>
      <c r="AB829" s="934" t="str">
        <f>IF(S.Fee.DASApprovalRequired="Y","* gets signatures on  Part 2 of signed DAS Fee Approval",IF(S.Fee.Involved="Y","* drafts and emails DAS notification for fees that don't require approval","* no DAS involvement"))</f>
        <v>* no DAS involvement</v>
      </c>
      <c r="AC829" s="232">
        <f t="shared" si="124"/>
        <v>0</v>
      </c>
      <c r="AD829" s="19"/>
      <c r="AE829" s="19"/>
      <c r="AF829" s="19"/>
      <c r="AG829" s="36" t="s">
        <v>0</v>
      </c>
      <c r="AH829" s="25">
        <f>IF(AC829=0,,S.7PostEQC.BEGIN)</f>
        <v>0</v>
      </c>
      <c r="AI829" s="24"/>
      <c r="AJ829" s="24"/>
      <c r="AK829" s="34"/>
      <c r="AL829" s="364"/>
      <c r="AM829" s="34"/>
    </row>
    <row r="830" spans="1:39" s="767" customFormat="1" ht="14.1" hidden="1" customHeight="1" outlineLevel="1" x14ac:dyDescent="0.2">
      <c r="A830" s="85"/>
      <c r="B830" s="135" t="str">
        <f t="shared" si="125"/>
        <v/>
      </c>
      <c r="C830" s="188"/>
      <c r="D830" s="516"/>
      <c r="E830" s="515"/>
      <c r="F830" s="145"/>
      <c r="G830" s="188"/>
      <c r="H830" s="188"/>
      <c r="I830" s="532"/>
      <c r="Y830" s="960"/>
      <c r="AB830" s="934" t="str">
        <f>IF(S.Fee.DASApprovalRequired="Y","* scans/saves as DAS.PART2.pdf",IF(S.Fee.Involved="Y","* emails notification to DAS (requests delivery receipt)",""))</f>
        <v/>
      </c>
      <c r="AC830" s="232">
        <f t="shared" si="124"/>
        <v>0</v>
      </c>
      <c r="AD830" s="19"/>
      <c r="AE830" s="19"/>
      <c r="AF830" s="19"/>
      <c r="AG830" s="33"/>
      <c r="AH830" s="33"/>
      <c r="AI830" s="24"/>
      <c r="AJ830" s="26"/>
      <c r="AK830" s="34"/>
      <c r="AL830" s="364"/>
      <c r="AM830" s="34"/>
    </row>
    <row r="831" spans="1:39" s="917" customFormat="1" ht="14.1" hidden="1" customHeight="1" outlineLevel="1" x14ac:dyDescent="0.2">
      <c r="A831" s="85"/>
      <c r="B831" s="135" t="str">
        <f t="shared" si="125"/>
        <v/>
      </c>
      <c r="C831" s="188"/>
      <c r="D831" s="516"/>
      <c r="E831" s="515"/>
      <c r="F831" s="145"/>
      <c r="G831" s="188"/>
      <c r="H831" s="188"/>
      <c r="I831" s="532"/>
      <c r="Y831" s="960"/>
      <c r="AB831" s="934" t="str">
        <f>IF(S.Fee.DASApprovalRequired="N","","* excerpts fee sections from RULES, saves as FEE.RULES-DAS, print")</f>
        <v/>
      </c>
      <c r="AC831" s="232">
        <f t="shared" si="124"/>
        <v>0</v>
      </c>
      <c r="AD831" s="19"/>
      <c r="AE831" s="19"/>
      <c r="AF831" s="19"/>
      <c r="AG831" s="33"/>
      <c r="AH831" s="33"/>
      <c r="AI831" s="24"/>
      <c r="AJ831" s="26"/>
      <c r="AK831" s="34"/>
      <c r="AL831" s="364"/>
      <c r="AM831" s="34"/>
    </row>
    <row r="832" spans="1:39" s="917" customFormat="1" ht="14.1" hidden="1" customHeight="1" outlineLevel="1" x14ac:dyDescent="0.2">
      <c r="A832" s="85"/>
      <c r="B832" s="135" t="str">
        <f t="shared" si="125"/>
        <v/>
      </c>
      <c r="C832" s="188"/>
      <c r="D832" s="516"/>
      <c r="E832" s="515"/>
      <c r="F832" s="145"/>
      <c r="G832" s="188"/>
      <c r="H832" s="188"/>
      <c r="I832" s="532"/>
      <c r="Y832" s="960"/>
      <c r="AB832" s="934" t="str">
        <f>IF(S.Fee.DASApprovalRequired="N","","* excerpts fee sections from STAFF.REPORT, saves as FEE.REPORT-DAS, print")</f>
        <v/>
      </c>
      <c r="AC832" s="232">
        <f t="shared" si="124"/>
        <v>0</v>
      </c>
      <c r="AD832" s="19"/>
      <c r="AE832" s="19"/>
      <c r="AF832" s="19"/>
      <c r="AG832" s="33"/>
      <c r="AH832" s="33"/>
      <c r="AI832" s="24"/>
      <c r="AJ832" s="26"/>
      <c r="AK832" s="34"/>
      <c r="AL832" s="364"/>
      <c r="AM832" s="34"/>
    </row>
    <row r="833" spans="1:39" s="6" customFormat="1" ht="14.1" hidden="1" customHeight="1" outlineLevel="1" x14ac:dyDescent="0.2">
      <c r="A833" s="85"/>
      <c r="B833" s="152" t="str">
        <f t="shared" si="125"/>
        <v/>
      </c>
      <c r="C833" s="357" t="s">
        <v>0</v>
      </c>
      <c r="D833" s="165"/>
      <c r="E833" s="536"/>
      <c r="F833"/>
      <c r="G833"/>
      <c r="H833" s="767"/>
      <c r="I833" s="532"/>
      <c r="J833"/>
      <c r="K833"/>
      <c r="L833"/>
      <c r="M833"/>
      <c r="N833"/>
      <c r="O833"/>
      <c r="P833"/>
      <c r="Q833"/>
      <c r="R833"/>
      <c r="S833"/>
      <c r="T833"/>
      <c r="U833"/>
      <c r="X833"/>
      <c r="Y833" s="960"/>
      <c r="AB833" s="934" t="str">
        <f>IF(S.Fee.DASApprovalRequired="Y","* emails PART2-DAS.pdf to DAS (requests delivery receipt)",IF(S.Fee.Involved="Y","* provide link to Web page for DAS",""))</f>
        <v/>
      </c>
      <c r="AC833" s="232">
        <f t="shared" si="124"/>
        <v>0</v>
      </c>
      <c r="AD833" s="19"/>
      <c r="AE833" s="19"/>
      <c r="AF833" s="19"/>
      <c r="AG833" s="36"/>
      <c r="AH833" s="33"/>
      <c r="AI833" s="24"/>
      <c r="AJ833" s="24"/>
      <c r="AK833" s="34"/>
      <c r="AL833" s="364"/>
      <c r="AM833" s="34"/>
    </row>
    <row r="834" spans="1:39" s="767" customFormat="1" ht="14.1" hidden="1" customHeight="1" outlineLevel="1" x14ac:dyDescent="0.2">
      <c r="A834" s="85"/>
      <c r="B834" s="152" t="str">
        <f t="shared" si="125"/>
        <v/>
      </c>
      <c r="C834" s="357" t="s">
        <v>0</v>
      </c>
      <c r="D834" s="165"/>
      <c r="E834" s="536"/>
      <c r="I834" s="532"/>
      <c r="Y834" s="960"/>
      <c r="AB834" s="934" t="str">
        <f>IF(S.Fee.DASApprovalRequired="N","","* get preprinted return receipt suttle envelope from "&amp;S.Staff.AgencyRulesCoordinator)</f>
        <v/>
      </c>
      <c r="AC834" s="232">
        <f t="shared" si="124"/>
        <v>0</v>
      </c>
      <c r="AD834" s="19"/>
      <c r="AE834" s="19"/>
      <c r="AF834" s="19"/>
      <c r="AG834" s="36"/>
      <c r="AH834" s="33"/>
      <c r="AI834" s="24"/>
      <c r="AJ834" s="24"/>
      <c r="AK834" s="34"/>
      <c r="AL834" s="364"/>
      <c r="AM834" s="34"/>
    </row>
    <row r="835" spans="1:39" s="917" customFormat="1" ht="14.1" hidden="1" customHeight="1" outlineLevel="1" x14ac:dyDescent="0.2">
      <c r="A835" s="85"/>
      <c r="B835" s="135" t="s">
        <v>705</v>
      </c>
      <c r="C835" s="188"/>
      <c r="D835" s="516"/>
      <c r="E835" s="515"/>
      <c r="F835" s="145"/>
      <c r="G835" s="188"/>
      <c r="H835" s="188"/>
      <c r="I835" s="532"/>
      <c r="Y835" s="960"/>
      <c r="AB835" s="929"/>
      <c r="AC835" s="232">
        <v>1</v>
      </c>
      <c r="AD835" s="19"/>
      <c r="AE835" s="19"/>
      <c r="AF835" s="19"/>
      <c r="AG835" s="33"/>
      <c r="AH835" s="33"/>
      <c r="AI835" s="24"/>
      <c r="AJ835" s="26"/>
      <c r="AK835" s="34"/>
      <c r="AL835" s="364"/>
      <c r="AM835" s="34"/>
    </row>
    <row r="836" spans="1:39" s="917" customFormat="1" ht="14.1" hidden="1" customHeight="1" outlineLevel="1" x14ac:dyDescent="0.2">
      <c r="A836" s="85"/>
      <c r="B836" s="135" t="str">
        <f>AB836</f>
        <v/>
      </c>
      <c r="C836" s="188"/>
      <c r="D836" s="516"/>
      <c r="E836" s="515"/>
      <c r="F836" s="145"/>
      <c r="G836" s="188"/>
      <c r="H836" s="188"/>
      <c r="I836" s="532"/>
      <c r="Y836" s="960"/>
      <c r="AB836" s="934" t="str">
        <f>IF(S.Fee.DASApprovalRequired="N","","* sends all fee documents to DAS via shuttle")</f>
        <v/>
      </c>
      <c r="AC836" s="232">
        <v>1</v>
      </c>
      <c r="AD836" s="19"/>
      <c r="AE836" s="19"/>
      <c r="AF836" s="19"/>
      <c r="AG836" s="33"/>
      <c r="AH836" s="33"/>
      <c r="AI836" s="24"/>
      <c r="AJ836" s="26"/>
      <c r="AK836" s="34"/>
      <c r="AL836" s="364"/>
      <c r="AM836" s="34"/>
    </row>
    <row r="837" spans="1:39" s="917" customFormat="1" ht="14.1" hidden="1" customHeight="1" outlineLevel="1" x14ac:dyDescent="0.2">
      <c r="A837" s="85"/>
      <c r="B837" s="134" t="s">
        <v>697</v>
      </c>
      <c r="C837" s="330" t="str">
        <f>HYPERLINK("http://www.lc.state.or.us/arrs.htm","i")</f>
        <v>i</v>
      </c>
      <c r="D837" s="514"/>
      <c r="E837" s="651"/>
      <c r="H837" s="143">
        <f t="shared" ref="H837" si="126">AH837</f>
        <v>42356</v>
      </c>
      <c r="I837" s="532"/>
      <c r="Y837" s="960"/>
      <c r="AB837" s="944"/>
      <c r="AC837" s="232">
        <v>1</v>
      </c>
      <c r="AD837" s="19"/>
      <c r="AE837" s="19"/>
      <c r="AF837" s="19"/>
      <c r="AG837" s="33"/>
      <c r="AH837" s="25">
        <f>S.PostEQC.FileRuleWithSOS</f>
        <v>42356</v>
      </c>
      <c r="AI837" s="24"/>
      <c r="AJ837" s="26"/>
      <c r="AK837" s="34"/>
      <c r="AL837" s="364"/>
      <c r="AM837" s="34"/>
    </row>
    <row r="838" spans="1:39" s="767" customFormat="1" ht="14.1" hidden="1" customHeight="1" outlineLevel="1" x14ac:dyDescent="0.2">
      <c r="A838" s="85"/>
      <c r="B838" s="135"/>
      <c r="C838" s="188"/>
      <c r="D838" s="515"/>
      <c r="E838" s="651"/>
      <c r="H838" s="188"/>
      <c r="I838" s="532"/>
      <c r="Y838" s="960"/>
      <c r="AB838" s="944"/>
      <c r="AC838" s="232">
        <v>1</v>
      </c>
      <c r="AD838" s="19"/>
      <c r="AE838" s="19"/>
      <c r="AF838" s="19"/>
      <c r="AG838" s="33"/>
      <c r="AH838" s="33"/>
      <c r="AI838" s="24"/>
      <c r="AJ838" s="26"/>
      <c r="AK838" s="34"/>
      <c r="AL838" s="364"/>
      <c r="AM838" s="34"/>
    </row>
    <row r="839" spans="1:39" s="767" customFormat="1" ht="14.1" hidden="1" customHeight="1" outlineLevel="1" x14ac:dyDescent="0.2">
      <c r="A839" s="85"/>
      <c r="B839" s="784" t="s">
        <v>545</v>
      </c>
      <c r="C839" s="357" t="s">
        <v>0</v>
      </c>
      <c r="D839" s="515"/>
      <c r="E839" s="536"/>
      <c r="I839" s="532"/>
      <c r="Y839" s="960"/>
      <c r="AB839" s="944"/>
      <c r="AC839" s="232">
        <f>IF(S.Fee.Involved="Y",1,0)</f>
        <v>0</v>
      </c>
      <c r="AD839" s="19"/>
      <c r="AE839" s="19"/>
      <c r="AF839" s="19"/>
      <c r="AG839" s="36"/>
      <c r="AH839" s="33"/>
      <c r="AI839" s="24"/>
      <c r="AJ839" s="24"/>
      <c r="AK839" s="34"/>
      <c r="AL839" s="364"/>
      <c r="AM839" s="34"/>
    </row>
    <row r="840" spans="1:39" s="6" customFormat="1" ht="14.1" hidden="1" customHeight="1" outlineLevel="1" x14ac:dyDescent="0.2">
      <c r="A840" s="85"/>
      <c r="B840" s="185" t="str">
        <f>AB840</f>
        <v>RGLead:</v>
      </c>
      <c r="C840" s="188"/>
      <c r="D840" s="189"/>
      <c r="E840" s="189"/>
      <c r="F840" s="145"/>
      <c r="G840" s="188"/>
      <c r="H840" s="188"/>
      <c r="I840" s="532"/>
      <c r="J840"/>
      <c r="K840"/>
      <c r="L840"/>
      <c r="M840"/>
      <c r="N840"/>
      <c r="O840"/>
      <c r="P840"/>
      <c r="Q840"/>
      <c r="R840"/>
      <c r="S840"/>
      <c r="T840"/>
      <c r="U840"/>
      <c r="X840"/>
      <c r="Y840" s="960"/>
      <c r="AB840" s="936" t="str">
        <f>S.Staff.RG.Lead.FirstName&amp;":"</f>
        <v>RGLead:</v>
      </c>
      <c r="AC840" s="232">
        <v>1</v>
      </c>
      <c r="AD840" s="19"/>
      <c r="AE840" s="19"/>
      <c r="AF840" s="19"/>
      <c r="AG840" s="36"/>
      <c r="AH840" s="36"/>
      <c r="AI840" s="24"/>
      <c r="AJ840" s="89"/>
      <c r="AK840" s="34"/>
      <c r="AL840" s="364"/>
      <c r="AM840" s="34"/>
    </row>
    <row r="841" spans="1:39" s="6" customFormat="1" ht="14.1" hidden="1" customHeight="1" outlineLevel="1" x14ac:dyDescent="0.2">
      <c r="A841" s="85" t="s">
        <v>0</v>
      </c>
      <c r="B841" s="184" t="s">
        <v>550</v>
      </c>
      <c r="C841" s="188"/>
      <c r="D841" s="165"/>
      <c r="E841" s="189"/>
      <c r="F841" s="145"/>
      <c r="G841" s="188"/>
      <c r="H841" s="188"/>
      <c r="I841" s="532"/>
      <c r="J841"/>
      <c r="K841"/>
      <c r="L841"/>
      <c r="M841"/>
      <c r="N841"/>
      <c r="O841"/>
      <c r="P841"/>
      <c r="Q841"/>
      <c r="R841"/>
      <c r="S841"/>
      <c r="T841"/>
      <c r="U841"/>
      <c r="X841"/>
      <c r="Y841" s="960"/>
      <c r="AB841" s="929"/>
      <c r="AC841" s="232">
        <v>1</v>
      </c>
      <c r="AD841" s="19"/>
      <c r="AE841" s="19"/>
      <c r="AF841" s="19"/>
      <c r="AG841" s="36"/>
      <c r="AH841" s="36"/>
      <c r="AI841" s="24"/>
      <c r="AJ841" s="89"/>
      <c r="AK841" s="34"/>
      <c r="AL841" s="364"/>
      <c r="AM841" s="34"/>
    </row>
    <row r="842" spans="1:39" ht="14.1" hidden="1" customHeight="1" outlineLevel="1" x14ac:dyDescent="0.2">
      <c r="A842" s="85"/>
      <c r="B842" s="135" t="s">
        <v>527</v>
      </c>
      <c r="C842" s="356" t="s">
        <v>0</v>
      </c>
      <c r="D842" s="165"/>
      <c r="E842" s="536"/>
      <c r="F842"/>
      <c r="G842"/>
      <c r="H842" s="767"/>
      <c r="I842" s="532"/>
      <c r="AB842" s="944" t="s">
        <v>0</v>
      </c>
      <c r="AC842" s="232">
        <v>1</v>
      </c>
      <c r="AD842" s="19"/>
      <c r="AE842" s="19"/>
      <c r="AF842" s="19"/>
      <c r="AG842" s="36"/>
      <c r="AH842" s="36"/>
      <c r="AI842" s="24"/>
      <c r="AJ842" s="24"/>
      <c r="AK842" s="34"/>
      <c r="AL842" s="364"/>
      <c r="AM842" s="34"/>
    </row>
    <row r="843" spans="1:39" s="6" customFormat="1" ht="14.1" hidden="1" customHeight="1" outlineLevel="1" x14ac:dyDescent="0.2">
      <c r="A843" s="85" t="s">
        <v>0</v>
      </c>
      <c r="B843" s="184" t="s">
        <v>552</v>
      </c>
      <c r="C843" s="202"/>
      <c r="D843" s="516"/>
      <c r="E843" s="502"/>
      <c r="F843" s="161"/>
      <c r="G843" s="161"/>
      <c r="H843" s="161"/>
      <c r="I843" s="532"/>
      <c r="J843"/>
      <c r="K843"/>
      <c r="L843"/>
      <c r="M843"/>
      <c r="N843"/>
      <c r="O843"/>
      <c r="P843"/>
      <c r="Q843"/>
      <c r="R843"/>
      <c r="S843"/>
      <c r="T843"/>
      <c r="U843"/>
      <c r="X843"/>
      <c r="Y843" s="960"/>
      <c r="AB843" s="929"/>
      <c r="AC843" s="232">
        <v>1</v>
      </c>
      <c r="AD843" s="19"/>
      <c r="AE843" s="19"/>
      <c r="AF843" s="19"/>
      <c r="AG843" s="23"/>
      <c r="AH843" s="23"/>
      <c r="AI843" s="24"/>
      <c r="AJ843" s="15"/>
      <c r="AK843" s="34"/>
      <c r="AL843" s="364"/>
      <c r="AM843" s="34"/>
    </row>
    <row r="844" spans="1:39" s="6" customFormat="1" ht="14.1" hidden="1" customHeight="1" outlineLevel="1" x14ac:dyDescent="0.2">
      <c r="A844" s="85" t="s">
        <v>0</v>
      </c>
      <c r="B844" s="135" t="s">
        <v>563</v>
      </c>
      <c r="C844" s="188"/>
      <c r="D844" s="516"/>
      <c r="E844" s="651"/>
      <c r="F844"/>
      <c r="G844"/>
      <c r="H844" s="188"/>
      <c r="I844" s="532"/>
      <c r="J844"/>
      <c r="K844"/>
      <c r="L844"/>
      <c r="M844"/>
      <c r="N844"/>
      <c r="O844"/>
      <c r="P844"/>
      <c r="Q844"/>
      <c r="R844"/>
      <c r="S844"/>
      <c r="T844"/>
      <c r="U844"/>
      <c r="X844"/>
      <c r="Y844" s="960"/>
      <c r="AB844" s="929"/>
      <c r="AC844" s="232">
        <v>1</v>
      </c>
      <c r="AD844" s="19"/>
      <c r="AE844" s="19"/>
      <c r="AF844" s="19"/>
      <c r="AG844" s="36"/>
      <c r="AH844" s="36"/>
      <c r="AI844" s="24"/>
      <c r="AJ844" s="26"/>
      <c r="AK844" s="34"/>
      <c r="AL844" s="364"/>
      <c r="AM844" s="34"/>
    </row>
    <row r="845" spans="1:39" s="6" customFormat="1" ht="14.1" hidden="1" customHeight="1" outlineLevel="1" thickBot="1" x14ac:dyDescent="0.25">
      <c r="A845" s="85"/>
      <c r="B845" s="152" t="s">
        <v>564</v>
      </c>
      <c r="C845" s="353"/>
      <c r="D845" s="165" t="s">
        <v>0</v>
      </c>
      <c r="E845" s="228"/>
      <c r="F845" s="767"/>
      <c r="G845" s="767"/>
      <c r="H845" s="188"/>
      <c r="I845" s="532"/>
      <c r="J845"/>
      <c r="K845"/>
      <c r="L845"/>
      <c r="M845"/>
      <c r="N845"/>
      <c r="O845"/>
      <c r="P845"/>
      <c r="Q845"/>
      <c r="R845"/>
      <c r="S845"/>
      <c r="T845"/>
      <c r="U845"/>
      <c r="X845"/>
      <c r="Y845" s="960"/>
      <c r="AB845" s="926" t="s">
        <v>0</v>
      </c>
      <c r="AC845" s="232">
        <v>1</v>
      </c>
      <c r="AD845" s="19"/>
      <c r="AE845" s="19"/>
      <c r="AF845" s="19"/>
      <c r="AG845" s="23"/>
      <c r="AH845" s="23"/>
      <c r="AI845" s="24"/>
      <c r="AJ845" s="24"/>
      <c r="AK845" s="34"/>
      <c r="AL845" s="364"/>
      <c r="AM845" s="34"/>
    </row>
    <row r="846" spans="1:39" s="6" customFormat="1" ht="14.1" hidden="1" customHeight="1" outlineLevel="1" thickBot="1" x14ac:dyDescent="0.25">
      <c r="A846" s="85"/>
      <c r="B846" s="710" t="str">
        <f>AB846</f>
        <v>If errors, ProgLead works with Meyer to correct and selects 'Y'  &gt;</v>
      </c>
      <c r="C846" s="350" t="s">
        <v>12</v>
      </c>
      <c r="D846" s="228" t="s">
        <v>0</v>
      </c>
      <c r="E846" s="228"/>
      <c r="F846" s="767"/>
      <c r="G846" s="767"/>
      <c r="H846" s="188"/>
      <c r="I846" s="532"/>
      <c r="J846"/>
      <c r="K846"/>
      <c r="L846"/>
      <c r="M846"/>
      <c r="N846"/>
      <c r="O846"/>
      <c r="P846"/>
      <c r="Q846"/>
      <c r="R846"/>
      <c r="S846"/>
      <c r="T846"/>
      <c r="U846"/>
      <c r="X846"/>
      <c r="Y846" s="960"/>
      <c r="AB846" s="934" t="str">
        <f>"If errors, "&amp;S.Staff.Subject.Expert.FirstName&amp;" works with "&amp;S.Staff.AgencyRulesCoordinator&amp;" to correct and selects 'Y'  &gt;"</f>
        <v>If errors, ProgLead works with Meyer to correct and selects 'Y'  &gt;</v>
      </c>
      <c r="AC846" s="232">
        <f>IF(C846="Y",1,0)</f>
        <v>1</v>
      </c>
      <c r="AD846" s="19"/>
      <c r="AE846" s="19"/>
      <c r="AF846" s="19"/>
      <c r="AG846" s="23"/>
      <c r="AH846" s="23"/>
      <c r="AI846" s="24"/>
      <c r="AJ846" s="24"/>
      <c r="AK846" s="34"/>
      <c r="AL846" s="364"/>
      <c r="AM846" s="34"/>
    </row>
    <row r="847" spans="1:39" s="6" customFormat="1" ht="14.1" hidden="1" customHeight="1" outlineLevel="1" thickBot="1" x14ac:dyDescent="0.25">
      <c r="A847" s="85"/>
      <c r="B847" s="150" t="str">
        <f>AB847</f>
        <v>AndreaG submits SIP to EPA within 60 days AFTER adoption</v>
      </c>
      <c r="C847" s="353"/>
      <c r="D847" s="165"/>
      <c r="E847" s="228"/>
      <c r="F847" s="145"/>
      <c r="G847" s="146">
        <f t="shared" ref="G847:H847" si="127">AG847</f>
        <v>42354</v>
      </c>
      <c r="H847" s="140">
        <f t="shared" si="127"/>
        <v>42401</v>
      </c>
      <c r="I847" s="532"/>
      <c r="J847"/>
      <c r="K847"/>
      <c r="L847"/>
      <c r="M847"/>
      <c r="N847"/>
      <c r="O847"/>
      <c r="P847"/>
      <c r="Q847"/>
      <c r="R847"/>
      <c r="S847"/>
      <c r="T847"/>
      <c r="U847"/>
      <c r="X847"/>
      <c r="Y847" s="960"/>
      <c r="AB847" s="934" t="str">
        <f>S.Staff.SIPCo&amp;" submits SIP to EPA within 60 days AFTER adoption"</f>
        <v>AndreaG submits SIP to EPA within 60 days AFTER adoption</v>
      </c>
      <c r="AC847" s="232">
        <v>1</v>
      </c>
      <c r="AD847" s="19"/>
      <c r="AE847" s="19"/>
      <c r="AF847" s="19"/>
      <c r="AG847" s="25">
        <f>S.EQC.Meeting</f>
        <v>42354</v>
      </c>
      <c r="AH847" s="25">
        <f>WORKDAY(S.EQC.Meeting+44,1,S.DDL_DEQClosed)</f>
        <v>42401</v>
      </c>
      <c r="AI847" s="24"/>
      <c r="AJ847" s="24"/>
      <c r="AK847" s="34"/>
      <c r="AL847" s="364"/>
      <c r="AM847" s="34"/>
    </row>
    <row r="848" spans="1:39" ht="14.1" hidden="1" customHeight="1" outlineLevel="1" thickBot="1" x14ac:dyDescent="0.25">
      <c r="A848" s="85"/>
      <c r="B848" s="152" t="s">
        <v>551</v>
      </c>
      <c r="C848" s="350" t="s">
        <v>12</v>
      </c>
      <c r="D848" s="194"/>
      <c r="E848" s="536"/>
      <c r="F848"/>
      <c r="G848"/>
      <c r="H848" s="767"/>
      <c r="I848" s="532"/>
      <c r="AB848" s="957" t="s">
        <v>0</v>
      </c>
      <c r="AC848" s="232">
        <f>IF(S.PostEQC.NotifyStakeholders="N",,1)</f>
        <v>1</v>
      </c>
      <c r="AD848" s="19"/>
      <c r="AE848" s="19"/>
      <c r="AF848" s="19"/>
      <c r="AG848" s="36"/>
      <c r="AH848" s="36"/>
      <c r="AI848" s="24"/>
      <c r="AJ848" s="24"/>
      <c r="AK848" s="34"/>
      <c r="AL848" s="364"/>
      <c r="AM848" s="34"/>
    </row>
    <row r="849" spans="1:39" ht="14.1" hidden="1" customHeight="1" outlineLevel="1" x14ac:dyDescent="0.25">
      <c r="A849" s="85"/>
      <c r="B849" s="135" t="str">
        <f>AB849</f>
        <v>* coordinates AC.THANK.YOU email or letter that links to Web page with ProgMgr</v>
      </c>
      <c r="C849" s="326" t="str">
        <f>HYPERLINK("\\deqhq1\Rule_Resources\i\AC.THANK.YOU.docx","i")</f>
        <v>i</v>
      </c>
      <c r="D849" s="514"/>
      <c r="E849" s="651"/>
      <c r="F849"/>
      <c r="G849"/>
      <c r="H849" s="767"/>
      <c r="I849" s="532"/>
      <c r="AB849" s="936" t="str">
        <f>"* coordinates AC.THANK.YOU email or letter that links to Web page with "&amp;S.Staff.Program.Mgr.FirstName</f>
        <v>* coordinates AC.THANK.YOU email or letter that links to Web page with ProgMgr</v>
      </c>
      <c r="AC849" s="232">
        <f>IF(S.AC.CommitteeInvolved="Y",1,0)</f>
        <v>0</v>
      </c>
      <c r="AD849" s="19"/>
      <c r="AE849" s="19"/>
      <c r="AF849" s="19"/>
      <c r="AG849" s="36"/>
      <c r="AH849" s="36"/>
      <c r="AI849" s="24"/>
      <c r="AJ849" s="24"/>
      <c r="AK849" s="34"/>
      <c r="AL849" s="364"/>
      <c r="AM849" s="34"/>
    </row>
    <row r="850" spans="1:39" s="775" customFormat="1" ht="14.1" hidden="1" customHeight="1" outlineLevel="1" x14ac:dyDescent="0.2">
      <c r="A850" s="85"/>
      <c r="B850" s="135" t="s">
        <v>553</v>
      </c>
      <c r="C850" s="356"/>
      <c r="D850" s="165"/>
      <c r="E850" s="165"/>
      <c r="H850" s="188"/>
      <c r="I850" s="532"/>
      <c r="Y850" s="960"/>
      <c r="AB850" s="929"/>
      <c r="AC850" s="232">
        <v>1</v>
      </c>
      <c r="AD850" s="19"/>
      <c r="AE850" s="19"/>
      <c r="AF850" s="19"/>
      <c r="AG850" s="25">
        <f>AH857</f>
        <v>0</v>
      </c>
      <c r="AH850" s="25">
        <f>S.7PostEQC.END</f>
        <v>0</v>
      </c>
      <c r="AI850" s="24"/>
      <c r="AJ850" s="17"/>
      <c r="AK850" s="34"/>
      <c r="AL850" s="364"/>
      <c r="AM850" s="34"/>
    </row>
    <row r="851" spans="1:39" s="775" customFormat="1" ht="14.1" hidden="1" customHeight="1" outlineLevel="1" x14ac:dyDescent="0.2">
      <c r="A851" s="85"/>
      <c r="B851" s="152" t="s">
        <v>698</v>
      </c>
      <c r="C851" s="353"/>
      <c r="D851" s="165"/>
      <c r="E851" s="228"/>
      <c r="H851" s="188"/>
      <c r="I851" s="532"/>
      <c r="Y851" s="960"/>
      <c r="AB851" s="926" t="s">
        <v>0</v>
      </c>
      <c r="AC851" s="232">
        <v>1</v>
      </c>
      <c r="AD851" s="19"/>
      <c r="AE851" s="19"/>
      <c r="AF851" s="19"/>
      <c r="AG851" s="23"/>
      <c r="AH851" s="23"/>
      <c r="AI851" s="24"/>
      <c r="AJ851" s="24"/>
      <c r="AK851" s="34"/>
      <c r="AL851" s="364"/>
      <c r="AM851" s="34"/>
    </row>
    <row r="852" spans="1:39" s="775" customFormat="1" ht="14.1" hidden="1" customHeight="1" outlineLevel="1" x14ac:dyDescent="0.2">
      <c r="A852" s="85"/>
      <c r="B852" s="781" t="s">
        <v>547</v>
      </c>
      <c r="C852" s="151"/>
      <c r="D852" s="160"/>
      <c r="E852" s="160"/>
      <c r="F852" s="145"/>
      <c r="H852" s="142"/>
      <c r="I852" s="532"/>
      <c r="Y852" s="960"/>
      <c r="AB852" s="926" t="s">
        <v>0</v>
      </c>
      <c r="AC852" s="232">
        <v>1</v>
      </c>
      <c r="AD852" s="19"/>
      <c r="AE852" s="19"/>
      <c r="AF852" s="19"/>
      <c r="AG852" s="23"/>
      <c r="AH852" s="23"/>
      <c r="AI852" s="23"/>
      <c r="AJ852" s="16"/>
      <c r="AK852" s="34"/>
      <c r="AL852" s="364"/>
      <c r="AM852" s="34"/>
    </row>
    <row r="853" spans="1:39" s="775" customFormat="1" ht="14.1" hidden="1" customHeight="1" outlineLevel="1" x14ac:dyDescent="0.2">
      <c r="A853" s="85"/>
      <c r="B853" s="185" t="str">
        <f>AB853</f>
        <v>Meyer:</v>
      </c>
      <c r="C853" s="188"/>
      <c r="D853" s="189"/>
      <c r="E853" s="189"/>
      <c r="F853" s="145"/>
      <c r="G853" s="188"/>
      <c r="H853" s="188"/>
      <c r="I853" s="532"/>
      <c r="Y853" s="960"/>
      <c r="AB853" s="936" t="str">
        <f>S.Staff.AgencyRulesCoordinator&amp;":"</f>
        <v>Meyer:</v>
      </c>
      <c r="AC853" s="232">
        <v>1</v>
      </c>
      <c r="AD853" s="19"/>
      <c r="AE853" s="19"/>
      <c r="AF853" s="19"/>
      <c r="AG853" s="36"/>
      <c r="AH853" s="36"/>
      <c r="AI853" s="24"/>
      <c r="AJ853" s="89"/>
      <c r="AK853" s="34"/>
      <c r="AL853" s="364"/>
      <c r="AM853" s="34"/>
    </row>
    <row r="854" spans="1:39" s="917" customFormat="1" ht="12.75" hidden="1" customHeight="1" outlineLevel="1" x14ac:dyDescent="0.2">
      <c r="A854" s="85"/>
      <c r="B854" s="185" t="s">
        <v>713</v>
      </c>
      <c r="C854" s="188"/>
      <c r="D854" s="189"/>
      <c r="E854" s="189"/>
      <c r="F854" s="145"/>
      <c r="G854" s="188"/>
      <c r="H854" s="188"/>
      <c r="I854" s="532"/>
      <c r="Y854" s="960"/>
      <c r="AB854" s="929"/>
      <c r="AC854" s="232">
        <v>1</v>
      </c>
      <c r="AD854" s="19"/>
      <c r="AE854" s="19"/>
      <c r="AF854" s="19"/>
      <c r="AG854" s="36"/>
      <c r="AH854" s="36"/>
      <c r="AI854" s="24"/>
      <c r="AJ854" s="89"/>
      <c r="AK854" s="34"/>
      <c r="AL854" s="364"/>
      <c r="AM854" s="34"/>
    </row>
    <row r="855" spans="1:39" s="917" customFormat="1" ht="14.1" hidden="1" customHeight="1" outlineLevel="1" x14ac:dyDescent="0.2">
      <c r="A855" s="85"/>
      <c r="B855" s="185" t="s">
        <v>699</v>
      </c>
      <c r="C855" s="188"/>
      <c r="D855" s="189"/>
      <c r="E855" s="189"/>
      <c r="F855" s="145"/>
      <c r="G855" s="188"/>
      <c r="H855" s="188"/>
      <c r="I855" s="532"/>
      <c r="Y855" s="960"/>
      <c r="AB855" s="929"/>
      <c r="AC855" s="232">
        <v>1</v>
      </c>
      <c r="AD855" s="19"/>
      <c r="AE855" s="19"/>
      <c r="AF855" s="19"/>
      <c r="AG855" s="36"/>
      <c r="AH855" s="36"/>
      <c r="AI855" s="24"/>
      <c r="AJ855" s="89"/>
      <c r="AK855" s="34"/>
      <c r="AL855" s="364"/>
      <c r="AM855" s="34"/>
    </row>
    <row r="856" spans="1:39" s="6" customFormat="1" ht="14.1" hidden="1" customHeight="1" outlineLevel="1" x14ac:dyDescent="0.2">
      <c r="A856" s="85"/>
      <c r="B856" s="185" t="s">
        <v>565</v>
      </c>
      <c r="C856" s="188"/>
      <c r="D856" s="189"/>
      <c r="E856" s="189"/>
      <c r="F856" s="145"/>
      <c r="G856" s="188"/>
      <c r="H856" s="188"/>
      <c r="I856" s="532"/>
      <c r="J856"/>
      <c r="K856"/>
      <c r="L856"/>
      <c r="M856"/>
      <c r="N856"/>
      <c r="O856"/>
      <c r="P856"/>
      <c r="Q856"/>
      <c r="R856"/>
      <c r="S856"/>
      <c r="T856"/>
      <c r="U856"/>
      <c r="X856"/>
      <c r="Y856" s="960"/>
      <c r="AB856" s="929"/>
      <c r="AC856" s="232">
        <v>1</v>
      </c>
      <c r="AD856" s="19"/>
      <c r="AE856" s="19"/>
      <c r="AF856" s="19"/>
      <c r="AG856" s="36"/>
      <c r="AH856" s="36"/>
      <c r="AI856" s="24"/>
      <c r="AJ856" s="89"/>
      <c r="AK856" s="34"/>
      <c r="AL856" s="364"/>
      <c r="AM856" s="34"/>
    </row>
    <row r="857" spans="1:39" s="6" customFormat="1" ht="14.1" hidden="1" customHeight="1" outlineLevel="1" x14ac:dyDescent="0.2">
      <c r="A857" s="85"/>
      <c r="B857" s="325" t="s">
        <v>126</v>
      </c>
      <c r="C857" s="327" t="str">
        <f>HYPERLINK("\\deqhq1\Rule_Development\Currrent Plan","i")</f>
        <v>i</v>
      </c>
      <c r="D857" s="189"/>
      <c r="E857" s="189"/>
      <c r="F857" s="145"/>
      <c r="G857" s="188"/>
      <c r="H857" s="188"/>
      <c r="I857" s="532"/>
      <c r="J857"/>
      <c r="K857"/>
      <c r="L857"/>
      <c r="M857"/>
      <c r="N857"/>
      <c r="O857"/>
      <c r="P857"/>
      <c r="Q857"/>
      <c r="R857"/>
      <c r="S857"/>
      <c r="T857"/>
      <c r="U857"/>
      <c r="X857"/>
      <c r="Y857" s="960"/>
      <c r="AB857" s="929"/>
      <c r="AC857" s="232">
        <v>1</v>
      </c>
      <c r="AD857" s="19"/>
      <c r="AE857" s="19"/>
      <c r="AF857" s="19"/>
      <c r="AG857" s="36"/>
      <c r="AH857" s="36"/>
      <c r="AI857" s="24"/>
      <c r="AJ857" s="89"/>
      <c r="AK857" s="34"/>
      <c r="AL857" s="364"/>
      <c r="AM857" s="34"/>
    </row>
    <row r="858" spans="1:39" s="6" customFormat="1" ht="14.1" hidden="1" customHeight="1" outlineLevel="1" x14ac:dyDescent="0.2">
      <c r="A858" s="85"/>
      <c r="B858" s="325" t="s">
        <v>127</v>
      </c>
      <c r="C858" s="188"/>
      <c r="D858" s="189"/>
      <c r="E858" s="189"/>
      <c r="F858" s="145"/>
      <c r="G858" s="188"/>
      <c r="H858" s="188"/>
      <c r="I858" s="532"/>
      <c r="J858"/>
      <c r="K858"/>
      <c r="L858"/>
      <c r="M858"/>
      <c r="N858"/>
      <c r="O858"/>
      <c r="P858"/>
      <c r="Q858"/>
      <c r="R858"/>
      <c r="S858"/>
      <c r="T858"/>
      <c r="U858"/>
      <c r="X858"/>
      <c r="Y858" s="960"/>
      <c r="AB858" s="929"/>
      <c r="AC858" s="232">
        <v>1</v>
      </c>
      <c r="AD858" s="19"/>
      <c r="AE858" s="19"/>
      <c r="AF858" s="19"/>
      <c r="AG858" s="36"/>
      <c r="AH858" s="36"/>
      <c r="AI858" s="24"/>
      <c r="AJ858" s="89"/>
      <c r="AK858" s="34"/>
      <c r="AL858" s="364"/>
      <c r="AM858" s="34"/>
    </row>
    <row r="859" spans="1:39" s="6" customFormat="1" ht="14.1" hidden="1" customHeight="1" outlineLevel="1" x14ac:dyDescent="0.2">
      <c r="A859" s="85" t="s">
        <v>0</v>
      </c>
      <c r="B859" s="193" t="str">
        <f>AB859</f>
        <v>* coordinates retiring Q-Time number(s) with BudgetAnalyst &amp; RobertB</v>
      </c>
      <c r="C859" s="151" t="s">
        <v>0</v>
      </c>
      <c r="D859" s="165"/>
      <c r="E859" s="165"/>
      <c r="F859" s="145"/>
      <c r="G859" s="767"/>
      <c r="H859" s="767"/>
      <c r="I859" s="532"/>
      <c r="J859"/>
      <c r="K859"/>
      <c r="L859"/>
      <c r="M859"/>
      <c r="N859"/>
      <c r="O859"/>
      <c r="P859"/>
      <c r="Q859"/>
      <c r="R859"/>
      <c r="S859"/>
      <c r="T859"/>
      <c r="U859"/>
      <c r="X859"/>
      <c r="Y859" s="960"/>
      <c r="AB859" s="932" t="str">
        <f>"* coordinates retiring Q-Time number(s) with "&amp;S.Staff.Budget&amp;" &amp; "&amp;S.Staff.TimeAccounting</f>
        <v>* coordinates retiring Q-Time number(s) with BudgetAnalyst &amp; RobertB</v>
      </c>
      <c r="AC859" s="232">
        <v>1</v>
      </c>
      <c r="AD859" s="19"/>
      <c r="AE859" s="19"/>
      <c r="AF859" s="19"/>
      <c r="AG859" s="36"/>
      <c r="AH859" s="36"/>
      <c r="AI859" s="24"/>
      <c r="AJ859" s="15"/>
      <c r="AK859" s="34"/>
      <c r="AL859" s="364"/>
      <c r="AM859" s="34"/>
    </row>
    <row r="860" spans="1:39" s="6" customFormat="1" ht="14.1" hidden="1" customHeight="1" outlineLevel="1" x14ac:dyDescent="0.2">
      <c r="A860" s="85"/>
      <c r="B860" s="137" t="s">
        <v>53</v>
      </c>
      <c r="C860" s="356"/>
      <c r="D860" s="165"/>
      <c r="E860" s="165"/>
      <c r="F860" s="145"/>
      <c r="G860" s="145"/>
      <c r="H860" s="145"/>
      <c r="I860" s="532"/>
      <c r="J860"/>
      <c r="K860"/>
      <c r="L860"/>
      <c r="M860"/>
      <c r="N860"/>
      <c r="O860"/>
      <c r="P860"/>
      <c r="Q860"/>
      <c r="R860"/>
      <c r="S860"/>
      <c r="T860"/>
      <c r="U860"/>
      <c r="X860"/>
      <c r="Y860" s="960"/>
      <c r="AB860" s="929"/>
      <c r="AC860" s="232">
        <v>1</v>
      </c>
      <c r="AD860" s="19"/>
      <c r="AE860" s="19"/>
      <c r="AF860" s="19"/>
      <c r="AG860" s="36"/>
      <c r="AH860" s="36"/>
      <c r="AI860" s="24"/>
      <c r="AJ860" s="17"/>
      <c r="AK860" s="34"/>
      <c r="AL860" s="364"/>
      <c r="AM860" s="34"/>
    </row>
    <row r="861" spans="1:39" collapsed="1" x14ac:dyDescent="0.2">
      <c r="A861" s="85"/>
      <c r="B861" s="195"/>
      <c r="C861" s="182"/>
      <c r="D861" s="498"/>
      <c r="E861" s="498"/>
      <c r="F861" s="196"/>
      <c r="G861" s="318" t="str">
        <f>"$G"&amp;"$"&amp;ROW(S.General.LastCellSchedule)</f>
        <v>$G$861</v>
      </c>
      <c r="H861" s="318" t="str">
        <f>"$H"&amp;"$"&amp;ROW(S.General.LastCellSchedule)</f>
        <v>$H$861</v>
      </c>
      <c r="I861" s="532"/>
      <c r="AB861" s="929"/>
      <c r="AC861" s="234" t="s">
        <v>0</v>
      </c>
      <c r="AD861" s="19"/>
      <c r="AE861" s="19"/>
      <c r="AF861" s="19"/>
      <c r="AG861" s="18"/>
      <c r="AH861" s="18"/>
      <c r="AI861" s="319" t="s">
        <v>0</v>
      </c>
      <c r="AJ861" s="17"/>
      <c r="AK861" s="34"/>
      <c r="AL861" s="364"/>
      <c r="AM861" s="34"/>
    </row>
    <row r="862" spans="1:39" ht="12.75" customHeight="1" x14ac:dyDescent="0.2">
      <c r="A862" s="85"/>
      <c r="B862" s="95"/>
      <c r="C862" s="96"/>
      <c r="D862" s="517"/>
      <c r="E862" s="517"/>
      <c r="F862" s="97"/>
      <c r="G862" s="96"/>
      <c r="H862" s="96"/>
      <c r="I862" s="532"/>
      <c r="AB862" s="958"/>
      <c r="AC862" s="365" t="s">
        <v>0</v>
      </c>
      <c r="AG862" s="364"/>
      <c r="AH862" s="364"/>
      <c r="AI862" s="364"/>
      <c r="AJ862" s="364"/>
      <c r="AL862" s="364"/>
      <c r="AM862" s="34"/>
    </row>
    <row r="863" spans="1:39" x14ac:dyDescent="0.2">
      <c r="I863" s="532"/>
    </row>
    <row r="864" spans="1:39" x14ac:dyDescent="0.2">
      <c r="I864" s="532"/>
    </row>
    <row r="865" spans="3:39" x14ac:dyDescent="0.2">
      <c r="I865" s="532"/>
    </row>
    <row r="866" spans="3:39" x14ac:dyDescent="0.2">
      <c r="I866" s="532"/>
    </row>
    <row r="867" spans="3:39" x14ac:dyDescent="0.2">
      <c r="I867" s="532"/>
    </row>
    <row r="868" spans="3:39" x14ac:dyDescent="0.2">
      <c r="I868" s="532"/>
    </row>
    <row r="869" spans="3:39" x14ac:dyDescent="0.2">
      <c r="I869" s="532"/>
    </row>
    <row r="870" spans="3:39" x14ac:dyDescent="0.2">
      <c r="I870" s="532"/>
    </row>
    <row r="871" spans="3:39" x14ac:dyDescent="0.2">
      <c r="I871" s="532"/>
    </row>
    <row r="872" spans="3:39" x14ac:dyDescent="0.2">
      <c r="I872" s="532"/>
    </row>
    <row r="873" spans="3:39" x14ac:dyDescent="0.2">
      <c r="I873" s="532"/>
    </row>
    <row r="874" spans="3:39" x14ac:dyDescent="0.2">
      <c r="I874" s="532"/>
    </row>
    <row r="875" spans="3:39" x14ac:dyDescent="0.2">
      <c r="I875" s="532"/>
    </row>
    <row r="876" spans="3:39" x14ac:dyDescent="0.2">
      <c r="C876"/>
      <c r="D876"/>
      <c r="E876"/>
      <c r="F876"/>
      <c r="G876"/>
      <c r="H876"/>
      <c r="I876" s="532"/>
      <c r="V876"/>
      <c r="W876"/>
      <c r="Z876"/>
      <c r="AA876"/>
      <c r="AC876"/>
      <c r="AD876"/>
      <c r="AE876"/>
      <c r="AI876" s="960"/>
      <c r="AM876"/>
    </row>
    <row r="877" spans="3:39" x14ac:dyDescent="0.2">
      <c r="C877"/>
      <c r="D877"/>
      <c r="E877"/>
      <c r="F877"/>
      <c r="G877"/>
      <c r="H877"/>
      <c r="I877" s="532"/>
      <c r="V877"/>
      <c r="W877"/>
      <c r="Z877"/>
      <c r="AA877"/>
      <c r="AC877"/>
      <c r="AD877"/>
      <c r="AE877"/>
      <c r="AI877" s="960"/>
      <c r="AM877"/>
    </row>
    <row r="878" spans="3:39" x14ac:dyDescent="0.2">
      <c r="C878"/>
      <c r="D878"/>
      <c r="E878"/>
      <c r="F878"/>
      <c r="G878"/>
      <c r="H878"/>
      <c r="I878" s="532"/>
      <c r="V878"/>
      <c r="W878"/>
      <c r="Z878"/>
      <c r="AA878"/>
      <c r="AC878"/>
      <c r="AD878"/>
      <c r="AE878"/>
      <c r="AI878" s="960"/>
      <c r="AM878"/>
    </row>
    <row r="879" spans="3:39" x14ac:dyDescent="0.2">
      <c r="C879"/>
      <c r="D879"/>
      <c r="E879"/>
      <c r="F879"/>
      <c r="G879"/>
      <c r="H879"/>
      <c r="I879" s="532"/>
      <c r="V879"/>
      <c r="W879"/>
      <c r="Z879"/>
      <c r="AA879"/>
      <c r="AC879"/>
      <c r="AD879"/>
      <c r="AE879"/>
      <c r="AI879" s="960"/>
      <c r="AM879"/>
    </row>
    <row r="880" spans="3:39" x14ac:dyDescent="0.2">
      <c r="C880"/>
      <c r="D880"/>
      <c r="E880"/>
      <c r="F880"/>
      <c r="G880"/>
      <c r="H880"/>
      <c r="I880" s="532"/>
      <c r="V880"/>
      <c r="W880"/>
      <c r="Z880"/>
      <c r="AA880"/>
      <c r="AC880"/>
      <c r="AD880"/>
      <c r="AE880"/>
      <c r="AI880" s="960"/>
      <c r="AM880"/>
    </row>
    <row r="881" spans="3:39" x14ac:dyDescent="0.2">
      <c r="C881"/>
      <c r="D881"/>
      <c r="E881"/>
      <c r="F881"/>
      <c r="G881"/>
      <c r="H881"/>
      <c r="I881" s="532"/>
      <c r="V881"/>
      <c r="W881"/>
      <c r="Z881"/>
      <c r="AA881"/>
      <c r="AC881"/>
      <c r="AD881"/>
      <c r="AE881"/>
      <c r="AI881" s="960"/>
      <c r="AM881"/>
    </row>
    <row r="882" spans="3:39" x14ac:dyDescent="0.2">
      <c r="C882"/>
      <c r="D882"/>
      <c r="E882"/>
      <c r="F882"/>
      <c r="G882"/>
      <c r="H882"/>
      <c r="I882" s="532"/>
      <c r="V882"/>
      <c r="W882"/>
      <c r="Z882"/>
      <c r="AA882"/>
      <c r="AC882"/>
      <c r="AD882"/>
      <c r="AE882"/>
      <c r="AI882" s="960"/>
      <c r="AM882"/>
    </row>
    <row r="883" spans="3:39" x14ac:dyDescent="0.2">
      <c r="C883"/>
      <c r="D883"/>
      <c r="E883"/>
      <c r="F883"/>
      <c r="G883"/>
      <c r="H883"/>
      <c r="I883" s="532"/>
      <c r="V883"/>
      <c r="W883"/>
      <c r="Z883"/>
      <c r="AA883"/>
      <c r="AC883"/>
      <c r="AD883"/>
      <c r="AE883"/>
      <c r="AI883" s="960"/>
      <c r="AM883"/>
    </row>
    <row r="884" spans="3:39" x14ac:dyDescent="0.2">
      <c r="C884"/>
      <c r="D884"/>
      <c r="E884"/>
      <c r="F884"/>
      <c r="G884"/>
      <c r="H884"/>
      <c r="I884" s="532"/>
      <c r="V884"/>
      <c r="W884"/>
      <c r="Z884"/>
      <c r="AA884"/>
      <c r="AC884"/>
      <c r="AD884"/>
      <c r="AE884"/>
      <c r="AI884" s="960"/>
      <c r="AM884"/>
    </row>
    <row r="885" spans="3:39" x14ac:dyDescent="0.2">
      <c r="C885"/>
      <c r="D885"/>
      <c r="E885"/>
      <c r="F885"/>
      <c r="G885"/>
      <c r="H885"/>
      <c r="I885" s="532"/>
      <c r="V885"/>
      <c r="W885"/>
      <c r="Z885"/>
      <c r="AA885"/>
      <c r="AC885"/>
      <c r="AD885"/>
      <c r="AE885"/>
      <c r="AI885" s="960"/>
      <c r="AM885"/>
    </row>
    <row r="886" spans="3:39" x14ac:dyDescent="0.2">
      <c r="C886"/>
      <c r="D886"/>
      <c r="E886"/>
      <c r="F886"/>
      <c r="G886"/>
      <c r="H886"/>
      <c r="I886" s="532"/>
      <c r="V886"/>
      <c r="W886"/>
      <c r="Z886"/>
      <c r="AA886"/>
      <c r="AC886"/>
      <c r="AD886"/>
      <c r="AE886"/>
      <c r="AI886" s="960"/>
      <c r="AM886"/>
    </row>
    <row r="887" spans="3:39" x14ac:dyDescent="0.2">
      <c r="C887"/>
      <c r="D887"/>
      <c r="E887"/>
      <c r="F887"/>
      <c r="G887"/>
      <c r="H887"/>
      <c r="I887" s="532"/>
      <c r="V887"/>
      <c r="W887"/>
      <c r="Z887"/>
      <c r="AA887"/>
      <c r="AC887"/>
      <c r="AD887"/>
      <c r="AE887"/>
      <c r="AI887" s="960"/>
      <c r="AM887"/>
    </row>
    <row r="888" spans="3:39" x14ac:dyDescent="0.2">
      <c r="C888"/>
      <c r="D888"/>
      <c r="E888"/>
      <c r="F888"/>
      <c r="G888"/>
      <c r="H888"/>
      <c r="I888" s="532"/>
      <c r="V888"/>
      <c r="W888"/>
      <c r="Z888"/>
      <c r="AA888"/>
      <c r="AC888"/>
      <c r="AD888"/>
      <c r="AE888"/>
      <c r="AI888" s="960"/>
      <c r="AM888"/>
    </row>
    <row r="889" spans="3:39" x14ac:dyDescent="0.2">
      <c r="C889"/>
      <c r="D889"/>
      <c r="E889"/>
      <c r="F889"/>
      <c r="G889"/>
      <c r="H889"/>
      <c r="I889" s="532"/>
      <c r="V889"/>
      <c r="W889"/>
      <c r="Z889"/>
      <c r="AA889"/>
      <c r="AC889"/>
      <c r="AD889"/>
      <c r="AE889"/>
      <c r="AI889" s="960"/>
      <c r="AM889"/>
    </row>
    <row r="890" spans="3:39" x14ac:dyDescent="0.2">
      <c r="C890"/>
      <c r="D890"/>
      <c r="E890"/>
      <c r="F890"/>
      <c r="G890"/>
      <c r="H890"/>
      <c r="I890" s="532"/>
      <c r="V890"/>
      <c r="W890"/>
      <c r="Z890"/>
      <c r="AA890"/>
      <c r="AC890"/>
      <c r="AD890"/>
      <c r="AE890"/>
      <c r="AI890" s="960"/>
      <c r="AM890"/>
    </row>
    <row r="891" spans="3:39" x14ac:dyDescent="0.2">
      <c r="C891"/>
      <c r="D891"/>
      <c r="E891"/>
      <c r="F891"/>
      <c r="G891"/>
      <c r="H891"/>
      <c r="I891" s="532"/>
      <c r="V891"/>
      <c r="W891"/>
      <c r="Z891"/>
      <c r="AA891"/>
      <c r="AC891"/>
      <c r="AD891"/>
      <c r="AE891"/>
      <c r="AI891" s="960"/>
      <c r="AM891"/>
    </row>
    <row r="892" spans="3:39" x14ac:dyDescent="0.2">
      <c r="C892"/>
      <c r="D892"/>
      <c r="E892"/>
      <c r="F892"/>
      <c r="G892"/>
      <c r="H892"/>
      <c r="I892" s="532"/>
      <c r="V892"/>
      <c r="W892"/>
      <c r="Z892"/>
      <c r="AA892"/>
      <c r="AC892"/>
      <c r="AD892"/>
      <c r="AE892"/>
      <c r="AI892" s="960"/>
      <c r="AM892"/>
    </row>
    <row r="893" spans="3:39" x14ac:dyDescent="0.2">
      <c r="C893"/>
      <c r="D893"/>
      <c r="E893"/>
      <c r="F893"/>
      <c r="G893"/>
      <c r="H893"/>
      <c r="I893" s="532"/>
      <c r="V893"/>
      <c r="W893"/>
      <c r="Z893"/>
      <c r="AA893"/>
      <c r="AC893"/>
      <c r="AD893"/>
      <c r="AE893"/>
      <c r="AI893" s="960"/>
      <c r="AM893"/>
    </row>
    <row r="894" spans="3:39" x14ac:dyDescent="0.2">
      <c r="C894"/>
      <c r="D894"/>
      <c r="E894"/>
      <c r="F894"/>
      <c r="G894"/>
      <c r="H894"/>
      <c r="I894" s="532"/>
      <c r="V894"/>
      <c r="W894"/>
      <c r="Z894"/>
      <c r="AA894"/>
      <c r="AC894"/>
      <c r="AD894"/>
      <c r="AE894"/>
      <c r="AI894" s="960"/>
      <c r="AM894"/>
    </row>
    <row r="895" spans="3:39" x14ac:dyDescent="0.2">
      <c r="C895"/>
      <c r="D895"/>
      <c r="E895"/>
      <c r="F895"/>
      <c r="G895"/>
      <c r="H895"/>
      <c r="I895" s="532"/>
      <c r="V895"/>
      <c r="W895"/>
      <c r="Z895"/>
      <c r="AA895"/>
      <c r="AC895"/>
      <c r="AD895"/>
      <c r="AE895"/>
      <c r="AI895" s="960"/>
      <c r="AM895"/>
    </row>
    <row r="896" spans="3:39" x14ac:dyDescent="0.2">
      <c r="C896"/>
      <c r="D896"/>
      <c r="E896"/>
      <c r="F896"/>
      <c r="G896"/>
      <c r="H896"/>
      <c r="I896" s="532"/>
      <c r="V896"/>
      <c r="W896"/>
      <c r="Z896"/>
      <c r="AA896"/>
      <c r="AC896"/>
      <c r="AD896"/>
      <c r="AE896"/>
      <c r="AI896" s="960"/>
      <c r="AM896"/>
    </row>
    <row r="897" spans="3:39" x14ac:dyDescent="0.2">
      <c r="C897"/>
      <c r="D897"/>
      <c r="E897"/>
      <c r="F897"/>
      <c r="G897"/>
      <c r="H897"/>
      <c r="I897" s="532"/>
      <c r="V897"/>
      <c r="W897"/>
      <c r="Z897"/>
      <c r="AA897"/>
      <c r="AC897"/>
      <c r="AD897"/>
      <c r="AE897"/>
      <c r="AI897" s="960"/>
      <c r="AM897"/>
    </row>
    <row r="898" spans="3:39" x14ac:dyDescent="0.2">
      <c r="C898"/>
      <c r="D898"/>
      <c r="E898"/>
      <c r="F898"/>
      <c r="G898"/>
      <c r="H898"/>
      <c r="I898" s="532"/>
      <c r="V898"/>
      <c r="W898"/>
      <c r="Z898"/>
      <c r="AA898"/>
      <c r="AC898"/>
      <c r="AD898"/>
      <c r="AE898"/>
      <c r="AI898" s="960"/>
      <c r="AM898"/>
    </row>
    <row r="899" spans="3:39" x14ac:dyDescent="0.2">
      <c r="C899"/>
      <c r="D899"/>
      <c r="E899"/>
      <c r="F899"/>
      <c r="G899"/>
      <c r="H899"/>
      <c r="I899" s="532"/>
      <c r="V899"/>
      <c r="W899"/>
      <c r="Z899"/>
      <c r="AA899"/>
      <c r="AC899"/>
      <c r="AD899"/>
      <c r="AE899"/>
      <c r="AI899" s="960"/>
      <c r="AM899"/>
    </row>
    <row r="900" spans="3:39" x14ac:dyDescent="0.2">
      <c r="C900"/>
      <c r="D900"/>
      <c r="E900"/>
      <c r="F900"/>
      <c r="G900"/>
      <c r="H900"/>
      <c r="I900" s="532"/>
      <c r="V900"/>
      <c r="W900"/>
      <c r="Z900"/>
      <c r="AA900"/>
      <c r="AC900"/>
      <c r="AD900"/>
      <c r="AE900"/>
      <c r="AI900" s="960"/>
      <c r="AM900"/>
    </row>
    <row r="901" spans="3:39" x14ac:dyDescent="0.2">
      <c r="C901"/>
      <c r="D901"/>
      <c r="E901"/>
      <c r="F901"/>
      <c r="G901"/>
      <c r="H901"/>
      <c r="I901" s="532"/>
      <c r="V901"/>
      <c r="W901"/>
      <c r="Z901"/>
      <c r="AA901"/>
      <c r="AC901"/>
      <c r="AD901"/>
      <c r="AE901"/>
      <c r="AI901" s="960"/>
      <c r="AM901"/>
    </row>
    <row r="902" spans="3:39" x14ac:dyDescent="0.2">
      <c r="C902"/>
      <c r="D902"/>
      <c r="E902"/>
      <c r="F902"/>
      <c r="G902"/>
      <c r="H902"/>
      <c r="I902" s="532"/>
      <c r="V902"/>
      <c r="W902"/>
      <c r="Z902"/>
      <c r="AA902"/>
      <c r="AC902"/>
      <c r="AD902"/>
      <c r="AE902"/>
      <c r="AI902" s="960"/>
      <c r="AM902"/>
    </row>
    <row r="903" spans="3:39" x14ac:dyDescent="0.2">
      <c r="C903"/>
      <c r="D903"/>
      <c r="E903"/>
      <c r="F903"/>
      <c r="G903"/>
      <c r="H903"/>
      <c r="I903" s="532"/>
      <c r="V903"/>
      <c r="W903"/>
      <c r="Z903"/>
      <c r="AA903"/>
      <c r="AC903"/>
      <c r="AD903"/>
      <c r="AE903"/>
      <c r="AI903" s="960"/>
      <c r="AM903"/>
    </row>
    <row r="904" spans="3:39" x14ac:dyDescent="0.2">
      <c r="C904"/>
      <c r="D904"/>
      <c r="E904"/>
      <c r="F904"/>
      <c r="G904"/>
      <c r="H904"/>
      <c r="I904" s="532"/>
      <c r="V904"/>
      <c r="W904"/>
      <c r="Z904"/>
      <c r="AA904"/>
      <c r="AC904"/>
      <c r="AD904"/>
      <c r="AE904"/>
      <c r="AI904" s="960"/>
      <c r="AM904"/>
    </row>
    <row r="905" spans="3:39" x14ac:dyDescent="0.2">
      <c r="C905"/>
      <c r="D905"/>
      <c r="E905"/>
      <c r="F905"/>
      <c r="G905"/>
      <c r="H905"/>
      <c r="I905" s="532"/>
      <c r="V905"/>
      <c r="W905"/>
      <c r="Z905"/>
      <c r="AA905"/>
      <c r="AC905"/>
      <c r="AD905"/>
      <c r="AE905"/>
      <c r="AI905" s="960"/>
      <c r="AM905"/>
    </row>
    <row r="906" spans="3:39" x14ac:dyDescent="0.2">
      <c r="C906"/>
      <c r="D906"/>
      <c r="E906"/>
      <c r="F906"/>
      <c r="G906"/>
      <c r="H906"/>
      <c r="I906" s="532"/>
      <c r="V906"/>
      <c r="W906"/>
      <c r="Z906"/>
      <c r="AA906"/>
      <c r="AC906"/>
      <c r="AD906"/>
      <c r="AE906"/>
      <c r="AI906" s="960"/>
      <c r="AM906"/>
    </row>
    <row r="907" spans="3:39" x14ac:dyDescent="0.2">
      <c r="C907"/>
      <c r="D907"/>
      <c r="E907"/>
      <c r="F907"/>
      <c r="G907"/>
      <c r="H907"/>
      <c r="I907" s="532"/>
      <c r="V907"/>
      <c r="W907"/>
      <c r="Z907"/>
      <c r="AA907"/>
      <c r="AC907"/>
      <c r="AD907"/>
      <c r="AE907"/>
      <c r="AI907" s="960"/>
      <c r="AM907"/>
    </row>
    <row r="908" spans="3:39" x14ac:dyDescent="0.2">
      <c r="C908"/>
      <c r="D908"/>
      <c r="E908"/>
      <c r="F908"/>
      <c r="G908"/>
      <c r="H908"/>
      <c r="I908" s="532"/>
      <c r="V908"/>
      <c r="W908"/>
      <c r="Z908"/>
      <c r="AA908"/>
      <c r="AC908"/>
      <c r="AD908"/>
      <c r="AE908"/>
      <c r="AI908" s="960"/>
      <c r="AM908"/>
    </row>
    <row r="909" spans="3:39" x14ac:dyDescent="0.2">
      <c r="C909"/>
      <c r="D909"/>
      <c r="E909"/>
      <c r="F909"/>
      <c r="G909"/>
      <c r="H909"/>
      <c r="I909" s="532"/>
      <c r="V909"/>
      <c r="W909"/>
      <c r="Z909"/>
      <c r="AA909"/>
      <c r="AC909"/>
      <c r="AD909"/>
      <c r="AE909"/>
      <c r="AI909" s="960"/>
      <c r="AM909"/>
    </row>
    <row r="910" spans="3:39" x14ac:dyDescent="0.2">
      <c r="C910"/>
      <c r="D910"/>
      <c r="E910"/>
      <c r="F910"/>
      <c r="G910"/>
      <c r="H910"/>
      <c r="I910" s="532"/>
      <c r="V910"/>
      <c r="W910"/>
      <c r="Z910"/>
      <c r="AA910"/>
      <c r="AC910"/>
      <c r="AD910"/>
      <c r="AE910"/>
      <c r="AI910" s="960"/>
      <c r="AM910"/>
    </row>
    <row r="911" spans="3:39" x14ac:dyDescent="0.2">
      <c r="C911"/>
      <c r="D911"/>
      <c r="E911"/>
      <c r="F911"/>
      <c r="G911"/>
      <c r="H911"/>
      <c r="I911" s="532"/>
      <c r="V911"/>
      <c r="W911"/>
      <c r="Z911"/>
      <c r="AA911"/>
      <c r="AC911"/>
      <c r="AD911"/>
      <c r="AE911"/>
      <c r="AI911" s="960"/>
      <c r="AM911"/>
    </row>
    <row r="912" spans="3:39" x14ac:dyDescent="0.2">
      <c r="C912"/>
      <c r="D912"/>
      <c r="E912"/>
      <c r="F912"/>
      <c r="G912"/>
      <c r="H912"/>
      <c r="I912" s="532"/>
      <c r="V912"/>
      <c r="W912"/>
      <c r="Z912"/>
      <c r="AA912"/>
      <c r="AC912"/>
      <c r="AD912"/>
      <c r="AE912"/>
      <c r="AI912" s="960"/>
      <c r="AM912"/>
    </row>
    <row r="913" spans="3:39" x14ac:dyDescent="0.2">
      <c r="C913"/>
      <c r="D913"/>
      <c r="E913"/>
      <c r="F913"/>
      <c r="G913"/>
      <c r="H913"/>
      <c r="I913" s="532"/>
      <c r="V913"/>
      <c r="W913"/>
      <c r="Z913"/>
      <c r="AA913"/>
      <c r="AC913"/>
      <c r="AD913"/>
      <c r="AE913"/>
      <c r="AI913" s="960"/>
      <c r="AM913"/>
    </row>
    <row r="914" spans="3:39" x14ac:dyDescent="0.2">
      <c r="C914"/>
      <c r="D914"/>
      <c r="E914"/>
      <c r="F914"/>
      <c r="G914"/>
      <c r="H914"/>
      <c r="I914" s="532"/>
      <c r="V914"/>
      <c r="W914"/>
      <c r="Z914"/>
      <c r="AA914"/>
      <c r="AC914"/>
      <c r="AD914"/>
      <c r="AE914"/>
      <c r="AI914" s="960"/>
      <c r="AM914"/>
    </row>
    <row r="915" spans="3:39" x14ac:dyDescent="0.2">
      <c r="C915"/>
      <c r="D915"/>
      <c r="E915"/>
      <c r="F915"/>
      <c r="G915"/>
      <c r="H915"/>
      <c r="I915" s="532"/>
      <c r="V915"/>
      <c r="W915"/>
      <c r="Z915"/>
      <c r="AA915"/>
      <c r="AC915"/>
      <c r="AD915"/>
      <c r="AE915"/>
      <c r="AI915" s="960"/>
      <c r="AM915"/>
    </row>
    <row r="916" spans="3:39" x14ac:dyDescent="0.2">
      <c r="C916"/>
      <c r="D916"/>
      <c r="E916"/>
      <c r="F916"/>
      <c r="G916"/>
      <c r="H916"/>
      <c r="I916" s="532"/>
      <c r="V916"/>
      <c r="W916"/>
      <c r="Z916"/>
      <c r="AA916"/>
      <c r="AC916"/>
      <c r="AD916"/>
      <c r="AE916"/>
      <c r="AI916" s="960"/>
      <c r="AM916"/>
    </row>
    <row r="917" spans="3:39" x14ac:dyDescent="0.2">
      <c r="C917"/>
      <c r="D917"/>
      <c r="E917"/>
      <c r="F917"/>
      <c r="G917"/>
      <c r="H917"/>
      <c r="I917" s="532"/>
      <c r="V917"/>
      <c r="W917"/>
      <c r="Z917"/>
      <c r="AA917"/>
      <c r="AC917"/>
      <c r="AD917"/>
      <c r="AE917"/>
      <c r="AI917" s="960"/>
      <c r="AM917"/>
    </row>
    <row r="918" spans="3:39" x14ac:dyDescent="0.2">
      <c r="C918"/>
      <c r="D918"/>
      <c r="E918"/>
      <c r="F918"/>
      <c r="G918"/>
      <c r="H918"/>
      <c r="I918" s="532"/>
      <c r="V918"/>
      <c r="W918"/>
      <c r="Z918"/>
      <c r="AA918"/>
      <c r="AC918"/>
      <c r="AD918"/>
      <c r="AE918"/>
      <c r="AI918" s="960"/>
      <c r="AM918"/>
    </row>
    <row r="919" spans="3:39" x14ac:dyDescent="0.2">
      <c r="C919"/>
      <c r="D919"/>
      <c r="E919"/>
      <c r="F919"/>
      <c r="G919"/>
      <c r="H919"/>
      <c r="I919" s="532"/>
      <c r="V919"/>
      <c r="W919"/>
      <c r="Z919"/>
      <c r="AA919"/>
      <c r="AC919"/>
      <c r="AD919"/>
      <c r="AE919"/>
      <c r="AI919" s="960"/>
      <c r="AM919"/>
    </row>
    <row r="920" spans="3:39" x14ac:dyDescent="0.2">
      <c r="C920"/>
      <c r="D920"/>
      <c r="E920"/>
      <c r="F920"/>
      <c r="G920"/>
      <c r="H920"/>
      <c r="I920" s="532"/>
      <c r="V920"/>
      <c r="W920"/>
      <c r="Z920"/>
      <c r="AA920"/>
      <c r="AC920"/>
      <c r="AD920"/>
      <c r="AE920"/>
      <c r="AI920" s="960"/>
      <c r="AM920"/>
    </row>
    <row r="921" spans="3:39" x14ac:dyDescent="0.2">
      <c r="C921"/>
      <c r="D921"/>
      <c r="E921"/>
      <c r="F921"/>
      <c r="G921"/>
      <c r="H921"/>
      <c r="I921" s="532"/>
      <c r="V921"/>
      <c r="W921"/>
      <c r="Z921"/>
      <c r="AA921"/>
      <c r="AC921"/>
      <c r="AD921"/>
      <c r="AE921"/>
      <c r="AI921" s="960"/>
      <c r="AM921"/>
    </row>
    <row r="922" spans="3:39" x14ac:dyDescent="0.2">
      <c r="C922"/>
      <c r="D922"/>
      <c r="E922"/>
      <c r="F922"/>
      <c r="G922"/>
      <c r="H922"/>
      <c r="I922" s="532"/>
      <c r="V922"/>
      <c r="W922"/>
      <c r="Z922"/>
      <c r="AA922"/>
      <c r="AC922"/>
      <c r="AD922"/>
      <c r="AE922"/>
      <c r="AI922" s="960"/>
      <c r="AM922"/>
    </row>
    <row r="923" spans="3:39" x14ac:dyDescent="0.2">
      <c r="C923"/>
      <c r="D923"/>
      <c r="E923"/>
      <c r="F923"/>
      <c r="G923"/>
      <c r="H923"/>
      <c r="I923" s="532"/>
      <c r="V923"/>
      <c r="W923"/>
      <c r="Z923"/>
      <c r="AA923"/>
      <c r="AC923"/>
      <c r="AD923"/>
      <c r="AE923"/>
      <c r="AI923" s="960"/>
      <c r="AM923"/>
    </row>
    <row r="924" spans="3:39" x14ac:dyDescent="0.2">
      <c r="C924"/>
      <c r="D924"/>
      <c r="E924"/>
      <c r="F924"/>
      <c r="G924"/>
      <c r="H924"/>
      <c r="I924" s="532"/>
      <c r="V924"/>
      <c r="W924"/>
      <c r="Z924"/>
      <c r="AA924"/>
      <c r="AC924"/>
      <c r="AD924"/>
      <c r="AE924"/>
      <c r="AI924" s="960"/>
      <c r="AM924"/>
    </row>
    <row r="925" spans="3:39" x14ac:dyDescent="0.2">
      <c r="C925"/>
      <c r="D925"/>
      <c r="E925"/>
      <c r="F925"/>
      <c r="G925"/>
      <c r="H925"/>
      <c r="I925" s="532"/>
      <c r="V925"/>
      <c r="W925"/>
      <c r="Z925"/>
      <c r="AA925"/>
      <c r="AC925"/>
      <c r="AD925"/>
      <c r="AE925"/>
      <c r="AI925" s="960"/>
      <c r="AM925"/>
    </row>
    <row r="926" spans="3:39" x14ac:dyDescent="0.2">
      <c r="C926"/>
      <c r="D926"/>
      <c r="E926"/>
      <c r="F926"/>
      <c r="G926"/>
      <c r="H926"/>
      <c r="I926" s="532"/>
      <c r="V926"/>
      <c r="W926"/>
      <c r="Z926"/>
      <c r="AA926"/>
      <c r="AC926"/>
      <c r="AD926"/>
      <c r="AE926"/>
      <c r="AI926" s="960"/>
      <c r="AM926"/>
    </row>
    <row r="927" spans="3:39" x14ac:dyDescent="0.2">
      <c r="C927"/>
      <c r="D927"/>
      <c r="E927"/>
      <c r="F927"/>
      <c r="G927"/>
      <c r="H927"/>
      <c r="I927" s="532"/>
      <c r="V927"/>
      <c r="W927"/>
      <c r="Z927"/>
      <c r="AA927"/>
      <c r="AC927"/>
      <c r="AD927"/>
      <c r="AE927"/>
      <c r="AI927" s="960"/>
      <c r="AM927"/>
    </row>
    <row r="928" spans="3:39" x14ac:dyDescent="0.2">
      <c r="C928"/>
      <c r="D928"/>
      <c r="E928"/>
      <c r="F928"/>
      <c r="G928"/>
      <c r="H928"/>
      <c r="I928" s="532"/>
      <c r="V928"/>
      <c r="W928"/>
      <c r="Z928"/>
      <c r="AA928"/>
      <c r="AC928"/>
      <c r="AD928"/>
      <c r="AE928"/>
      <c r="AI928" s="960"/>
      <c r="AM928"/>
    </row>
    <row r="929" spans="3:39" x14ac:dyDescent="0.2">
      <c r="C929"/>
      <c r="D929"/>
      <c r="E929"/>
      <c r="F929"/>
      <c r="G929"/>
      <c r="H929"/>
      <c r="I929" s="532"/>
      <c r="V929"/>
      <c r="W929"/>
      <c r="Z929"/>
      <c r="AA929"/>
      <c r="AC929"/>
      <c r="AD929"/>
      <c r="AE929"/>
      <c r="AI929" s="960"/>
      <c r="AM929"/>
    </row>
    <row r="930" spans="3:39" x14ac:dyDescent="0.2">
      <c r="C930"/>
      <c r="D930"/>
      <c r="E930"/>
      <c r="F930"/>
      <c r="G930"/>
      <c r="H930"/>
      <c r="I930" s="532"/>
      <c r="V930"/>
      <c r="W930"/>
      <c r="Z930"/>
      <c r="AA930"/>
      <c r="AC930"/>
      <c r="AD930"/>
      <c r="AE930"/>
      <c r="AI930" s="960"/>
      <c r="AM930"/>
    </row>
    <row r="931" spans="3:39" x14ac:dyDescent="0.2">
      <c r="C931"/>
      <c r="D931"/>
      <c r="E931"/>
      <c r="F931"/>
      <c r="G931"/>
      <c r="H931"/>
      <c r="I931" s="532"/>
      <c r="V931"/>
      <c r="W931"/>
      <c r="Z931"/>
      <c r="AA931"/>
      <c r="AC931"/>
      <c r="AD931"/>
      <c r="AE931"/>
      <c r="AI931" s="960"/>
      <c r="AM931"/>
    </row>
    <row r="932" spans="3:39" x14ac:dyDescent="0.2">
      <c r="C932"/>
      <c r="D932"/>
      <c r="E932"/>
      <c r="F932"/>
      <c r="G932"/>
      <c r="H932"/>
      <c r="I932" s="532"/>
      <c r="V932"/>
      <c r="W932"/>
      <c r="Z932"/>
      <c r="AA932"/>
      <c r="AC932"/>
      <c r="AD932"/>
      <c r="AE932"/>
      <c r="AI932" s="960"/>
      <c r="AM932"/>
    </row>
    <row r="933" spans="3:39" x14ac:dyDescent="0.2">
      <c r="C933"/>
      <c r="D933"/>
      <c r="E933"/>
      <c r="F933"/>
      <c r="G933"/>
      <c r="H933"/>
      <c r="I933" s="532"/>
      <c r="V933"/>
      <c r="W933"/>
      <c r="Z933"/>
      <c r="AA933"/>
      <c r="AC933"/>
      <c r="AD933"/>
      <c r="AE933"/>
      <c r="AI933" s="960"/>
      <c r="AM933"/>
    </row>
    <row r="934" spans="3:39" x14ac:dyDescent="0.2">
      <c r="C934"/>
      <c r="D934"/>
      <c r="E934"/>
      <c r="F934"/>
      <c r="G934"/>
      <c r="H934"/>
      <c r="I934" s="532"/>
      <c r="V934"/>
      <c r="W934"/>
      <c r="Z934"/>
      <c r="AA934"/>
      <c r="AC934"/>
      <c r="AD934"/>
      <c r="AE934"/>
      <c r="AI934" s="960"/>
      <c r="AM934"/>
    </row>
    <row r="935" spans="3:39" x14ac:dyDescent="0.2">
      <c r="C935"/>
      <c r="D935"/>
      <c r="E935"/>
      <c r="F935"/>
      <c r="G935"/>
      <c r="H935"/>
      <c r="I935" s="532"/>
      <c r="V935"/>
      <c r="W935"/>
      <c r="Z935"/>
      <c r="AA935"/>
      <c r="AC935"/>
      <c r="AD935"/>
      <c r="AE935"/>
      <c r="AI935" s="960"/>
      <c r="AM935"/>
    </row>
    <row r="936" spans="3:39" x14ac:dyDescent="0.2">
      <c r="C936"/>
      <c r="D936"/>
      <c r="E936"/>
      <c r="F936"/>
      <c r="G936"/>
      <c r="H936"/>
      <c r="I936" s="532"/>
      <c r="V936"/>
      <c r="W936"/>
      <c r="Z936"/>
      <c r="AA936"/>
      <c r="AC936"/>
      <c r="AD936"/>
      <c r="AE936"/>
      <c r="AI936" s="960"/>
      <c r="AM936"/>
    </row>
    <row r="937" spans="3:39" x14ac:dyDescent="0.2">
      <c r="C937"/>
      <c r="D937"/>
      <c r="E937"/>
      <c r="F937"/>
      <c r="G937"/>
      <c r="H937"/>
      <c r="I937" s="532"/>
      <c r="V937"/>
      <c r="W937"/>
      <c r="Z937"/>
      <c r="AA937"/>
      <c r="AC937"/>
      <c r="AD937"/>
      <c r="AE937"/>
      <c r="AI937" s="960"/>
      <c r="AM937"/>
    </row>
    <row r="938" spans="3:39" x14ac:dyDescent="0.2">
      <c r="C938"/>
      <c r="D938"/>
      <c r="E938"/>
      <c r="F938"/>
      <c r="G938"/>
      <c r="H938"/>
      <c r="I938" s="532"/>
      <c r="V938"/>
      <c r="W938"/>
      <c r="Z938"/>
      <c r="AA938"/>
      <c r="AC938"/>
      <c r="AD938"/>
      <c r="AE938"/>
      <c r="AI938" s="960"/>
      <c r="AM938"/>
    </row>
    <row r="939" spans="3:39" x14ac:dyDescent="0.2">
      <c r="C939"/>
      <c r="D939"/>
      <c r="E939"/>
      <c r="F939"/>
      <c r="G939"/>
      <c r="H939"/>
      <c r="I939" s="532"/>
      <c r="V939"/>
      <c r="W939"/>
      <c r="Z939"/>
      <c r="AA939"/>
      <c r="AC939"/>
      <c r="AD939"/>
      <c r="AE939"/>
      <c r="AI939" s="960"/>
      <c r="AM939"/>
    </row>
    <row r="940" spans="3:39" x14ac:dyDescent="0.2">
      <c r="C940"/>
      <c r="D940"/>
      <c r="E940"/>
      <c r="F940"/>
      <c r="G940"/>
      <c r="H940"/>
      <c r="I940" s="532"/>
      <c r="V940"/>
      <c r="W940"/>
      <c r="Z940"/>
      <c r="AA940"/>
      <c r="AC940"/>
      <c r="AD940"/>
      <c r="AE940"/>
      <c r="AI940" s="960"/>
      <c r="AM940"/>
    </row>
    <row r="941" spans="3:39" x14ac:dyDescent="0.2">
      <c r="C941"/>
      <c r="D941"/>
      <c r="E941"/>
      <c r="F941"/>
      <c r="G941"/>
      <c r="H941"/>
      <c r="I941" s="532"/>
      <c r="V941"/>
      <c r="W941"/>
      <c r="Z941"/>
      <c r="AA941"/>
      <c r="AC941"/>
      <c r="AD941"/>
      <c r="AE941"/>
      <c r="AI941" s="960"/>
      <c r="AM941"/>
    </row>
    <row r="942" spans="3:39" x14ac:dyDescent="0.2">
      <c r="C942"/>
      <c r="D942"/>
      <c r="E942"/>
      <c r="F942"/>
      <c r="G942"/>
      <c r="H942"/>
      <c r="I942" s="532"/>
      <c r="V942"/>
      <c r="W942"/>
      <c r="Z942"/>
      <c r="AA942"/>
      <c r="AC942"/>
      <c r="AD942"/>
      <c r="AE942"/>
      <c r="AI942" s="960"/>
      <c r="AM942"/>
    </row>
    <row r="943" spans="3:39" x14ac:dyDescent="0.2">
      <c r="C943"/>
      <c r="D943"/>
      <c r="E943"/>
      <c r="F943"/>
      <c r="G943"/>
      <c r="H943"/>
      <c r="I943" s="532"/>
      <c r="V943"/>
      <c r="W943"/>
      <c r="Z943"/>
      <c r="AA943"/>
      <c r="AC943"/>
      <c r="AD943"/>
      <c r="AE943"/>
      <c r="AI943" s="960"/>
      <c r="AM943"/>
    </row>
    <row r="944" spans="3:39" x14ac:dyDescent="0.2">
      <c r="C944"/>
      <c r="D944"/>
      <c r="E944"/>
      <c r="F944"/>
      <c r="G944"/>
      <c r="H944"/>
      <c r="I944" s="532"/>
      <c r="V944"/>
      <c r="W944"/>
      <c r="Z944"/>
      <c r="AA944"/>
      <c r="AC944"/>
      <c r="AD944"/>
      <c r="AE944"/>
      <c r="AI944" s="960"/>
      <c r="AM944"/>
    </row>
    <row r="945" spans="3:39" x14ac:dyDescent="0.2">
      <c r="C945"/>
      <c r="D945"/>
      <c r="E945"/>
      <c r="F945"/>
      <c r="G945"/>
      <c r="H945"/>
      <c r="I945" s="532"/>
      <c r="V945"/>
      <c r="W945"/>
      <c r="Z945"/>
      <c r="AA945"/>
      <c r="AC945"/>
      <c r="AD945"/>
      <c r="AE945"/>
      <c r="AI945" s="960"/>
      <c r="AM945"/>
    </row>
    <row r="946" spans="3:39" x14ac:dyDescent="0.2">
      <c r="C946"/>
      <c r="D946"/>
      <c r="E946"/>
      <c r="F946"/>
      <c r="G946"/>
      <c r="H946"/>
      <c r="I946" s="532"/>
      <c r="V946"/>
      <c r="W946"/>
      <c r="Z946"/>
      <c r="AA946"/>
      <c r="AC946"/>
      <c r="AD946"/>
      <c r="AE946"/>
      <c r="AI946" s="960"/>
      <c r="AM946"/>
    </row>
    <row r="947" spans="3:39" x14ac:dyDescent="0.2">
      <c r="C947"/>
      <c r="D947"/>
      <c r="E947"/>
      <c r="F947"/>
      <c r="G947"/>
      <c r="H947"/>
      <c r="I947" s="532"/>
      <c r="V947"/>
      <c r="W947"/>
      <c r="Z947"/>
      <c r="AA947"/>
      <c r="AC947"/>
      <c r="AD947"/>
      <c r="AE947"/>
      <c r="AI947" s="960"/>
      <c r="AM947"/>
    </row>
    <row r="948" spans="3:39" x14ac:dyDescent="0.2">
      <c r="C948"/>
      <c r="D948"/>
      <c r="E948"/>
      <c r="F948"/>
      <c r="G948"/>
      <c r="H948"/>
      <c r="I948" s="532"/>
      <c r="V948"/>
      <c r="W948"/>
      <c r="Z948"/>
      <c r="AA948"/>
      <c r="AC948"/>
      <c r="AD948"/>
      <c r="AE948"/>
      <c r="AI948" s="960"/>
      <c r="AM948"/>
    </row>
    <row r="949" spans="3:39" x14ac:dyDescent="0.2">
      <c r="C949"/>
      <c r="D949"/>
      <c r="E949"/>
      <c r="F949"/>
      <c r="G949"/>
      <c r="H949"/>
      <c r="I949" s="532"/>
      <c r="V949"/>
      <c r="W949"/>
      <c r="Z949"/>
      <c r="AA949"/>
      <c r="AC949"/>
      <c r="AD949"/>
      <c r="AE949"/>
      <c r="AI949" s="960"/>
      <c r="AM949"/>
    </row>
    <row r="950" spans="3:39" x14ac:dyDescent="0.2">
      <c r="C950"/>
      <c r="D950"/>
      <c r="E950"/>
      <c r="F950"/>
      <c r="G950"/>
      <c r="H950"/>
      <c r="I950" s="532"/>
      <c r="V950"/>
      <c r="W950"/>
      <c r="Z950"/>
      <c r="AA950"/>
      <c r="AC950"/>
      <c r="AD950"/>
      <c r="AE950"/>
      <c r="AI950" s="960"/>
      <c r="AM950"/>
    </row>
    <row r="951" spans="3:39" x14ac:dyDescent="0.2">
      <c r="C951"/>
      <c r="D951"/>
      <c r="E951"/>
      <c r="F951"/>
      <c r="G951"/>
      <c r="H951"/>
      <c r="I951" s="532"/>
      <c r="V951"/>
      <c r="W951"/>
      <c r="Z951"/>
      <c r="AA951"/>
      <c r="AC951"/>
      <c r="AD951"/>
      <c r="AE951"/>
      <c r="AI951" s="960"/>
      <c r="AM951"/>
    </row>
    <row r="952" spans="3:39" x14ac:dyDescent="0.2">
      <c r="C952"/>
      <c r="D952"/>
      <c r="E952"/>
      <c r="F952"/>
      <c r="G952"/>
      <c r="H952"/>
      <c r="I952" s="532"/>
      <c r="V952"/>
      <c r="W952"/>
      <c r="Z952"/>
      <c r="AA952"/>
      <c r="AC952"/>
      <c r="AD952"/>
      <c r="AE952"/>
      <c r="AI952" s="960"/>
      <c r="AM952"/>
    </row>
    <row r="953" spans="3:39" x14ac:dyDescent="0.2">
      <c r="C953"/>
      <c r="D953"/>
      <c r="E953"/>
      <c r="F953"/>
      <c r="G953"/>
      <c r="H953"/>
      <c r="I953" s="532"/>
      <c r="V953"/>
      <c r="W953"/>
      <c r="Z953"/>
      <c r="AA953"/>
      <c r="AC953"/>
      <c r="AD953"/>
      <c r="AE953"/>
      <c r="AI953" s="960"/>
      <c r="AM953"/>
    </row>
    <row r="954" spans="3:39" x14ac:dyDescent="0.2">
      <c r="C954"/>
      <c r="D954"/>
      <c r="E954"/>
      <c r="F954"/>
      <c r="G954"/>
      <c r="H954"/>
      <c r="I954" s="532"/>
      <c r="V954"/>
      <c r="W954"/>
      <c r="Z954"/>
      <c r="AA954"/>
      <c r="AC954"/>
      <c r="AD954"/>
      <c r="AE954"/>
      <c r="AI954" s="960"/>
      <c r="AM954"/>
    </row>
    <row r="955" spans="3:39" x14ac:dyDescent="0.2">
      <c r="C955"/>
      <c r="D955"/>
      <c r="E955"/>
      <c r="F955"/>
      <c r="G955"/>
      <c r="H955"/>
      <c r="I955" s="532"/>
      <c r="V955"/>
      <c r="W955"/>
      <c r="Z955"/>
      <c r="AA955"/>
      <c r="AC955"/>
      <c r="AD955"/>
      <c r="AE955"/>
      <c r="AI955" s="960"/>
      <c r="AM955"/>
    </row>
    <row r="956" spans="3:39" x14ac:dyDescent="0.2">
      <c r="C956"/>
      <c r="D956"/>
      <c r="E956"/>
      <c r="F956"/>
      <c r="G956"/>
      <c r="H956"/>
      <c r="I956" s="532"/>
      <c r="V956"/>
      <c r="W956"/>
      <c r="Z956"/>
      <c r="AA956"/>
      <c r="AC956"/>
      <c r="AD956"/>
      <c r="AE956"/>
      <c r="AI956" s="960"/>
      <c r="AM956"/>
    </row>
    <row r="957" spans="3:39" x14ac:dyDescent="0.2">
      <c r="C957"/>
      <c r="D957"/>
      <c r="E957"/>
      <c r="F957"/>
      <c r="G957"/>
      <c r="H957"/>
      <c r="I957" s="532"/>
      <c r="V957"/>
      <c r="W957"/>
      <c r="Z957"/>
      <c r="AA957"/>
      <c r="AC957"/>
      <c r="AD957"/>
      <c r="AE957"/>
      <c r="AI957" s="960"/>
      <c r="AM957"/>
    </row>
    <row r="958" spans="3:39" x14ac:dyDescent="0.2">
      <c r="C958"/>
      <c r="D958"/>
      <c r="E958"/>
      <c r="F958"/>
      <c r="G958"/>
      <c r="H958"/>
      <c r="I958" s="532"/>
      <c r="V958"/>
      <c r="W958"/>
      <c r="Z958"/>
      <c r="AA958"/>
      <c r="AC958"/>
      <c r="AD958"/>
      <c r="AE958"/>
      <c r="AI958" s="960"/>
      <c r="AM958"/>
    </row>
    <row r="959" spans="3:39" x14ac:dyDescent="0.2">
      <c r="C959"/>
      <c r="D959"/>
      <c r="E959"/>
      <c r="F959"/>
      <c r="G959"/>
      <c r="H959"/>
      <c r="I959" s="532"/>
      <c r="V959"/>
      <c r="W959"/>
      <c r="Z959"/>
      <c r="AA959"/>
      <c r="AC959"/>
      <c r="AD959"/>
      <c r="AE959"/>
      <c r="AI959" s="960"/>
      <c r="AM959"/>
    </row>
    <row r="960" spans="3:39" x14ac:dyDescent="0.2">
      <c r="C960"/>
      <c r="D960"/>
      <c r="E960"/>
      <c r="F960"/>
      <c r="G960"/>
      <c r="H960"/>
      <c r="I960" s="532"/>
      <c r="V960"/>
      <c r="W960"/>
      <c r="Z960"/>
      <c r="AA960"/>
      <c r="AC960"/>
      <c r="AD960"/>
      <c r="AE960"/>
      <c r="AI960" s="960"/>
      <c r="AM960"/>
    </row>
    <row r="961" spans="3:39" x14ac:dyDescent="0.2">
      <c r="C961"/>
      <c r="D961"/>
      <c r="E961"/>
      <c r="F961"/>
      <c r="G961"/>
      <c r="H961"/>
      <c r="I961" s="532"/>
      <c r="V961"/>
      <c r="W961"/>
      <c r="Z961"/>
      <c r="AA961"/>
      <c r="AC961"/>
      <c r="AD961"/>
      <c r="AE961"/>
      <c r="AI961" s="960"/>
      <c r="AM961"/>
    </row>
    <row r="962" spans="3:39" x14ac:dyDescent="0.2">
      <c r="C962"/>
      <c r="D962"/>
      <c r="E962"/>
      <c r="F962"/>
      <c r="G962"/>
      <c r="H962"/>
      <c r="I962" s="532"/>
      <c r="V962"/>
      <c r="W962"/>
      <c r="Z962"/>
      <c r="AA962"/>
      <c r="AC962"/>
      <c r="AD962"/>
      <c r="AE962"/>
      <c r="AI962" s="960"/>
      <c r="AM962"/>
    </row>
    <row r="963" spans="3:39" x14ac:dyDescent="0.2">
      <c r="C963"/>
      <c r="D963"/>
      <c r="E963"/>
      <c r="F963"/>
      <c r="G963"/>
      <c r="H963"/>
      <c r="I963" s="532"/>
      <c r="V963"/>
      <c r="W963"/>
      <c r="Z963"/>
      <c r="AA963"/>
      <c r="AC963"/>
      <c r="AD963"/>
      <c r="AE963"/>
      <c r="AI963" s="960"/>
      <c r="AM963"/>
    </row>
    <row r="964" spans="3:39" x14ac:dyDescent="0.2">
      <c r="C964"/>
      <c r="D964"/>
      <c r="E964"/>
      <c r="F964"/>
      <c r="G964"/>
      <c r="H964"/>
      <c r="I964" s="532"/>
      <c r="V964"/>
      <c r="W964"/>
      <c r="Z964"/>
      <c r="AA964"/>
      <c r="AC964"/>
      <c r="AD964"/>
      <c r="AE964"/>
      <c r="AI964" s="960"/>
      <c r="AM964"/>
    </row>
    <row r="965" spans="3:39" x14ac:dyDescent="0.2">
      <c r="C965"/>
      <c r="D965"/>
      <c r="E965"/>
      <c r="F965"/>
      <c r="G965"/>
      <c r="H965"/>
      <c r="I965" s="532"/>
      <c r="V965"/>
      <c r="W965"/>
      <c r="Z965"/>
      <c r="AA965"/>
      <c r="AC965"/>
      <c r="AD965"/>
      <c r="AE965"/>
      <c r="AI965" s="960"/>
      <c r="AM965"/>
    </row>
    <row r="966" spans="3:39" x14ac:dyDescent="0.2">
      <c r="C966"/>
      <c r="D966"/>
      <c r="E966"/>
      <c r="F966"/>
      <c r="G966"/>
      <c r="H966"/>
      <c r="I966" s="532"/>
      <c r="V966"/>
      <c r="W966"/>
      <c r="Z966"/>
      <c r="AA966"/>
      <c r="AC966"/>
      <c r="AD966"/>
      <c r="AE966"/>
      <c r="AI966" s="960"/>
      <c r="AM966"/>
    </row>
    <row r="967" spans="3:39" x14ac:dyDescent="0.2">
      <c r="C967"/>
      <c r="D967"/>
      <c r="E967"/>
      <c r="F967"/>
      <c r="G967"/>
      <c r="H967"/>
      <c r="I967" s="532"/>
      <c r="V967"/>
      <c r="W967"/>
      <c r="Z967"/>
      <c r="AA967"/>
      <c r="AC967"/>
      <c r="AD967"/>
      <c r="AE967"/>
      <c r="AI967" s="960"/>
      <c r="AM967"/>
    </row>
    <row r="968" spans="3:39" x14ac:dyDescent="0.2">
      <c r="C968"/>
      <c r="D968"/>
      <c r="E968"/>
      <c r="F968"/>
      <c r="G968"/>
      <c r="H968"/>
      <c r="I968" s="532"/>
      <c r="V968"/>
      <c r="W968"/>
      <c r="Z968"/>
      <c r="AA968"/>
      <c r="AC968"/>
      <c r="AD968"/>
      <c r="AE968"/>
      <c r="AI968" s="960"/>
      <c r="AM968"/>
    </row>
    <row r="969" spans="3:39" x14ac:dyDescent="0.2">
      <c r="C969"/>
      <c r="D969"/>
      <c r="E969"/>
      <c r="F969"/>
      <c r="G969"/>
      <c r="H969"/>
      <c r="I969" s="532"/>
      <c r="V969"/>
      <c r="W969"/>
      <c r="Z969"/>
      <c r="AA969"/>
      <c r="AC969"/>
      <c r="AD969"/>
      <c r="AE969"/>
      <c r="AI969" s="960"/>
      <c r="AM969"/>
    </row>
    <row r="970" spans="3:39" x14ac:dyDescent="0.2">
      <c r="C970"/>
      <c r="D970"/>
      <c r="E970"/>
      <c r="F970"/>
      <c r="G970"/>
      <c r="H970"/>
      <c r="I970" s="532"/>
      <c r="V970"/>
      <c r="W970"/>
      <c r="Z970"/>
      <c r="AA970"/>
      <c r="AC970"/>
      <c r="AD970"/>
      <c r="AE970"/>
      <c r="AI970" s="960"/>
      <c r="AM970"/>
    </row>
    <row r="971" spans="3:39" x14ac:dyDescent="0.2">
      <c r="C971"/>
      <c r="D971"/>
      <c r="E971"/>
      <c r="F971"/>
      <c r="G971"/>
      <c r="H971"/>
      <c r="I971" s="532"/>
      <c r="V971"/>
      <c r="W971"/>
      <c r="Z971"/>
      <c r="AA971"/>
      <c r="AC971"/>
      <c r="AD971"/>
      <c r="AE971"/>
      <c r="AI971" s="960"/>
      <c r="AM971"/>
    </row>
    <row r="972" spans="3:39" x14ac:dyDescent="0.2">
      <c r="C972"/>
      <c r="D972"/>
      <c r="E972"/>
      <c r="F972"/>
      <c r="G972"/>
      <c r="H972"/>
      <c r="I972" s="532"/>
      <c r="V972"/>
      <c r="W972"/>
      <c r="Z972"/>
      <c r="AA972"/>
      <c r="AC972"/>
      <c r="AD972"/>
      <c r="AE972"/>
      <c r="AI972" s="960"/>
      <c r="AM972"/>
    </row>
    <row r="973" spans="3:39" x14ac:dyDescent="0.2">
      <c r="C973"/>
      <c r="D973"/>
      <c r="E973"/>
      <c r="F973"/>
      <c r="G973"/>
      <c r="H973"/>
      <c r="I973" s="532"/>
      <c r="V973"/>
      <c r="W973"/>
      <c r="Z973"/>
      <c r="AA973"/>
      <c r="AC973"/>
      <c r="AD973"/>
      <c r="AE973"/>
      <c r="AI973" s="960"/>
      <c r="AM973"/>
    </row>
    <row r="974" spans="3:39" x14ac:dyDescent="0.2">
      <c r="C974"/>
      <c r="D974"/>
      <c r="E974"/>
      <c r="F974"/>
      <c r="G974"/>
      <c r="H974"/>
      <c r="I974" s="532"/>
      <c r="V974"/>
      <c r="W974"/>
      <c r="Z974"/>
      <c r="AA974"/>
      <c r="AC974"/>
      <c r="AD974"/>
      <c r="AE974"/>
      <c r="AI974" s="960"/>
      <c r="AM974"/>
    </row>
    <row r="975" spans="3:39" x14ac:dyDescent="0.2">
      <c r="C975"/>
      <c r="D975"/>
      <c r="E975"/>
      <c r="F975"/>
      <c r="G975"/>
      <c r="H975"/>
      <c r="I975" s="532"/>
      <c r="V975"/>
      <c r="W975"/>
      <c r="Z975"/>
      <c r="AA975"/>
      <c r="AC975"/>
      <c r="AD975"/>
      <c r="AE975"/>
      <c r="AI975" s="960"/>
      <c r="AM975"/>
    </row>
    <row r="976" spans="3:39" x14ac:dyDescent="0.2">
      <c r="C976"/>
      <c r="D976"/>
      <c r="E976"/>
      <c r="F976"/>
      <c r="G976"/>
      <c r="H976"/>
      <c r="I976" s="532"/>
      <c r="V976"/>
      <c r="W976"/>
      <c r="Z976"/>
      <c r="AA976"/>
      <c r="AC976"/>
      <c r="AD976"/>
      <c r="AE976"/>
      <c r="AI976" s="960"/>
      <c r="AM976"/>
    </row>
    <row r="977" spans="3:39" x14ac:dyDescent="0.2">
      <c r="C977"/>
      <c r="D977"/>
      <c r="E977"/>
      <c r="F977"/>
      <c r="G977"/>
      <c r="H977"/>
      <c r="I977" s="532"/>
      <c r="V977"/>
      <c r="W977"/>
      <c r="Z977"/>
      <c r="AA977"/>
      <c r="AC977"/>
      <c r="AD977"/>
      <c r="AE977"/>
      <c r="AI977" s="960"/>
      <c r="AM977"/>
    </row>
    <row r="978" spans="3:39" x14ac:dyDescent="0.2">
      <c r="C978"/>
      <c r="D978"/>
      <c r="E978"/>
      <c r="F978"/>
      <c r="G978"/>
      <c r="H978"/>
      <c r="I978" s="532"/>
      <c r="V978"/>
      <c r="W978"/>
      <c r="Z978"/>
      <c r="AA978"/>
      <c r="AC978"/>
      <c r="AD978"/>
      <c r="AE978"/>
      <c r="AI978" s="960"/>
      <c r="AM978"/>
    </row>
    <row r="979" spans="3:39" x14ac:dyDescent="0.2">
      <c r="C979"/>
      <c r="D979"/>
      <c r="E979"/>
      <c r="F979"/>
      <c r="G979"/>
      <c r="H979"/>
      <c r="I979" s="532"/>
      <c r="V979"/>
      <c r="W979"/>
      <c r="Z979"/>
      <c r="AA979"/>
      <c r="AC979"/>
      <c r="AD979"/>
      <c r="AE979"/>
      <c r="AI979" s="960"/>
      <c r="AM979"/>
    </row>
    <row r="980" spans="3:39" x14ac:dyDescent="0.2">
      <c r="C980"/>
      <c r="D980"/>
      <c r="E980"/>
      <c r="F980"/>
      <c r="G980"/>
      <c r="H980"/>
      <c r="I980" s="532"/>
      <c r="V980"/>
      <c r="W980"/>
      <c r="Z980"/>
      <c r="AA980"/>
      <c r="AC980"/>
      <c r="AD980"/>
      <c r="AE980"/>
      <c r="AI980" s="960"/>
      <c r="AM980"/>
    </row>
    <row r="981" spans="3:39" x14ac:dyDescent="0.2">
      <c r="C981"/>
      <c r="D981"/>
      <c r="E981"/>
      <c r="F981"/>
      <c r="G981"/>
      <c r="H981"/>
      <c r="I981" s="532"/>
      <c r="V981"/>
      <c r="W981"/>
      <c r="Z981"/>
      <c r="AA981"/>
      <c r="AC981"/>
      <c r="AD981"/>
      <c r="AE981"/>
      <c r="AI981" s="960"/>
      <c r="AM981"/>
    </row>
    <row r="982" spans="3:39" x14ac:dyDescent="0.2">
      <c r="C982"/>
      <c r="D982"/>
      <c r="E982"/>
      <c r="F982"/>
      <c r="G982"/>
      <c r="H982"/>
      <c r="I982" s="532"/>
      <c r="V982"/>
      <c r="W982"/>
      <c r="Z982"/>
      <c r="AA982"/>
      <c r="AC982"/>
      <c r="AD982"/>
      <c r="AE982"/>
      <c r="AI982" s="960"/>
      <c r="AM982"/>
    </row>
    <row r="983" spans="3:39" x14ac:dyDescent="0.2">
      <c r="C983"/>
      <c r="D983"/>
      <c r="E983"/>
      <c r="F983"/>
      <c r="G983"/>
      <c r="H983"/>
      <c r="I983" s="532"/>
      <c r="V983"/>
      <c r="W983"/>
      <c r="Z983"/>
      <c r="AA983"/>
      <c r="AC983"/>
      <c r="AD983"/>
      <c r="AE983"/>
      <c r="AI983" s="960"/>
      <c r="AM983"/>
    </row>
    <row r="984" spans="3:39" x14ac:dyDescent="0.2">
      <c r="C984"/>
      <c r="D984"/>
      <c r="E984"/>
      <c r="F984"/>
      <c r="G984"/>
      <c r="H984"/>
      <c r="I984" s="532"/>
      <c r="V984"/>
      <c r="W984"/>
      <c r="Z984"/>
      <c r="AA984"/>
      <c r="AC984"/>
      <c r="AD984"/>
      <c r="AE984"/>
      <c r="AI984" s="960"/>
      <c r="AM984"/>
    </row>
    <row r="985" spans="3:39" x14ac:dyDescent="0.2">
      <c r="C985"/>
      <c r="D985"/>
      <c r="E985"/>
      <c r="F985"/>
      <c r="G985"/>
      <c r="H985"/>
      <c r="I985" s="532"/>
      <c r="V985"/>
      <c r="W985"/>
      <c r="Z985"/>
      <c r="AA985"/>
      <c r="AC985"/>
      <c r="AD985"/>
      <c r="AE985"/>
      <c r="AI985" s="960"/>
      <c r="AM985"/>
    </row>
    <row r="986" spans="3:39" x14ac:dyDescent="0.2">
      <c r="C986"/>
      <c r="D986"/>
      <c r="E986"/>
      <c r="F986"/>
      <c r="G986"/>
      <c r="H986"/>
      <c r="I986" s="532"/>
      <c r="V986"/>
      <c r="W986"/>
      <c r="Z986"/>
      <c r="AA986"/>
      <c r="AC986"/>
      <c r="AD986"/>
      <c r="AE986"/>
      <c r="AI986" s="960"/>
      <c r="AM986"/>
    </row>
    <row r="987" spans="3:39" x14ac:dyDescent="0.2">
      <c r="C987"/>
      <c r="D987"/>
      <c r="E987"/>
      <c r="F987"/>
      <c r="G987"/>
      <c r="H987"/>
      <c r="I987" s="532"/>
      <c r="V987"/>
      <c r="W987"/>
      <c r="Z987"/>
      <c r="AA987"/>
      <c r="AC987"/>
      <c r="AD987"/>
      <c r="AE987"/>
      <c r="AI987" s="960"/>
      <c r="AM987"/>
    </row>
    <row r="988" spans="3:39" x14ac:dyDescent="0.2">
      <c r="C988"/>
      <c r="D988"/>
      <c r="E988"/>
      <c r="F988"/>
      <c r="G988"/>
      <c r="H988"/>
      <c r="I988" s="532"/>
      <c r="V988"/>
      <c r="W988"/>
      <c r="Z988"/>
      <c r="AA988"/>
      <c r="AC988"/>
      <c r="AD988"/>
      <c r="AE988"/>
      <c r="AI988" s="960"/>
      <c r="AM988"/>
    </row>
    <row r="989" spans="3:39" x14ac:dyDescent="0.2">
      <c r="C989"/>
      <c r="D989"/>
      <c r="E989"/>
      <c r="F989"/>
      <c r="G989"/>
      <c r="H989"/>
      <c r="I989" s="532"/>
      <c r="V989"/>
      <c r="W989"/>
      <c r="Z989"/>
      <c r="AA989"/>
      <c r="AC989"/>
      <c r="AD989"/>
      <c r="AE989"/>
      <c r="AI989" s="960"/>
      <c r="AM989"/>
    </row>
    <row r="990" spans="3:39" x14ac:dyDescent="0.2">
      <c r="C990"/>
      <c r="D990"/>
      <c r="E990"/>
      <c r="F990"/>
      <c r="G990"/>
      <c r="H990"/>
      <c r="I990" s="532"/>
      <c r="V990"/>
      <c r="W990"/>
      <c r="Z990"/>
      <c r="AA990"/>
      <c r="AC990"/>
      <c r="AD990"/>
      <c r="AE990"/>
      <c r="AI990" s="960"/>
      <c r="AM990"/>
    </row>
    <row r="991" spans="3:39" x14ac:dyDescent="0.2">
      <c r="C991"/>
      <c r="D991"/>
      <c r="E991"/>
      <c r="F991"/>
      <c r="G991"/>
      <c r="H991"/>
      <c r="I991" s="532"/>
      <c r="V991"/>
      <c r="W991"/>
      <c r="Z991"/>
      <c r="AA991"/>
      <c r="AC991"/>
      <c r="AD991"/>
      <c r="AE991"/>
      <c r="AI991" s="960"/>
      <c r="AM991"/>
    </row>
    <row r="992" spans="3:39" x14ac:dyDescent="0.2">
      <c r="C992"/>
      <c r="D992"/>
      <c r="E992"/>
      <c r="F992"/>
      <c r="G992"/>
      <c r="H992"/>
      <c r="I992" s="532"/>
      <c r="V992"/>
      <c r="W992"/>
      <c r="Z992"/>
      <c r="AA992"/>
      <c r="AC992"/>
      <c r="AD992"/>
      <c r="AE992"/>
      <c r="AI992" s="960"/>
      <c r="AM992"/>
    </row>
    <row r="993" spans="3:39" x14ac:dyDescent="0.2">
      <c r="C993"/>
      <c r="D993"/>
      <c r="E993"/>
      <c r="F993"/>
      <c r="G993"/>
      <c r="H993"/>
      <c r="I993" s="532"/>
      <c r="V993"/>
      <c r="W993"/>
      <c r="Z993"/>
      <c r="AA993"/>
      <c r="AC993"/>
      <c r="AD993"/>
      <c r="AE993"/>
      <c r="AI993" s="960"/>
      <c r="AM993"/>
    </row>
    <row r="994" spans="3:39" x14ac:dyDescent="0.2">
      <c r="C994"/>
      <c r="D994"/>
      <c r="E994"/>
      <c r="F994"/>
      <c r="G994"/>
      <c r="H994"/>
      <c r="I994" s="532"/>
      <c r="V994"/>
      <c r="W994"/>
      <c r="Z994"/>
      <c r="AA994"/>
      <c r="AC994"/>
      <c r="AD994"/>
      <c r="AE994"/>
      <c r="AI994" s="960"/>
      <c r="AM994"/>
    </row>
    <row r="995" spans="3:39" x14ac:dyDescent="0.2">
      <c r="C995"/>
      <c r="D995"/>
      <c r="E995"/>
      <c r="F995"/>
      <c r="G995"/>
      <c r="H995"/>
      <c r="I995" s="532"/>
      <c r="V995"/>
      <c r="W995"/>
      <c r="Z995"/>
      <c r="AA995"/>
      <c r="AC995"/>
      <c r="AD995"/>
      <c r="AE995"/>
      <c r="AI995" s="960"/>
      <c r="AM995"/>
    </row>
    <row r="996" spans="3:39" x14ac:dyDescent="0.2">
      <c r="C996"/>
      <c r="D996"/>
      <c r="E996"/>
      <c r="F996"/>
      <c r="G996"/>
      <c r="H996"/>
      <c r="I996" s="532"/>
      <c r="V996"/>
      <c r="W996"/>
      <c r="Z996"/>
      <c r="AA996"/>
      <c r="AC996"/>
      <c r="AD996"/>
      <c r="AE996"/>
      <c r="AI996" s="960"/>
      <c r="AM996"/>
    </row>
    <row r="997" spans="3:39" x14ac:dyDescent="0.2">
      <c r="C997"/>
      <c r="D997"/>
      <c r="E997"/>
      <c r="F997"/>
      <c r="G997"/>
      <c r="H997"/>
      <c r="I997" s="532"/>
      <c r="V997"/>
      <c r="W997"/>
      <c r="Z997"/>
      <c r="AA997"/>
      <c r="AC997"/>
      <c r="AD997"/>
      <c r="AE997"/>
      <c r="AI997" s="960"/>
      <c r="AM997"/>
    </row>
    <row r="998" spans="3:39" x14ac:dyDescent="0.2">
      <c r="C998"/>
      <c r="D998"/>
      <c r="E998"/>
      <c r="F998"/>
      <c r="G998"/>
      <c r="H998"/>
      <c r="I998" s="532"/>
      <c r="V998"/>
      <c r="W998"/>
      <c r="Z998"/>
      <c r="AA998"/>
      <c r="AC998"/>
      <c r="AD998"/>
      <c r="AE998"/>
      <c r="AI998" s="960"/>
      <c r="AM998"/>
    </row>
    <row r="999" spans="3:39" x14ac:dyDescent="0.2">
      <c r="C999"/>
      <c r="D999"/>
      <c r="E999"/>
      <c r="F999"/>
      <c r="G999"/>
      <c r="H999"/>
      <c r="I999" s="532"/>
      <c r="V999"/>
      <c r="W999"/>
      <c r="Z999"/>
      <c r="AA999"/>
      <c r="AC999"/>
      <c r="AD999"/>
      <c r="AE999"/>
      <c r="AI999" s="960"/>
      <c r="AM999"/>
    </row>
    <row r="1000" spans="3:39" x14ac:dyDescent="0.2">
      <c r="C1000"/>
      <c r="D1000"/>
      <c r="E1000"/>
      <c r="F1000"/>
      <c r="G1000"/>
      <c r="H1000"/>
      <c r="I1000" s="532"/>
      <c r="V1000"/>
      <c r="W1000"/>
      <c r="Z1000"/>
      <c r="AA1000"/>
      <c r="AC1000"/>
      <c r="AD1000"/>
      <c r="AE1000"/>
      <c r="AI1000" s="960"/>
      <c r="AM1000"/>
    </row>
    <row r="1001" spans="3:39" x14ac:dyDescent="0.2">
      <c r="C1001"/>
      <c r="D1001"/>
      <c r="E1001"/>
      <c r="F1001"/>
      <c r="G1001"/>
      <c r="H1001"/>
      <c r="I1001" s="532"/>
      <c r="V1001"/>
      <c r="W1001"/>
      <c r="Z1001"/>
      <c r="AA1001"/>
      <c r="AC1001"/>
      <c r="AD1001"/>
      <c r="AE1001"/>
      <c r="AI1001" s="960"/>
      <c r="AM1001"/>
    </row>
    <row r="1002" spans="3:39" x14ac:dyDescent="0.2">
      <c r="C1002"/>
      <c r="D1002"/>
      <c r="E1002"/>
      <c r="F1002"/>
      <c r="G1002"/>
      <c r="H1002"/>
      <c r="I1002" s="532"/>
      <c r="V1002"/>
      <c r="W1002"/>
      <c r="Z1002"/>
      <c r="AA1002"/>
      <c r="AC1002"/>
      <c r="AD1002"/>
      <c r="AE1002"/>
      <c r="AI1002" s="960"/>
      <c r="AM1002"/>
    </row>
    <row r="1003" spans="3:39" x14ac:dyDescent="0.2">
      <c r="C1003"/>
      <c r="D1003"/>
      <c r="E1003"/>
      <c r="F1003"/>
      <c r="G1003"/>
      <c r="H1003"/>
      <c r="I1003" s="532"/>
      <c r="V1003"/>
      <c r="W1003"/>
      <c r="Z1003"/>
      <c r="AA1003"/>
      <c r="AC1003"/>
      <c r="AD1003"/>
      <c r="AE1003"/>
      <c r="AI1003" s="960"/>
      <c r="AM1003"/>
    </row>
    <row r="1004" spans="3:39" x14ac:dyDescent="0.2">
      <c r="C1004"/>
      <c r="D1004"/>
      <c r="E1004"/>
      <c r="F1004"/>
      <c r="G1004"/>
      <c r="H1004"/>
      <c r="I1004" s="532"/>
      <c r="V1004"/>
      <c r="W1004"/>
      <c r="Z1004"/>
      <c r="AA1004"/>
      <c r="AC1004"/>
      <c r="AD1004"/>
      <c r="AE1004"/>
      <c r="AI1004" s="960"/>
      <c r="AM1004"/>
    </row>
    <row r="1005" spans="3:39" x14ac:dyDescent="0.2">
      <c r="C1005"/>
      <c r="D1005"/>
      <c r="E1005"/>
      <c r="F1005"/>
      <c r="G1005"/>
      <c r="H1005"/>
      <c r="I1005" s="532"/>
      <c r="V1005"/>
      <c r="W1005"/>
      <c r="Z1005"/>
      <c r="AA1005"/>
      <c r="AC1005"/>
      <c r="AD1005"/>
      <c r="AE1005"/>
      <c r="AI1005" s="960"/>
      <c r="AM1005"/>
    </row>
    <row r="1006" spans="3:39" x14ac:dyDescent="0.2">
      <c r="C1006"/>
      <c r="D1006"/>
      <c r="E1006"/>
      <c r="F1006"/>
      <c r="G1006"/>
      <c r="H1006"/>
      <c r="I1006" s="532"/>
      <c r="V1006"/>
      <c r="W1006"/>
      <c r="Z1006"/>
      <c r="AA1006"/>
      <c r="AC1006"/>
      <c r="AD1006"/>
      <c r="AE1006"/>
      <c r="AI1006" s="960"/>
      <c r="AM1006"/>
    </row>
    <row r="1007" spans="3:39" x14ac:dyDescent="0.2">
      <c r="C1007"/>
      <c r="D1007"/>
      <c r="E1007"/>
      <c r="F1007"/>
      <c r="G1007"/>
      <c r="H1007"/>
      <c r="I1007" s="532"/>
      <c r="V1007"/>
      <c r="W1007"/>
      <c r="Z1007"/>
      <c r="AA1007"/>
      <c r="AC1007"/>
      <c r="AD1007"/>
      <c r="AE1007"/>
      <c r="AI1007" s="960"/>
      <c r="AM1007"/>
    </row>
    <row r="1008" spans="3:39" x14ac:dyDescent="0.2">
      <c r="C1008"/>
      <c r="D1008"/>
      <c r="E1008"/>
      <c r="F1008"/>
      <c r="G1008"/>
      <c r="H1008"/>
      <c r="I1008" s="532"/>
      <c r="V1008"/>
      <c r="W1008"/>
      <c r="Z1008"/>
      <c r="AA1008"/>
      <c r="AC1008"/>
      <c r="AD1008"/>
      <c r="AE1008"/>
      <c r="AI1008" s="960"/>
      <c r="AM1008"/>
    </row>
    <row r="1009" spans="3:39" x14ac:dyDescent="0.2">
      <c r="C1009"/>
      <c r="D1009"/>
      <c r="E1009"/>
      <c r="F1009"/>
      <c r="G1009"/>
      <c r="H1009"/>
      <c r="I1009" s="532"/>
      <c r="V1009"/>
      <c r="W1009"/>
      <c r="Z1009"/>
      <c r="AA1009"/>
      <c r="AC1009"/>
      <c r="AD1009"/>
      <c r="AE1009"/>
      <c r="AI1009" s="960"/>
      <c r="AM1009"/>
    </row>
    <row r="1010" spans="3:39" x14ac:dyDescent="0.2">
      <c r="C1010"/>
      <c r="D1010"/>
      <c r="E1010"/>
      <c r="F1010"/>
      <c r="G1010"/>
      <c r="H1010"/>
      <c r="I1010" s="532"/>
      <c r="V1010"/>
      <c r="W1010"/>
      <c r="Z1010"/>
      <c r="AA1010"/>
      <c r="AC1010"/>
      <c r="AD1010"/>
      <c r="AE1010"/>
      <c r="AI1010" s="960"/>
      <c r="AM1010"/>
    </row>
    <row r="1011" spans="3:39" x14ac:dyDescent="0.2">
      <c r="C1011"/>
      <c r="D1011"/>
      <c r="E1011"/>
      <c r="F1011"/>
      <c r="G1011"/>
      <c r="H1011"/>
      <c r="I1011" s="532"/>
      <c r="V1011"/>
      <c r="W1011"/>
      <c r="Z1011"/>
      <c r="AA1011"/>
      <c r="AC1011"/>
      <c r="AD1011"/>
      <c r="AE1011"/>
      <c r="AI1011" s="960"/>
      <c r="AM1011"/>
    </row>
    <row r="1012" spans="3:39" x14ac:dyDescent="0.2">
      <c r="C1012"/>
      <c r="D1012"/>
      <c r="E1012"/>
      <c r="F1012"/>
      <c r="G1012"/>
      <c r="H1012"/>
      <c r="I1012" s="532"/>
      <c r="V1012"/>
      <c r="W1012"/>
      <c r="Z1012"/>
      <c r="AA1012"/>
      <c r="AC1012"/>
      <c r="AD1012"/>
      <c r="AE1012"/>
      <c r="AI1012" s="960"/>
      <c r="AM1012"/>
    </row>
    <row r="1013" spans="3:39" x14ac:dyDescent="0.2">
      <c r="C1013"/>
      <c r="D1013"/>
      <c r="E1013"/>
      <c r="F1013"/>
      <c r="G1013"/>
      <c r="H1013"/>
      <c r="I1013" s="532"/>
      <c r="V1013"/>
      <c r="W1013"/>
      <c r="Z1013"/>
      <c r="AA1013"/>
      <c r="AC1013"/>
      <c r="AD1013"/>
      <c r="AE1013"/>
      <c r="AI1013" s="960"/>
      <c r="AM1013"/>
    </row>
    <row r="1014" spans="3:39" x14ac:dyDescent="0.2">
      <c r="C1014"/>
      <c r="D1014"/>
      <c r="E1014"/>
      <c r="F1014"/>
      <c r="G1014"/>
      <c r="H1014"/>
      <c r="I1014" s="532"/>
      <c r="V1014"/>
      <c r="W1014"/>
      <c r="Z1014"/>
      <c r="AA1014"/>
      <c r="AC1014"/>
      <c r="AD1014"/>
      <c r="AE1014"/>
      <c r="AI1014" s="960"/>
      <c r="AM1014"/>
    </row>
    <row r="1015" spans="3:39" x14ac:dyDescent="0.2">
      <c r="C1015"/>
      <c r="D1015"/>
      <c r="E1015"/>
      <c r="F1015"/>
      <c r="G1015"/>
      <c r="H1015"/>
      <c r="I1015" s="532"/>
      <c r="V1015"/>
      <c r="W1015"/>
      <c r="Z1015"/>
      <c r="AA1015"/>
      <c r="AC1015"/>
      <c r="AD1015"/>
      <c r="AE1015"/>
      <c r="AI1015" s="960"/>
      <c r="AM1015"/>
    </row>
    <row r="1016" spans="3:39" x14ac:dyDescent="0.2">
      <c r="C1016"/>
      <c r="D1016"/>
      <c r="E1016"/>
      <c r="F1016"/>
      <c r="G1016"/>
      <c r="H1016"/>
      <c r="I1016" s="532"/>
      <c r="V1016"/>
      <c r="W1016"/>
      <c r="Z1016"/>
      <c r="AA1016"/>
      <c r="AC1016"/>
      <c r="AD1016"/>
      <c r="AE1016"/>
      <c r="AI1016" s="960"/>
      <c r="AM1016"/>
    </row>
    <row r="1017" spans="3:39" x14ac:dyDescent="0.2">
      <c r="C1017"/>
      <c r="D1017"/>
      <c r="E1017"/>
      <c r="F1017"/>
      <c r="G1017"/>
      <c r="H1017"/>
      <c r="I1017" s="532"/>
      <c r="V1017"/>
      <c r="W1017"/>
      <c r="Z1017"/>
      <c r="AA1017"/>
      <c r="AC1017"/>
      <c r="AD1017"/>
      <c r="AE1017"/>
      <c r="AI1017" s="960"/>
      <c r="AM1017"/>
    </row>
    <row r="1018" spans="3:39" x14ac:dyDescent="0.2">
      <c r="C1018"/>
      <c r="D1018"/>
      <c r="E1018"/>
      <c r="F1018"/>
      <c r="G1018"/>
      <c r="H1018"/>
      <c r="I1018" s="532"/>
      <c r="V1018"/>
      <c r="W1018"/>
      <c r="Z1018"/>
      <c r="AA1018"/>
      <c r="AC1018"/>
      <c r="AD1018"/>
      <c r="AE1018"/>
      <c r="AI1018" s="960"/>
      <c r="AM1018"/>
    </row>
    <row r="1019" spans="3:39" x14ac:dyDescent="0.2">
      <c r="C1019"/>
      <c r="D1019"/>
      <c r="E1019"/>
      <c r="F1019"/>
      <c r="G1019"/>
      <c r="H1019"/>
      <c r="I1019" s="532"/>
      <c r="V1019"/>
      <c r="W1019"/>
      <c r="Z1019"/>
      <c r="AA1019"/>
      <c r="AC1019"/>
      <c r="AD1019"/>
      <c r="AE1019"/>
      <c r="AI1019" s="960"/>
      <c r="AM1019"/>
    </row>
    <row r="1020" spans="3:39" x14ac:dyDescent="0.2">
      <c r="C1020"/>
      <c r="D1020"/>
      <c r="E1020"/>
      <c r="F1020"/>
      <c r="G1020"/>
      <c r="H1020"/>
      <c r="I1020" s="532"/>
      <c r="V1020"/>
      <c r="W1020"/>
      <c r="Z1020"/>
      <c r="AA1020"/>
      <c r="AC1020"/>
      <c r="AD1020"/>
      <c r="AE1020"/>
      <c r="AI1020" s="960"/>
      <c r="AM1020"/>
    </row>
    <row r="1021" spans="3:39" x14ac:dyDescent="0.2">
      <c r="C1021"/>
      <c r="D1021"/>
      <c r="E1021"/>
      <c r="F1021"/>
      <c r="G1021"/>
      <c r="H1021"/>
      <c r="I1021" s="532"/>
      <c r="V1021"/>
      <c r="W1021"/>
      <c r="Z1021"/>
      <c r="AA1021"/>
      <c r="AC1021"/>
      <c r="AD1021"/>
      <c r="AE1021"/>
      <c r="AI1021" s="960"/>
      <c r="AM1021"/>
    </row>
    <row r="1022" spans="3:39" x14ac:dyDescent="0.2">
      <c r="C1022"/>
      <c r="D1022"/>
      <c r="E1022"/>
      <c r="F1022"/>
      <c r="G1022"/>
      <c r="H1022"/>
      <c r="I1022" s="532"/>
      <c r="V1022"/>
      <c r="W1022"/>
      <c r="Z1022"/>
      <c r="AA1022"/>
      <c r="AC1022"/>
      <c r="AD1022"/>
      <c r="AE1022"/>
      <c r="AI1022" s="960"/>
      <c r="AM1022"/>
    </row>
    <row r="1023" spans="3:39" x14ac:dyDescent="0.2">
      <c r="C1023"/>
      <c r="D1023"/>
      <c r="E1023"/>
      <c r="F1023"/>
      <c r="G1023"/>
      <c r="H1023"/>
      <c r="I1023" s="532"/>
      <c r="V1023"/>
      <c r="W1023"/>
      <c r="Z1023"/>
      <c r="AA1023"/>
      <c r="AC1023"/>
      <c r="AD1023"/>
      <c r="AE1023"/>
      <c r="AI1023" s="960"/>
      <c r="AM1023"/>
    </row>
    <row r="1024" spans="3:39" x14ac:dyDescent="0.2">
      <c r="C1024"/>
      <c r="D1024"/>
      <c r="E1024"/>
      <c r="F1024"/>
      <c r="G1024"/>
      <c r="H1024"/>
      <c r="I1024" s="532"/>
      <c r="V1024"/>
      <c r="W1024"/>
      <c r="Z1024"/>
      <c r="AA1024"/>
      <c r="AC1024"/>
      <c r="AD1024"/>
      <c r="AE1024"/>
      <c r="AI1024" s="960"/>
      <c r="AM1024"/>
    </row>
    <row r="1025" spans="3:39" x14ac:dyDescent="0.2">
      <c r="C1025"/>
      <c r="D1025"/>
      <c r="E1025"/>
      <c r="F1025"/>
      <c r="G1025"/>
      <c r="H1025"/>
      <c r="I1025" s="532"/>
      <c r="V1025"/>
      <c r="W1025"/>
      <c r="Z1025"/>
      <c r="AA1025"/>
      <c r="AC1025"/>
      <c r="AD1025"/>
      <c r="AE1025"/>
      <c r="AI1025" s="960"/>
      <c r="AM1025"/>
    </row>
    <row r="1026" spans="3:39" x14ac:dyDescent="0.2">
      <c r="C1026"/>
      <c r="D1026"/>
      <c r="E1026"/>
      <c r="F1026"/>
      <c r="G1026"/>
      <c r="H1026"/>
      <c r="I1026" s="532"/>
      <c r="V1026"/>
      <c r="W1026"/>
      <c r="Z1026"/>
      <c r="AA1026"/>
      <c r="AC1026"/>
      <c r="AD1026"/>
      <c r="AE1026"/>
      <c r="AI1026" s="960"/>
      <c r="AM1026"/>
    </row>
    <row r="1027" spans="3:39" x14ac:dyDescent="0.2">
      <c r="C1027"/>
      <c r="D1027"/>
      <c r="E1027"/>
      <c r="F1027"/>
      <c r="G1027"/>
      <c r="H1027"/>
      <c r="I1027" s="532"/>
      <c r="V1027"/>
      <c r="W1027"/>
      <c r="Z1027"/>
      <c r="AA1027"/>
      <c r="AC1027"/>
      <c r="AD1027"/>
      <c r="AE1027"/>
      <c r="AI1027" s="960"/>
      <c r="AM1027"/>
    </row>
    <row r="1028" spans="3:39" x14ac:dyDescent="0.2">
      <c r="C1028"/>
      <c r="D1028"/>
      <c r="E1028"/>
      <c r="F1028"/>
      <c r="G1028"/>
      <c r="H1028"/>
      <c r="I1028" s="532"/>
      <c r="V1028"/>
      <c r="W1028"/>
      <c r="Z1028"/>
      <c r="AA1028"/>
      <c r="AC1028"/>
      <c r="AD1028"/>
      <c r="AE1028"/>
      <c r="AI1028" s="960"/>
      <c r="AM1028"/>
    </row>
    <row r="1029" spans="3:39" x14ac:dyDescent="0.2">
      <c r="C1029"/>
      <c r="D1029"/>
      <c r="E1029"/>
      <c r="F1029"/>
      <c r="G1029"/>
      <c r="H1029"/>
      <c r="I1029" s="532"/>
      <c r="V1029"/>
      <c r="W1029"/>
      <c r="Z1029"/>
      <c r="AA1029"/>
      <c r="AC1029"/>
      <c r="AD1029"/>
      <c r="AE1029"/>
      <c r="AI1029" s="960"/>
      <c r="AM1029"/>
    </row>
    <row r="1030" spans="3:39" x14ac:dyDescent="0.2">
      <c r="C1030"/>
      <c r="D1030"/>
      <c r="E1030"/>
      <c r="F1030"/>
      <c r="G1030"/>
      <c r="H1030"/>
      <c r="I1030" s="532"/>
      <c r="V1030"/>
      <c r="W1030"/>
      <c r="Z1030"/>
      <c r="AA1030"/>
      <c r="AC1030"/>
      <c r="AD1030"/>
      <c r="AE1030"/>
      <c r="AI1030" s="960"/>
      <c r="AM1030"/>
    </row>
    <row r="1031" spans="3:39" x14ac:dyDescent="0.2">
      <c r="C1031"/>
      <c r="D1031"/>
      <c r="E1031"/>
      <c r="F1031"/>
      <c r="G1031"/>
      <c r="H1031"/>
      <c r="I1031" s="532"/>
      <c r="V1031"/>
      <c r="W1031"/>
      <c r="Z1031"/>
      <c r="AA1031"/>
      <c r="AC1031"/>
      <c r="AD1031"/>
      <c r="AE1031"/>
      <c r="AI1031" s="960"/>
      <c r="AM1031"/>
    </row>
    <row r="1032" spans="3:39" x14ac:dyDescent="0.2">
      <c r="C1032"/>
      <c r="D1032"/>
      <c r="E1032"/>
      <c r="F1032"/>
      <c r="G1032"/>
      <c r="H1032"/>
      <c r="I1032" s="532"/>
      <c r="V1032"/>
      <c r="W1032"/>
      <c r="Z1032"/>
      <c r="AA1032"/>
      <c r="AC1032"/>
      <c r="AD1032"/>
      <c r="AE1032"/>
      <c r="AI1032" s="960"/>
      <c r="AM1032"/>
    </row>
    <row r="1033" spans="3:39" x14ac:dyDescent="0.2">
      <c r="C1033"/>
      <c r="D1033"/>
      <c r="E1033"/>
      <c r="F1033"/>
      <c r="G1033"/>
      <c r="H1033"/>
      <c r="I1033" s="532"/>
      <c r="V1033"/>
      <c r="W1033"/>
      <c r="Z1033"/>
      <c r="AA1033"/>
      <c r="AC1033"/>
      <c r="AD1033"/>
      <c r="AE1033"/>
      <c r="AI1033" s="960"/>
      <c r="AM1033"/>
    </row>
    <row r="1034" spans="3:39" x14ac:dyDescent="0.2">
      <c r="C1034"/>
      <c r="D1034"/>
      <c r="E1034"/>
      <c r="F1034"/>
      <c r="G1034"/>
      <c r="H1034"/>
      <c r="I1034" s="532"/>
      <c r="V1034"/>
      <c r="W1034"/>
      <c r="Z1034"/>
      <c r="AA1034"/>
      <c r="AC1034"/>
      <c r="AD1034"/>
      <c r="AE1034"/>
      <c r="AI1034" s="960"/>
      <c r="AM1034"/>
    </row>
    <row r="1035" spans="3:39" x14ac:dyDescent="0.2">
      <c r="C1035"/>
      <c r="D1035"/>
      <c r="E1035"/>
      <c r="F1035"/>
      <c r="G1035"/>
      <c r="H1035"/>
      <c r="I1035" s="532"/>
      <c r="V1035"/>
      <c r="W1035"/>
      <c r="Z1035"/>
      <c r="AA1035"/>
      <c r="AC1035"/>
      <c r="AD1035"/>
      <c r="AE1035"/>
      <c r="AI1035" s="960"/>
      <c r="AM1035"/>
    </row>
    <row r="1036" spans="3:39" x14ac:dyDescent="0.2">
      <c r="C1036"/>
      <c r="D1036"/>
      <c r="E1036"/>
      <c r="F1036"/>
      <c r="G1036"/>
      <c r="H1036"/>
      <c r="I1036" s="532"/>
      <c r="V1036"/>
      <c r="W1036"/>
      <c r="Z1036"/>
      <c r="AA1036"/>
      <c r="AC1036"/>
      <c r="AD1036"/>
      <c r="AE1036"/>
      <c r="AI1036" s="960"/>
      <c r="AM1036"/>
    </row>
    <row r="1037" spans="3:39" x14ac:dyDescent="0.2">
      <c r="C1037"/>
      <c r="D1037"/>
      <c r="E1037"/>
      <c r="F1037"/>
      <c r="G1037"/>
      <c r="H1037"/>
      <c r="I1037" s="532"/>
      <c r="V1037"/>
      <c r="W1037"/>
      <c r="Z1037"/>
      <c r="AA1037"/>
      <c r="AC1037"/>
      <c r="AD1037"/>
      <c r="AE1037"/>
      <c r="AI1037" s="960"/>
      <c r="AM1037"/>
    </row>
    <row r="1038" spans="3:39" x14ac:dyDescent="0.2">
      <c r="C1038"/>
      <c r="D1038"/>
      <c r="E1038"/>
      <c r="F1038"/>
      <c r="G1038"/>
      <c r="H1038"/>
      <c r="I1038" s="532"/>
      <c r="V1038"/>
      <c r="W1038"/>
      <c r="Z1038"/>
      <c r="AA1038"/>
      <c r="AC1038"/>
      <c r="AD1038"/>
      <c r="AE1038"/>
      <c r="AI1038" s="960"/>
      <c r="AM1038"/>
    </row>
    <row r="1039" spans="3:39" x14ac:dyDescent="0.2">
      <c r="C1039"/>
      <c r="D1039"/>
      <c r="E1039"/>
      <c r="F1039"/>
      <c r="G1039"/>
      <c r="H1039"/>
      <c r="I1039" s="532"/>
      <c r="V1039"/>
      <c r="W1039"/>
      <c r="Z1039"/>
      <c r="AA1039"/>
      <c r="AC1039"/>
      <c r="AD1039"/>
      <c r="AE1039"/>
      <c r="AI1039" s="960"/>
      <c r="AM1039"/>
    </row>
    <row r="1040" spans="3:39" x14ac:dyDescent="0.2">
      <c r="C1040"/>
      <c r="D1040"/>
      <c r="E1040"/>
      <c r="F1040"/>
      <c r="G1040"/>
      <c r="H1040"/>
      <c r="I1040" s="532"/>
      <c r="V1040"/>
      <c r="W1040"/>
      <c r="Z1040"/>
      <c r="AA1040"/>
      <c r="AC1040"/>
      <c r="AD1040"/>
      <c r="AE1040"/>
      <c r="AI1040" s="960"/>
      <c r="AM1040"/>
    </row>
    <row r="1041" spans="3:39" x14ac:dyDescent="0.2">
      <c r="C1041"/>
      <c r="D1041"/>
      <c r="E1041"/>
      <c r="F1041"/>
      <c r="G1041"/>
      <c r="H1041"/>
      <c r="I1041" s="532"/>
      <c r="V1041"/>
      <c r="W1041"/>
      <c r="Z1041"/>
      <c r="AA1041"/>
      <c r="AC1041"/>
      <c r="AD1041"/>
      <c r="AE1041"/>
      <c r="AI1041" s="960"/>
      <c r="AM1041"/>
    </row>
    <row r="1042" spans="3:39" x14ac:dyDescent="0.2">
      <c r="C1042"/>
      <c r="D1042"/>
      <c r="E1042"/>
      <c r="F1042"/>
      <c r="G1042"/>
      <c r="H1042"/>
      <c r="I1042" s="532"/>
      <c r="V1042"/>
      <c r="W1042"/>
      <c r="Z1042"/>
      <c r="AA1042"/>
      <c r="AC1042"/>
      <c r="AD1042"/>
      <c r="AE1042"/>
      <c r="AI1042" s="960"/>
      <c r="AM1042"/>
    </row>
    <row r="1043" spans="3:39" x14ac:dyDescent="0.2">
      <c r="C1043"/>
      <c r="D1043"/>
      <c r="E1043"/>
      <c r="F1043"/>
      <c r="G1043"/>
      <c r="H1043"/>
      <c r="I1043" s="532"/>
      <c r="V1043"/>
      <c r="W1043"/>
      <c r="Z1043"/>
      <c r="AA1043"/>
      <c r="AC1043"/>
      <c r="AD1043"/>
      <c r="AE1043"/>
      <c r="AI1043" s="960"/>
      <c r="AM1043"/>
    </row>
    <row r="1044" spans="3:39" x14ac:dyDescent="0.2">
      <c r="C1044"/>
      <c r="D1044"/>
      <c r="E1044"/>
      <c r="F1044"/>
      <c r="G1044"/>
      <c r="H1044"/>
      <c r="I1044" s="532"/>
      <c r="V1044"/>
      <c r="W1044"/>
      <c r="Z1044"/>
      <c r="AA1044"/>
      <c r="AC1044"/>
      <c r="AD1044"/>
      <c r="AE1044"/>
      <c r="AI1044" s="960"/>
      <c r="AM1044"/>
    </row>
    <row r="1045" spans="3:39" x14ac:dyDescent="0.2">
      <c r="C1045"/>
      <c r="D1045"/>
      <c r="E1045"/>
      <c r="F1045"/>
      <c r="G1045"/>
      <c r="H1045"/>
      <c r="I1045" s="532"/>
      <c r="V1045"/>
      <c r="W1045"/>
      <c r="Z1045"/>
      <c r="AA1045"/>
      <c r="AC1045"/>
      <c r="AD1045"/>
      <c r="AE1045"/>
      <c r="AI1045" s="960"/>
      <c r="AM1045"/>
    </row>
    <row r="1046" spans="3:39" x14ac:dyDescent="0.2">
      <c r="C1046"/>
      <c r="D1046"/>
      <c r="E1046"/>
      <c r="F1046"/>
      <c r="G1046"/>
      <c r="H1046"/>
      <c r="I1046" s="532"/>
      <c r="V1046"/>
      <c r="W1046"/>
      <c r="Z1046"/>
      <c r="AA1046"/>
      <c r="AC1046"/>
      <c r="AD1046"/>
      <c r="AE1046"/>
      <c r="AI1046" s="960"/>
      <c r="AM1046"/>
    </row>
    <row r="1047" spans="3:39" x14ac:dyDescent="0.2">
      <c r="C1047"/>
      <c r="D1047"/>
      <c r="E1047"/>
      <c r="F1047"/>
      <c r="G1047"/>
      <c r="H1047"/>
      <c r="I1047" s="532"/>
      <c r="V1047"/>
      <c r="W1047"/>
      <c r="Z1047"/>
      <c r="AA1047"/>
      <c r="AC1047"/>
      <c r="AD1047"/>
      <c r="AE1047"/>
      <c r="AI1047" s="960"/>
      <c r="AM1047"/>
    </row>
    <row r="1048" spans="3:39" x14ac:dyDescent="0.2">
      <c r="C1048"/>
      <c r="D1048"/>
      <c r="E1048"/>
      <c r="F1048"/>
      <c r="G1048"/>
      <c r="H1048"/>
      <c r="I1048" s="532"/>
      <c r="V1048"/>
      <c r="W1048"/>
      <c r="Z1048"/>
      <c r="AA1048"/>
      <c r="AC1048"/>
      <c r="AD1048"/>
      <c r="AE1048"/>
      <c r="AI1048" s="960"/>
      <c r="AM1048"/>
    </row>
    <row r="1049" spans="3:39" x14ac:dyDescent="0.2">
      <c r="C1049"/>
      <c r="D1049"/>
      <c r="E1049"/>
      <c r="F1049"/>
      <c r="G1049"/>
      <c r="H1049"/>
      <c r="I1049" s="532"/>
      <c r="V1049"/>
      <c r="W1049"/>
      <c r="Z1049"/>
      <c r="AA1049"/>
      <c r="AC1049"/>
      <c r="AD1049"/>
      <c r="AE1049"/>
      <c r="AI1049" s="960"/>
      <c r="AM1049"/>
    </row>
    <row r="1050" spans="3:39" x14ac:dyDescent="0.2">
      <c r="C1050"/>
      <c r="D1050"/>
      <c r="E1050"/>
      <c r="F1050"/>
      <c r="G1050"/>
      <c r="H1050"/>
      <c r="I1050" s="532"/>
      <c r="V1050"/>
      <c r="W1050"/>
      <c r="Z1050"/>
      <c r="AA1050"/>
      <c r="AC1050"/>
      <c r="AD1050"/>
      <c r="AE1050"/>
      <c r="AI1050" s="960"/>
      <c r="AM1050"/>
    </row>
    <row r="1051" spans="3:39" x14ac:dyDescent="0.2">
      <c r="C1051"/>
      <c r="D1051"/>
      <c r="E1051"/>
      <c r="F1051"/>
      <c r="G1051"/>
      <c r="H1051"/>
      <c r="I1051" s="532"/>
      <c r="V1051"/>
      <c r="W1051"/>
      <c r="Z1051"/>
      <c r="AA1051"/>
      <c r="AC1051"/>
      <c r="AD1051"/>
      <c r="AE1051"/>
      <c r="AI1051" s="960"/>
      <c r="AM1051"/>
    </row>
    <row r="1052" spans="3:39" x14ac:dyDescent="0.2">
      <c r="C1052"/>
      <c r="D1052"/>
      <c r="E1052"/>
      <c r="F1052"/>
      <c r="G1052"/>
      <c r="H1052"/>
      <c r="I1052" s="532"/>
      <c r="V1052"/>
      <c r="W1052"/>
      <c r="Z1052"/>
      <c r="AA1052"/>
      <c r="AC1052"/>
      <c r="AD1052"/>
      <c r="AE1052"/>
      <c r="AI1052" s="960"/>
      <c r="AM1052"/>
    </row>
    <row r="1053" spans="3:39" x14ac:dyDescent="0.2">
      <c r="C1053"/>
      <c r="D1053"/>
      <c r="E1053"/>
      <c r="F1053"/>
      <c r="G1053"/>
      <c r="H1053"/>
      <c r="I1053" s="532"/>
      <c r="V1053"/>
      <c r="W1053"/>
      <c r="Z1053"/>
      <c r="AA1053"/>
      <c r="AC1053"/>
      <c r="AD1053"/>
      <c r="AE1053"/>
      <c r="AI1053" s="960"/>
      <c r="AM1053"/>
    </row>
    <row r="1054" spans="3:39" x14ac:dyDescent="0.2">
      <c r="C1054"/>
      <c r="D1054"/>
      <c r="E1054"/>
      <c r="F1054"/>
      <c r="G1054"/>
      <c r="H1054"/>
      <c r="I1054" s="532"/>
      <c r="V1054"/>
      <c r="W1054"/>
      <c r="Z1054"/>
      <c r="AA1054"/>
      <c r="AC1054"/>
      <c r="AD1054"/>
      <c r="AE1054"/>
      <c r="AI1054" s="960"/>
      <c r="AM1054"/>
    </row>
    <row r="1055" spans="3:39" x14ac:dyDescent="0.2">
      <c r="C1055"/>
      <c r="D1055"/>
      <c r="E1055"/>
      <c r="F1055"/>
      <c r="G1055"/>
      <c r="H1055"/>
      <c r="I1055" s="532"/>
      <c r="V1055"/>
      <c r="W1055"/>
      <c r="Z1055"/>
      <c r="AA1055"/>
      <c r="AC1055"/>
      <c r="AD1055"/>
      <c r="AE1055"/>
      <c r="AI1055" s="960"/>
      <c r="AM1055"/>
    </row>
    <row r="1056" spans="3:39" x14ac:dyDescent="0.2">
      <c r="C1056"/>
      <c r="D1056"/>
      <c r="E1056"/>
      <c r="F1056"/>
      <c r="G1056"/>
      <c r="H1056"/>
      <c r="I1056" s="532"/>
      <c r="V1056"/>
      <c r="W1056"/>
      <c r="Z1056"/>
      <c r="AA1056"/>
      <c r="AC1056"/>
      <c r="AD1056"/>
      <c r="AE1056"/>
      <c r="AI1056" s="960"/>
      <c r="AM1056"/>
    </row>
    <row r="1057" spans="3:39" x14ac:dyDescent="0.2">
      <c r="C1057"/>
      <c r="D1057"/>
      <c r="E1057"/>
      <c r="F1057"/>
      <c r="G1057"/>
      <c r="H1057"/>
      <c r="I1057" s="532"/>
      <c r="V1057"/>
      <c r="W1057"/>
      <c r="Z1057"/>
      <c r="AA1057"/>
      <c r="AC1057"/>
      <c r="AD1057"/>
      <c r="AE1057"/>
      <c r="AI1057" s="960"/>
      <c r="AM1057"/>
    </row>
    <row r="1058" spans="3:39" x14ac:dyDescent="0.2">
      <c r="C1058"/>
      <c r="D1058"/>
      <c r="E1058"/>
      <c r="F1058"/>
      <c r="G1058"/>
      <c r="H1058"/>
      <c r="I1058" s="532"/>
      <c r="V1058"/>
      <c r="W1058"/>
      <c r="Z1058"/>
      <c r="AA1058"/>
      <c r="AC1058"/>
      <c r="AD1058"/>
      <c r="AE1058"/>
      <c r="AI1058" s="960"/>
      <c r="AM1058"/>
    </row>
    <row r="1059" spans="3:39" x14ac:dyDescent="0.2">
      <c r="C1059"/>
      <c r="D1059"/>
      <c r="E1059"/>
      <c r="F1059"/>
      <c r="G1059"/>
      <c r="H1059"/>
      <c r="I1059" s="532"/>
      <c r="V1059"/>
      <c r="W1059"/>
      <c r="Z1059"/>
      <c r="AA1059"/>
      <c r="AC1059"/>
      <c r="AD1059"/>
      <c r="AE1059"/>
      <c r="AI1059" s="960"/>
      <c r="AM1059"/>
    </row>
    <row r="1060" spans="3:39" x14ac:dyDescent="0.2">
      <c r="C1060"/>
      <c r="D1060"/>
      <c r="E1060"/>
      <c r="F1060"/>
      <c r="G1060"/>
      <c r="H1060"/>
      <c r="I1060" s="532"/>
      <c r="V1060"/>
      <c r="W1060"/>
      <c r="Z1060"/>
      <c r="AA1060"/>
      <c r="AC1060"/>
      <c r="AD1060"/>
      <c r="AE1060"/>
      <c r="AI1060" s="960"/>
      <c r="AM1060"/>
    </row>
    <row r="1061" spans="3:39" x14ac:dyDescent="0.2">
      <c r="C1061"/>
      <c r="D1061"/>
      <c r="E1061"/>
      <c r="F1061"/>
      <c r="G1061"/>
      <c r="H1061"/>
      <c r="I1061" s="532"/>
      <c r="V1061"/>
      <c r="W1061"/>
      <c r="Z1061"/>
      <c r="AA1061"/>
      <c r="AC1061"/>
      <c r="AD1061"/>
      <c r="AE1061"/>
      <c r="AI1061" s="960"/>
      <c r="AM1061"/>
    </row>
    <row r="1062" spans="3:39" x14ac:dyDescent="0.2">
      <c r="C1062"/>
      <c r="D1062"/>
      <c r="E1062"/>
      <c r="F1062"/>
      <c r="G1062"/>
      <c r="H1062"/>
      <c r="I1062" s="532"/>
      <c r="V1062"/>
      <c r="W1062"/>
      <c r="Z1062"/>
      <c r="AA1062"/>
      <c r="AC1062"/>
      <c r="AD1062"/>
      <c r="AE1062"/>
      <c r="AI1062" s="960"/>
      <c r="AM1062"/>
    </row>
    <row r="1063" spans="3:39" x14ac:dyDescent="0.2">
      <c r="C1063"/>
      <c r="D1063"/>
      <c r="E1063"/>
      <c r="F1063"/>
      <c r="G1063"/>
      <c r="H1063"/>
      <c r="I1063" s="532"/>
      <c r="V1063"/>
      <c r="W1063"/>
      <c r="Z1063"/>
      <c r="AA1063"/>
      <c r="AC1063"/>
      <c r="AD1063"/>
      <c r="AE1063"/>
      <c r="AI1063" s="960"/>
      <c r="AM1063"/>
    </row>
    <row r="1064" spans="3:39" x14ac:dyDescent="0.2">
      <c r="C1064"/>
      <c r="D1064"/>
      <c r="E1064"/>
      <c r="F1064"/>
      <c r="G1064"/>
      <c r="H1064"/>
      <c r="I1064" s="532"/>
      <c r="V1064"/>
      <c r="W1064"/>
      <c r="Z1064"/>
      <c r="AA1064"/>
      <c r="AC1064"/>
      <c r="AD1064"/>
      <c r="AE1064"/>
      <c r="AI1064" s="960"/>
      <c r="AM1064"/>
    </row>
    <row r="1065" spans="3:39" x14ac:dyDescent="0.2">
      <c r="C1065"/>
      <c r="D1065"/>
      <c r="E1065"/>
      <c r="F1065"/>
      <c r="G1065"/>
      <c r="H1065"/>
      <c r="I1065" s="532"/>
      <c r="V1065"/>
      <c r="W1065"/>
      <c r="Z1065"/>
      <c r="AA1065"/>
      <c r="AC1065"/>
      <c r="AD1065"/>
      <c r="AE1065"/>
      <c r="AI1065" s="960"/>
      <c r="AM1065"/>
    </row>
    <row r="1066" spans="3:39" x14ac:dyDescent="0.2">
      <c r="C1066"/>
      <c r="D1066"/>
      <c r="E1066"/>
      <c r="F1066"/>
      <c r="G1066"/>
      <c r="H1066"/>
      <c r="I1066" s="532"/>
      <c r="V1066"/>
      <c r="W1066"/>
      <c r="Z1066"/>
      <c r="AA1066"/>
      <c r="AC1066"/>
      <c r="AD1066"/>
      <c r="AE1066"/>
      <c r="AI1066" s="960"/>
      <c r="AM1066"/>
    </row>
    <row r="1067" spans="3:39" x14ac:dyDescent="0.2">
      <c r="C1067"/>
      <c r="D1067"/>
      <c r="E1067"/>
      <c r="F1067"/>
      <c r="G1067"/>
      <c r="H1067"/>
      <c r="I1067" s="532"/>
      <c r="V1067"/>
      <c r="W1067"/>
      <c r="Z1067"/>
      <c r="AA1067"/>
      <c r="AC1067"/>
      <c r="AD1067"/>
      <c r="AE1067"/>
      <c r="AI1067" s="960"/>
      <c r="AM1067"/>
    </row>
    <row r="1068" spans="3:39" x14ac:dyDescent="0.2">
      <c r="C1068"/>
      <c r="D1068"/>
      <c r="E1068"/>
      <c r="F1068"/>
      <c r="G1068"/>
      <c r="H1068"/>
      <c r="I1068" s="532"/>
      <c r="V1068"/>
      <c r="W1068"/>
      <c r="Z1068"/>
      <c r="AA1068"/>
      <c r="AC1068"/>
      <c r="AD1068"/>
      <c r="AE1068"/>
      <c r="AI1068" s="960"/>
      <c r="AM1068"/>
    </row>
    <row r="1069" spans="3:39" x14ac:dyDescent="0.2">
      <c r="C1069"/>
      <c r="D1069"/>
      <c r="E1069"/>
      <c r="F1069"/>
      <c r="G1069"/>
      <c r="H1069"/>
      <c r="I1069" s="532"/>
      <c r="V1069"/>
      <c r="W1069"/>
      <c r="Z1069"/>
      <c r="AA1069"/>
      <c r="AC1069"/>
      <c r="AD1069"/>
      <c r="AE1069"/>
      <c r="AI1069" s="960"/>
      <c r="AM1069"/>
    </row>
    <row r="1070" spans="3:39" x14ac:dyDescent="0.2">
      <c r="C1070"/>
      <c r="D1070"/>
      <c r="E1070"/>
      <c r="F1070"/>
      <c r="G1070"/>
      <c r="H1070"/>
      <c r="I1070" s="532"/>
      <c r="V1070"/>
      <c r="W1070"/>
      <c r="Z1070"/>
      <c r="AA1070"/>
      <c r="AC1070"/>
      <c r="AD1070"/>
      <c r="AE1070"/>
      <c r="AI1070" s="960"/>
      <c r="AM1070"/>
    </row>
    <row r="1071" spans="3:39" x14ac:dyDescent="0.2">
      <c r="C1071"/>
      <c r="D1071"/>
      <c r="E1071"/>
      <c r="F1071"/>
      <c r="G1071"/>
      <c r="H1071"/>
      <c r="I1071" s="532"/>
      <c r="V1071"/>
      <c r="W1071"/>
      <c r="Z1071"/>
      <c r="AA1071"/>
      <c r="AC1071"/>
      <c r="AD1071"/>
      <c r="AE1071"/>
      <c r="AI1071" s="960"/>
      <c r="AM1071"/>
    </row>
    <row r="1072" spans="3:39" x14ac:dyDescent="0.2">
      <c r="C1072"/>
      <c r="D1072"/>
      <c r="E1072"/>
      <c r="F1072"/>
      <c r="G1072"/>
      <c r="H1072"/>
      <c r="I1072" s="532"/>
      <c r="V1072"/>
      <c r="W1072"/>
      <c r="Z1072"/>
      <c r="AA1072"/>
      <c r="AC1072"/>
      <c r="AD1072"/>
      <c r="AE1072"/>
      <c r="AI1072" s="960"/>
      <c r="AM1072"/>
    </row>
    <row r="1073" spans="3:39" x14ac:dyDescent="0.2">
      <c r="C1073"/>
      <c r="D1073"/>
      <c r="E1073"/>
      <c r="F1073"/>
      <c r="G1073"/>
      <c r="H1073"/>
      <c r="I1073" s="532"/>
      <c r="V1073"/>
      <c r="W1073"/>
      <c r="Z1073"/>
      <c r="AA1073"/>
      <c r="AC1073"/>
      <c r="AD1073"/>
      <c r="AE1073"/>
      <c r="AI1073" s="960"/>
      <c r="AM1073"/>
    </row>
    <row r="1074" spans="3:39" x14ac:dyDescent="0.2">
      <c r="C1074"/>
      <c r="D1074"/>
      <c r="E1074"/>
      <c r="F1074"/>
      <c r="G1074"/>
      <c r="H1074"/>
      <c r="I1074" s="532"/>
      <c r="V1074"/>
      <c r="W1074"/>
      <c r="Z1074"/>
      <c r="AA1074"/>
      <c r="AC1074"/>
      <c r="AD1074"/>
      <c r="AE1074"/>
      <c r="AI1074" s="960"/>
      <c r="AM1074"/>
    </row>
    <row r="1075" spans="3:39" x14ac:dyDescent="0.2">
      <c r="C1075"/>
      <c r="D1075"/>
      <c r="E1075"/>
      <c r="F1075"/>
      <c r="G1075"/>
      <c r="H1075"/>
      <c r="I1075" s="532"/>
      <c r="V1075"/>
      <c r="W1075"/>
      <c r="Z1075"/>
      <c r="AA1075"/>
      <c r="AC1075"/>
      <c r="AD1075"/>
      <c r="AE1075"/>
      <c r="AI1075" s="960"/>
      <c r="AM1075"/>
    </row>
    <row r="1076" spans="3:39" x14ac:dyDescent="0.2">
      <c r="C1076"/>
      <c r="D1076"/>
      <c r="E1076"/>
      <c r="F1076"/>
      <c r="G1076"/>
      <c r="H1076"/>
      <c r="I1076" s="532"/>
      <c r="V1076"/>
      <c r="W1076"/>
      <c r="Z1076"/>
      <c r="AA1076"/>
      <c r="AC1076"/>
      <c r="AD1076"/>
      <c r="AE1076"/>
      <c r="AI1076" s="960"/>
      <c r="AM1076"/>
    </row>
    <row r="1077" spans="3:39" x14ac:dyDescent="0.2">
      <c r="C1077"/>
      <c r="D1077"/>
      <c r="E1077"/>
      <c r="F1077"/>
      <c r="G1077"/>
      <c r="H1077"/>
      <c r="I1077" s="532"/>
      <c r="V1077"/>
      <c r="W1077"/>
      <c r="Z1077"/>
      <c r="AA1077"/>
      <c r="AC1077"/>
      <c r="AD1077"/>
      <c r="AE1077"/>
      <c r="AI1077" s="960"/>
      <c r="AM1077"/>
    </row>
    <row r="1078" spans="3:39" x14ac:dyDescent="0.2">
      <c r="C1078"/>
      <c r="D1078"/>
      <c r="E1078"/>
      <c r="F1078"/>
      <c r="G1078"/>
      <c r="H1078"/>
      <c r="I1078" s="532"/>
      <c r="V1078"/>
      <c r="W1078"/>
      <c r="Z1078"/>
      <c r="AA1078"/>
      <c r="AC1078"/>
      <c r="AD1078"/>
      <c r="AE1078"/>
      <c r="AI1078" s="960"/>
      <c r="AM1078"/>
    </row>
    <row r="1079" spans="3:39" x14ac:dyDescent="0.2">
      <c r="C1079"/>
      <c r="D1079"/>
      <c r="E1079"/>
      <c r="F1079"/>
      <c r="G1079"/>
      <c r="H1079"/>
      <c r="I1079" s="532"/>
      <c r="V1079"/>
      <c r="W1079"/>
      <c r="Z1079"/>
      <c r="AA1079"/>
      <c r="AC1079"/>
      <c r="AD1079"/>
      <c r="AE1079"/>
      <c r="AI1079" s="960"/>
      <c r="AM1079"/>
    </row>
    <row r="1080" spans="3:39" x14ac:dyDescent="0.2">
      <c r="C1080"/>
      <c r="D1080"/>
      <c r="E1080"/>
      <c r="F1080"/>
      <c r="G1080"/>
      <c r="H1080"/>
      <c r="I1080" s="532"/>
      <c r="V1080"/>
      <c r="W1080"/>
      <c r="Z1080"/>
      <c r="AA1080"/>
      <c r="AC1080"/>
      <c r="AD1080"/>
      <c r="AE1080"/>
      <c r="AI1080" s="960"/>
      <c r="AM1080"/>
    </row>
    <row r="1081" spans="3:39" x14ac:dyDescent="0.2">
      <c r="C1081"/>
      <c r="D1081"/>
      <c r="E1081"/>
      <c r="F1081"/>
      <c r="G1081"/>
      <c r="H1081"/>
      <c r="I1081" s="532"/>
      <c r="V1081"/>
      <c r="W1081"/>
      <c r="Z1081"/>
      <c r="AA1081"/>
      <c r="AC1081"/>
      <c r="AD1081"/>
      <c r="AE1081"/>
      <c r="AI1081" s="960"/>
      <c r="AM1081"/>
    </row>
    <row r="1082" spans="3:39" x14ac:dyDescent="0.2">
      <c r="C1082"/>
      <c r="D1082"/>
      <c r="E1082"/>
      <c r="F1082"/>
      <c r="G1082"/>
      <c r="H1082"/>
      <c r="I1082" s="532"/>
      <c r="V1082"/>
      <c r="W1082"/>
      <c r="Z1082"/>
      <c r="AA1082"/>
      <c r="AC1082"/>
      <c r="AD1082"/>
      <c r="AE1082"/>
      <c r="AI1082" s="960"/>
      <c r="AM1082"/>
    </row>
    <row r="1083" spans="3:39" x14ac:dyDescent="0.2">
      <c r="C1083"/>
      <c r="D1083"/>
      <c r="E1083"/>
      <c r="F1083"/>
      <c r="G1083"/>
      <c r="H1083"/>
      <c r="I1083" s="532"/>
      <c r="V1083"/>
      <c r="W1083"/>
      <c r="Z1083"/>
      <c r="AA1083"/>
      <c r="AC1083"/>
      <c r="AD1083"/>
      <c r="AE1083"/>
      <c r="AI1083" s="960"/>
      <c r="AM1083"/>
    </row>
    <row r="1084" spans="3:39" x14ac:dyDescent="0.2">
      <c r="C1084"/>
      <c r="D1084"/>
      <c r="E1084"/>
      <c r="F1084"/>
      <c r="G1084"/>
      <c r="H1084"/>
      <c r="I1084" s="532"/>
      <c r="V1084"/>
      <c r="W1084"/>
      <c r="Z1084"/>
      <c r="AA1084"/>
      <c r="AC1084"/>
      <c r="AD1084"/>
      <c r="AE1084"/>
      <c r="AI1084" s="960"/>
      <c r="AM1084"/>
    </row>
    <row r="1085" spans="3:39" x14ac:dyDescent="0.2">
      <c r="C1085"/>
      <c r="D1085"/>
      <c r="E1085"/>
      <c r="F1085"/>
      <c r="G1085"/>
      <c r="H1085"/>
      <c r="I1085" s="532"/>
      <c r="V1085"/>
      <c r="W1085"/>
      <c r="Z1085"/>
      <c r="AA1085"/>
      <c r="AC1085"/>
      <c r="AD1085"/>
      <c r="AE1085"/>
      <c r="AI1085" s="960"/>
      <c r="AM1085"/>
    </row>
    <row r="1086" spans="3:39" x14ac:dyDescent="0.2">
      <c r="C1086"/>
      <c r="D1086"/>
      <c r="E1086"/>
      <c r="F1086"/>
      <c r="G1086"/>
      <c r="H1086"/>
      <c r="I1086" s="532"/>
      <c r="V1086"/>
      <c r="W1086"/>
      <c r="Z1086"/>
      <c r="AA1086"/>
      <c r="AC1086"/>
      <c r="AD1086"/>
      <c r="AE1086"/>
      <c r="AI1086" s="960"/>
      <c r="AM1086"/>
    </row>
    <row r="1087" spans="3:39" x14ac:dyDescent="0.2">
      <c r="C1087"/>
      <c r="D1087"/>
      <c r="E1087"/>
      <c r="F1087"/>
      <c r="G1087"/>
      <c r="H1087"/>
      <c r="I1087" s="532"/>
      <c r="V1087"/>
      <c r="W1087"/>
      <c r="Z1087"/>
      <c r="AA1087"/>
      <c r="AC1087"/>
      <c r="AD1087"/>
      <c r="AE1087"/>
      <c r="AI1087" s="960"/>
      <c r="AM1087"/>
    </row>
    <row r="1088" spans="3:39" x14ac:dyDescent="0.2">
      <c r="C1088"/>
      <c r="D1088"/>
      <c r="E1088"/>
      <c r="F1088"/>
      <c r="G1088"/>
      <c r="H1088"/>
      <c r="I1088" s="532"/>
      <c r="V1088"/>
      <c r="W1088"/>
      <c r="Z1088"/>
      <c r="AA1088"/>
      <c r="AC1088"/>
      <c r="AD1088"/>
      <c r="AE1088"/>
      <c r="AI1088" s="960"/>
      <c r="AM1088"/>
    </row>
    <row r="1089" spans="3:39" x14ac:dyDescent="0.2">
      <c r="C1089"/>
      <c r="D1089"/>
      <c r="E1089"/>
      <c r="F1089"/>
      <c r="G1089"/>
      <c r="H1089"/>
      <c r="I1089" s="532"/>
      <c r="V1089"/>
      <c r="W1089"/>
      <c r="Z1089"/>
      <c r="AA1089"/>
      <c r="AC1089"/>
      <c r="AD1089"/>
      <c r="AE1089"/>
      <c r="AI1089" s="960"/>
      <c r="AM1089"/>
    </row>
    <row r="1090" spans="3:39" x14ac:dyDescent="0.2">
      <c r="C1090"/>
      <c r="D1090"/>
      <c r="E1090"/>
      <c r="F1090"/>
      <c r="G1090"/>
      <c r="H1090"/>
      <c r="I1090" s="532"/>
      <c r="V1090"/>
      <c r="W1090"/>
      <c r="Z1090"/>
      <c r="AA1090"/>
      <c r="AC1090"/>
      <c r="AD1090"/>
      <c r="AE1090"/>
      <c r="AI1090" s="960"/>
      <c r="AM1090"/>
    </row>
    <row r="1091" spans="3:39" x14ac:dyDescent="0.2">
      <c r="C1091"/>
      <c r="D1091"/>
      <c r="E1091"/>
      <c r="F1091"/>
      <c r="G1091"/>
      <c r="H1091"/>
      <c r="I1091" s="532"/>
      <c r="V1091"/>
      <c r="W1091"/>
      <c r="Z1091"/>
      <c r="AA1091"/>
      <c r="AC1091"/>
      <c r="AD1091"/>
      <c r="AE1091"/>
      <c r="AI1091" s="960"/>
      <c r="AM1091"/>
    </row>
    <row r="1092" spans="3:39" x14ac:dyDescent="0.2">
      <c r="C1092"/>
      <c r="D1092"/>
      <c r="E1092"/>
      <c r="F1092"/>
      <c r="G1092"/>
      <c r="H1092"/>
      <c r="I1092" s="532"/>
      <c r="V1092"/>
      <c r="W1092"/>
      <c r="Z1092"/>
      <c r="AA1092"/>
      <c r="AC1092"/>
      <c r="AD1092"/>
      <c r="AE1092"/>
      <c r="AI1092" s="960"/>
      <c r="AM1092"/>
    </row>
    <row r="1093" spans="3:39" x14ac:dyDescent="0.2">
      <c r="C1093"/>
      <c r="D1093"/>
      <c r="E1093"/>
      <c r="F1093"/>
      <c r="G1093"/>
      <c r="H1093"/>
      <c r="I1093" s="532"/>
      <c r="V1093"/>
      <c r="W1093"/>
      <c r="Z1093"/>
      <c r="AA1093"/>
      <c r="AC1093"/>
      <c r="AD1093"/>
      <c r="AE1093"/>
      <c r="AI1093" s="960"/>
      <c r="AM1093"/>
    </row>
    <row r="1094" spans="3:39" x14ac:dyDescent="0.2">
      <c r="C1094"/>
      <c r="D1094"/>
      <c r="E1094"/>
      <c r="F1094"/>
      <c r="G1094"/>
      <c r="H1094"/>
      <c r="I1094" s="532"/>
      <c r="V1094"/>
      <c r="W1094"/>
      <c r="Z1094"/>
      <c r="AA1094"/>
      <c r="AC1094"/>
      <c r="AD1094"/>
      <c r="AE1094"/>
      <c r="AI1094" s="960"/>
      <c r="AM1094"/>
    </row>
    <row r="1095" spans="3:39" x14ac:dyDescent="0.2">
      <c r="C1095"/>
      <c r="D1095"/>
      <c r="E1095"/>
      <c r="F1095"/>
      <c r="G1095"/>
      <c r="H1095"/>
      <c r="I1095" s="532"/>
      <c r="V1095"/>
      <c r="W1095"/>
      <c r="Z1095"/>
      <c r="AA1095"/>
      <c r="AC1095"/>
      <c r="AD1095"/>
      <c r="AE1095"/>
      <c r="AI1095" s="960"/>
      <c r="AM1095"/>
    </row>
    <row r="1096" spans="3:39" x14ac:dyDescent="0.2">
      <c r="C1096"/>
      <c r="D1096"/>
      <c r="E1096"/>
      <c r="F1096"/>
      <c r="G1096"/>
      <c r="H1096"/>
      <c r="I1096" s="532"/>
      <c r="V1096"/>
      <c r="W1096"/>
      <c r="Z1096"/>
      <c r="AA1096"/>
      <c r="AC1096"/>
      <c r="AD1096"/>
      <c r="AE1096"/>
      <c r="AI1096" s="960"/>
      <c r="AM1096"/>
    </row>
    <row r="1097" spans="3:39" x14ac:dyDescent="0.2">
      <c r="C1097"/>
      <c r="D1097"/>
      <c r="E1097"/>
      <c r="F1097"/>
      <c r="G1097"/>
      <c r="H1097"/>
      <c r="I1097" s="532"/>
      <c r="V1097"/>
      <c r="W1097"/>
      <c r="Z1097"/>
      <c r="AA1097"/>
      <c r="AC1097"/>
      <c r="AD1097"/>
      <c r="AE1097"/>
      <c r="AI1097" s="960"/>
      <c r="AM1097"/>
    </row>
    <row r="1098" spans="3:39" x14ac:dyDescent="0.2">
      <c r="C1098"/>
      <c r="D1098"/>
      <c r="E1098"/>
      <c r="F1098"/>
      <c r="G1098"/>
      <c r="H1098"/>
      <c r="I1098" s="532"/>
      <c r="V1098"/>
      <c r="W1098"/>
      <c r="Z1098"/>
      <c r="AA1098"/>
      <c r="AC1098"/>
      <c r="AD1098"/>
      <c r="AE1098"/>
      <c r="AI1098" s="960"/>
      <c r="AM1098"/>
    </row>
    <row r="1099" spans="3:39" x14ac:dyDescent="0.2">
      <c r="C1099"/>
      <c r="D1099"/>
      <c r="E1099"/>
      <c r="F1099"/>
      <c r="G1099"/>
      <c r="H1099"/>
      <c r="I1099" s="532"/>
      <c r="V1099"/>
      <c r="W1099"/>
      <c r="Z1099"/>
      <c r="AA1099"/>
      <c r="AC1099"/>
      <c r="AD1099"/>
      <c r="AE1099"/>
      <c r="AI1099" s="960"/>
      <c r="AM1099"/>
    </row>
    <row r="1100" spans="3:39" x14ac:dyDescent="0.2">
      <c r="C1100"/>
      <c r="D1100"/>
      <c r="E1100"/>
      <c r="F1100"/>
      <c r="G1100"/>
      <c r="H1100"/>
      <c r="I1100" s="532"/>
      <c r="V1100"/>
      <c r="W1100"/>
      <c r="Z1100"/>
      <c r="AA1100"/>
      <c r="AC1100"/>
      <c r="AD1100"/>
      <c r="AE1100"/>
      <c r="AI1100" s="960"/>
      <c r="AM1100"/>
    </row>
    <row r="1101" spans="3:39" x14ac:dyDescent="0.2">
      <c r="C1101"/>
      <c r="D1101"/>
      <c r="E1101"/>
      <c r="F1101"/>
      <c r="G1101"/>
      <c r="H1101"/>
      <c r="I1101" s="532"/>
      <c r="V1101"/>
      <c r="W1101"/>
      <c r="Z1101"/>
      <c r="AA1101"/>
      <c r="AC1101"/>
      <c r="AD1101"/>
      <c r="AE1101"/>
      <c r="AI1101" s="960"/>
      <c r="AM1101"/>
    </row>
    <row r="1102" spans="3:39" x14ac:dyDescent="0.2">
      <c r="C1102"/>
      <c r="D1102"/>
      <c r="E1102"/>
      <c r="F1102"/>
      <c r="G1102"/>
      <c r="H1102"/>
      <c r="I1102" s="532"/>
      <c r="V1102"/>
      <c r="W1102"/>
      <c r="Z1102"/>
      <c r="AA1102"/>
      <c r="AC1102"/>
      <c r="AD1102"/>
      <c r="AE1102"/>
      <c r="AI1102" s="960"/>
      <c r="AM1102"/>
    </row>
    <row r="1103" spans="3:39" x14ac:dyDescent="0.2">
      <c r="C1103"/>
      <c r="D1103"/>
      <c r="E1103"/>
      <c r="F1103"/>
      <c r="G1103"/>
      <c r="H1103"/>
      <c r="I1103" s="532"/>
      <c r="V1103"/>
      <c r="W1103"/>
      <c r="Z1103"/>
      <c r="AA1103"/>
      <c r="AC1103"/>
      <c r="AD1103"/>
      <c r="AE1103"/>
      <c r="AI1103" s="960"/>
      <c r="AM1103"/>
    </row>
    <row r="1104" spans="3:39" x14ac:dyDescent="0.2">
      <c r="C1104"/>
      <c r="D1104"/>
      <c r="E1104"/>
      <c r="F1104"/>
      <c r="G1104"/>
      <c r="H1104"/>
      <c r="I1104" s="532"/>
      <c r="V1104"/>
      <c r="W1104"/>
      <c r="Z1104"/>
      <c r="AA1104"/>
      <c r="AC1104"/>
      <c r="AD1104"/>
      <c r="AE1104"/>
      <c r="AI1104" s="960"/>
      <c r="AM1104"/>
    </row>
    <row r="1105" spans="3:39" x14ac:dyDescent="0.2">
      <c r="C1105"/>
      <c r="D1105"/>
      <c r="E1105"/>
      <c r="F1105"/>
      <c r="G1105"/>
      <c r="H1105"/>
      <c r="I1105" s="532"/>
      <c r="V1105"/>
      <c r="W1105"/>
      <c r="Z1105"/>
      <c r="AA1105"/>
      <c r="AC1105"/>
      <c r="AD1105"/>
      <c r="AE1105"/>
      <c r="AI1105" s="960"/>
      <c r="AM1105"/>
    </row>
    <row r="1106" spans="3:39" x14ac:dyDescent="0.2">
      <c r="C1106"/>
      <c r="D1106"/>
      <c r="E1106"/>
      <c r="F1106"/>
      <c r="G1106"/>
      <c r="H1106"/>
      <c r="I1106" s="532"/>
      <c r="V1106"/>
      <c r="W1106"/>
      <c r="Z1106"/>
      <c r="AA1106"/>
      <c r="AC1106"/>
      <c r="AD1106"/>
      <c r="AE1106"/>
      <c r="AI1106" s="960"/>
      <c r="AM1106"/>
    </row>
    <row r="1107" spans="3:39" x14ac:dyDescent="0.2">
      <c r="C1107"/>
      <c r="D1107"/>
      <c r="E1107"/>
      <c r="F1107"/>
      <c r="G1107"/>
      <c r="H1107"/>
      <c r="I1107" s="532"/>
      <c r="V1107"/>
      <c r="W1107"/>
      <c r="Z1107"/>
      <c r="AA1107"/>
      <c r="AC1107"/>
      <c r="AD1107"/>
      <c r="AE1107"/>
      <c r="AI1107" s="960"/>
      <c r="AM1107"/>
    </row>
    <row r="1108" spans="3:39" x14ac:dyDescent="0.2">
      <c r="C1108"/>
      <c r="D1108"/>
      <c r="E1108"/>
      <c r="F1108"/>
      <c r="G1108"/>
      <c r="H1108"/>
      <c r="I1108" s="532"/>
      <c r="V1108"/>
      <c r="W1108"/>
      <c r="Z1108"/>
      <c r="AA1108"/>
      <c r="AC1108"/>
      <c r="AD1108"/>
      <c r="AE1108"/>
      <c r="AI1108" s="960"/>
      <c r="AM1108"/>
    </row>
    <row r="1109" spans="3:39" x14ac:dyDescent="0.2">
      <c r="C1109"/>
      <c r="D1109"/>
      <c r="E1109"/>
      <c r="F1109"/>
      <c r="G1109"/>
      <c r="H1109"/>
      <c r="I1109" s="532"/>
      <c r="V1109"/>
      <c r="W1109"/>
      <c r="Z1109"/>
      <c r="AA1109"/>
      <c r="AC1109"/>
      <c r="AD1109"/>
      <c r="AE1109"/>
      <c r="AI1109" s="960"/>
      <c r="AM1109"/>
    </row>
    <row r="1110" spans="3:39" x14ac:dyDescent="0.2">
      <c r="C1110"/>
      <c r="D1110"/>
      <c r="E1110"/>
      <c r="F1110"/>
      <c r="G1110"/>
      <c r="H1110"/>
      <c r="I1110" s="532"/>
      <c r="V1110"/>
      <c r="W1110"/>
      <c r="Z1110"/>
      <c r="AA1110"/>
      <c r="AC1110"/>
      <c r="AD1110"/>
      <c r="AE1110"/>
      <c r="AI1110" s="960"/>
      <c r="AM1110"/>
    </row>
    <row r="1111" spans="3:39" x14ac:dyDescent="0.2">
      <c r="C1111"/>
      <c r="D1111"/>
      <c r="E1111"/>
      <c r="F1111"/>
      <c r="G1111"/>
      <c r="H1111"/>
      <c r="I1111" s="532"/>
      <c r="V1111"/>
      <c r="W1111"/>
      <c r="Z1111"/>
      <c r="AA1111"/>
      <c r="AC1111"/>
      <c r="AD1111"/>
      <c r="AE1111"/>
      <c r="AI1111" s="960"/>
      <c r="AM1111"/>
    </row>
    <row r="1112" spans="3:39" x14ac:dyDescent="0.2">
      <c r="C1112"/>
      <c r="D1112"/>
      <c r="E1112"/>
      <c r="F1112"/>
      <c r="G1112"/>
      <c r="H1112"/>
      <c r="I1112" s="532"/>
      <c r="V1112"/>
      <c r="W1112"/>
      <c r="Z1112"/>
      <c r="AA1112"/>
      <c r="AC1112"/>
      <c r="AD1112"/>
      <c r="AE1112"/>
      <c r="AI1112" s="960"/>
      <c r="AM1112"/>
    </row>
    <row r="1113" spans="3:39" x14ac:dyDescent="0.2">
      <c r="C1113"/>
      <c r="D1113"/>
      <c r="E1113"/>
      <c r="F1113"/>
      <c r="G1113"/>
      <c r="H1113"/>
      <c r="I1113" s="532"/>
      <c r="V1113"/>
      <c r="W1113"/>
      <c r="Z1113"/>
      <c r="AA1113"/>
      <c r="AC1113"/>
      <c r="AD1113"/>
      <c r="AE1113"/>
      <c r="AI1113" s="960"/>
      <c r="AM1113"/>
    </row>
    <row r="1114" spans="3:39" x14ac:dyDescent="0.2">
      <c r="C1114"/>
      <c r="D1114"/>
      <c r="E1114"/>
      <c r="F1114"/>
      <c r="G1114"/>
      <c r="H1114"/>
      <c r="I1114" s="532"/>
      <c r="V1114"/>
      <c r="W1114"/>
      <c r="Z1114"/>
      <c r="AA1114"/>
      <c r="AC1114"/>
      <c r="AD1114"/>
      <c r="AE1114"/>
      <c r="AI1114" s="960"/>
      <c r="AM1114"/>
    </row>
    <row r="1115" spans="3:39" x14ac:dyDescent="0.2">
      <c r="C1115"/>
      <c r="D1115"/>
      <c r="E1115"/>
      <c r="F1115"/>
      <c r="G1115"/>
      <c r="H1115"/>
      <c r="I1115" s="532"/>
      <c r="V1115"/>
      <c r="W1115"/>
      <c r="Z1115"/>
      <c r="AA1115"/>
      <c r="AC1115"/>
      <c r="AD1115"/>
      <c r="AE1115"/>
      <c r="AI1115" s="960"/>
      <c r="AM1115"/>
    </row>
    <row r="1116" spans="3:39" x14ac:dyDescent="0.2">
      <c r="C1116"/>
      <c r="D1116"/>
      <c r="E1116"/>
      <c r="F1116"/>
      <c r="G1116"/>
      <c r="H1116"/>
      <c r="I1116" s="532"/>
      <c r="V1116"/>
      <c r="W1116"/>
      <c r="Z1116"/>
      <c r="AA1116"/>
      <c r="AC1116"/>
      <c r="AD1116"/>
      <c r="AE1116"/>
      <c r="AI1116" s="960"/>
      <c r="AM1116"/>
    </row>
    <row r="1117" spans="3:39" x14ac:dyDescent="0.2">
      <c r="C1117"/>
      <c r="D1117"/>
      <c r="E1117"/>
      <c r="F1117"/>
      <c r="G1117"/>
      <c r="H1117"/>
      <c r="I1117" s="532"/>
      <c r="V1117"/>
      <c r="W1117"/>
      <c r="Z1117"/>
      <c r="AA1117"/>
      <c r="AC1117"/>
      <c r="AD1117"/>
      <c r="AE1117"/>
      <c r="AI1117" s="960"/>
      <c r="AM1117"/>
    </row>
    <row r="1118" spans="3:39" x14ac:dyDescent="0.2">
      <c r="C1118"/>
      <c r="D1118"/>
      <c r="E1118"/>
      <c r="F1118"/>
      <c r="G1118"/>
      <c r="H1118"/>
      <c r="I1118" s="532"/>
      <c r="V1118"/>
      <c r="W1118"/>
      <c r="Z1118"/>
      <c r="AA1118"/>
      <c r="AC1118"/>
      <c r="AD1118"/>
      <c r="AE1118"/>
      <c r="AI1118" s="960"/>
      <c r="AM1118"/>
    </row>
    <row r="1119" spans="3:39" x14ac:dyDescent="0.2">
      <c r="C1119"/>
      <c r="D1119"/>
      <c r="E1119"/>
      <c r="F1119"/>
      <c r="G1119"/>
      <c r="H1119"/>
      <c r="I1119" s="532"/>
      <c r="V1119"/>
      <c r="W1119"/>
      <c r="Z1119"/>
      <c r="AA1119"/>
      <c r="AC1119"/>
      <c r="AD1119"/>
      <c r="AE1119"/>
      <c r="AI1119" s="960"/>
      <c r="AM1119"/>
    </row>
    <row r="1120" spans="3:39" x14ac:dyDescent="0.2">
      <c r="C1120"/>
      <c r="D1120"/>
      <c r="E1120"/>
      <c r="F1120"/>
      <c r="G1120"/>
      <c r="H1120"/>
      <c r="I1120" s="532"/>
      <c r="V1120"/>
      <c r="W1120"/>
      <c r="Z1120"/>
      <c r="AA1120"/>
      <c r="AC1120"/>
      <c r="AD1120"/>
      <c r="AE1120"/>
      <c r="AI1120" s="960"/>
      <c r="AM1120"/>
    </row>
    <row r="1121" spans="3:39" x14ac:dyDescent="0.2">
      <c r="C1121"/>
      <c r="D1121"/>
      <c r="E1121"/>
      <c r="F1121"/>
      <c r="G1121"/>
      <c r="H1121"/>
      <c r="I1121" s="532"/>
      <c r="V1121"/>
      <c r="W1121"/>
      <c r="Z1121"/>
      <c r="AA1121"/>
      <c r="AC1121"/>
      <c r="AD1121"/>
      <c r="AE1121"/>
      <c r="AI1121" s="960"/>
      <c r="AM1121"/>
    </row>
    <row r="1122" spans="3:39" x14ac:dyDescent="0.2">
      <c r="C1122"/>
      <c r="D1122"/>
      <c r="E1122"/>
      <c r="F1122"/>
      <c r="G1122"/>
      <c r="H1122"/>
      <c r="I1122" s="532"/>
      <c r="V1122"/>
      <c r="W1122"/>
      <c r="Z1122"/>
      <c r="AA1122"/>
      <c r="AC1122"/>
      <c r="AD1122"/>
      <c r="AE1122"/>
      <c r="AI1122" s="960"/>
      <c r="AM1122"/>
    </row>
    <row r="1123" spans="3:39" x14ac:dyDescent="0.2">
      <c r="C1123"/>
      <c r="D1123"/>
      <c r="E1123"/>
      <c r="F1123"/>
      <c r="G1123"/>
      <c r="H1123"/>
      <c r="I1123" s="532"/>
      <c r="V1123"/>
      <c r="W1123"/>
      <c r="Z1123"/>
      <c r="AA1123"/>
      <c r="AC1123"/>
      <c r="AD1123"/>
      <c r="AE1123"/>
      <c r="AI1123" s="960"/>
      <c r="AM1123"/>
    </row>
    <row r="1124" spans="3:39" x14ac:dyDescent="0.2">
      <c r="C1124"/>
      <c r="D1124"/>
      <c r="E1124"/>
      <c r="F1124"/>
      <c r="G1124"/>
      <c r="H1124"/>
      <c r="I1124" s="532"/>
      <c r="V1124"/>
      <c r="W1124"/>
      <c r="Z1124"/>
      <c r="AA1124"/>
      <c r="AC1124"/>
      <c r="AD1124"/>
      <c r="AE1124"/>
      <c r="AI1124" s="960"/>
      <c r="AM1124"/>
    </row>
    <row r="1125" spans="3:39" x14ac:dyDescent="0.2">
      <c r="C1125"/>
      <c r="D1125"/>
      <c r="E1125"/>
      <c r="F1125"/>
      <c r="G1125"/>
      <c r="H1125"/>
      <c r="I1125" s="532"/>
      <c r="V1125"/>
      <c r="W1125"/>
      <c r="Z1125"/>
      <c r="AA1125"/>
      <c r="AC1125"/>
      <c r="AD1125"/>
      <c r="AE1125"/>
      <c r="AI1125" s="960"/>
      <c r="AM1125"/>
    </row>
    <row r="1126" spans="3:39" x14ac:dyDescent="0.2">
      <c r="C1126"/>
      <c r="D1126"/>
      <c r="E1126"/>
      <c r="F1126"/>
      <c r="G1126"/>
      <c r="H1126"/>
      <c r="I1126" s="532"/>
      <c r="V1126"/>
      <c r="W1126"/>
      <c r="Z1126"/>
      <c r="AA1126"/>
      <c r="AC1126"/>
      <c r="AD1126"/>
      <c r="AE1126"/>
      <c r="AI1126" s="960"/>
      <c r="AM1126"/>
    </row>
    <row r="1127" spans="3:39" x14ac:dyDescent="0.2">
      <c r="C1127"/>
      <c r="D1127"/>
      <c r="E1127"/>
      <c r="F1127"/>
      <c r="G1127"/>
      <c r="H1127"/>
      <c r="I1127" s="532"/>
      <c r="V1127"/>
      <c r="W1127"/>
      <c r="Z1127"/>
      <c r="AA1127"/>
      <c r="AC1127"/>
      <c r="AD1127"/>
      <c r="AE1127"/>
      <c r="AI1127" s="960"/>
      <c r="AM1127"/>
    </row>
    <row r="1128" spans="3:39" x14ac:dyDescent="0.2">
      <c r="C1128"/>
      <c r="D1128"/>
      <c r="E1128"/>
      <c r="F1128"/>
      <c r="G1128"/>
      <c r="H1128"/>
      <c r="I1128" s="532"/>
      <c r="V1128"/>
      <c r="W1128"/>
      <c r="Z1128"/>
      <c r="AA1128"/>
      <c r="AC1128"/>
      <c r="AD1128"/>
      <c r="AE1128"/>
      <c r="AI1128" s="960"/>
      <c r="AM1128"/>
    </row>
    <row r="1129" spans="3:39" x14ac:dyDescent="0.2">
      <c r="C1129"/>
      <c r="D1129"/>
      <c r="E1129"/>
      <c r="F1129"/>
      <c r="G1129"/>
      <c r="H1129"/>
      <c r="I1129" s="532"/>
      <c r="V1129"/>
      <c r="W1129"/>
      <c r="Z1129"/>
      <c r="AA1129"/>
      <c r="AC1129"/>
      <c r="AD1129"/>
      <c r="AE1129"/>
      <c r="AI1129" s="960"/>
      <c r="AM1129"/>
    </row>
    <row r="1130" spans="3:39" x14ac:dyDescent="0.2">
      <c r="C1130"/>
      <c r="D1130"/>
      <c r="E1130"/>
      <c r="F1130"/>
      <c r="G1130"/>
      <c r="H1130"/>
      <c r="I1130" s="532"/>
      <c r="V1130"/>
      <c r="W1130"/>
      <c r="Z1130"/>
      <c r="AA1130"/>
      <c r="AC1130"/>
      <c r="AD1130"/>
      <c r="AE1130"/>
      <c r="AI1130" s="960"/>
      <c r="AM1130"/>
    </row>
    <row r="1131" spans="3:39" x14ac:dyDescent="0.2">
      <c r="C1131"/>
      <c r="D1131"/>
      <c r="E1131"/>
      <c r="F1131"/>
      <c r="G1131"/>
      <c r="H1131"/>
      <c r="I1131" s="532"/>
      <c r="V1131"/>
      <c r="W1131"/>
      <c r="Z1131"/>
      <c r="AA1131"/>
      <c r="AC1131"/>
      <c r="AD1131"/>
      <c r="AE1131"/>
      <c r="AI1131" s="960"/>
      <c r="AM1131"/>
    </row>
    <row r="1132" spans="3:39" x14ac:dyDescent="0.2">
      <c r="C1132"/>
      <c r="D1132"/>
      <c r="E1132"/>
      <c r="F1132"/>
      <c r="G1132"/>
      <c r="H1132"/>
      <c r="I1132" s="532"/>
      <c r="V1132"/>
      <c r="W1132"/>
      <c r="Z1132"/>
      <c r="AA1132"/>
      <c r="AC1132"/>
      <c r="AD1132"/>
      <c r="AE1132"/>
      <c r="AI1132" s="960"/>
      <c r="AM1132"/>
    </row>
    <row r="1133" spans="3:39" x14ac:dyDescent="0.2">
      <c r="C1133"/>
      <c r="D1133"/>
      <c r="E1133"/>
      <c r="F1133"/>
      <c r="G1133"/>
      <c r="H1133"/>
      <c r="I1133" s="532"/>
      <c r="V1133"/>
      <c r="W1133"/>
      <c r="Z1133"/>
      <c r="AA1133"/>
      <c r="AC1133"/>
      <c r="AD1133"/>
      <c r="AE1133"/>
      <c r="AI1133" s="960"/>
      <c r="AM1133"/>
    </row>
    <row r="1134" spans="3:39" x14ac:dyDescent="0.2">
      <c r="C1134"/>
      <c r="D1134"/>
      <c r="E1134"/>
      <c r="F1134"/>
      <c r="G1134"/>
      <c r="H1134"/>
      <c r="I1134" s="532"/>
      <c r="V1134"/>
      <c r="W1134"/>
      <c r="Z1134"/>
      <c r="AA1134"/>
      <c r="AC1134"/>
      <c r="AD1134"/>
      <c r="AE1134"/>
      <c r="AI1134" s="960"/>
      <c r="AM1134"/>
    </row>
    <row r="1135" spans="3:39" x14ac:dyDescent="0.2">
      <c r="C1135"/>
      <c r="D1135"/>
      <c r="E1135"/>
      <c r="F1135"/>
      <c r="G1135"/>
      <c r="H1135"/>
      <c r="I1135" s="532"/>
      <c r="V1135"/>
      <c r="W1135"/>
      <c r="Z1135"/>
      <c r="AA1135"/>
      <c r="AC1135"/>
      <c r="AD1135"/>
      <c r="AE1135"/>
      <c r="AI1135" s="960"/>
      <c r="AM1135"/>
    </row>
    <row r="1136" spans="3:39" x14ac:dyDescent="0.2">
      <c r="C1136"/>
      <c r="D1136"/>
      <c r="E1136"/>
      <c r="F1136"/>
      <c r="G1136"/>
      <c r="H1136"/>
      <c r="I1136" s="532"/>
      <c r="V1136"/>
      <c r="W1136"/>
      <c r="Z1136"/>
      <c r="AA1136"/>
      <c r="AC1136"/>
      <c r="AD1136"/>
      <c r="AE1136"/>
      <c r="AI1136" s="960"/>
      <c r="AM1136"/>
    </row>
    <row r="1137" spans="3:39" x14ac:dyDescent="0.2">
      <c r="C1137"/>
      <c r="D1137"/>
      <c r="E1137"/>
      <c r="F1137"/>
      <c r="G1137"/>
      <c r="H1137"/>
      <c r="I1137" s="532"/>
      <c r="V1137"/>
      <c r="W1137"/>
      <c r="Z1137"/>
      <c r="AA1137"/>
      <c r="AC1137"/>
      <c r="AD1137"/>
      <c r="AE1137"/>
      <c r="AI1137" s="960"/>
      <c r="AM1137"/>
    </row>
    <row r="1138" spans="3:39" x14ac:dyDescent="0.2">
      <c r="C1138"/>
      <c r="D1138"/>
      <c r="E1138"/>
      <c r="F1138"/>
      <c r="G1138"/>
      <c r="H1138"/>
      <c r="I1138" s="532"/>
      <c r="V1138"/>
      <c r="W1138"/>
      <c r="Z1138"/>
      <c r="AA1138"/>
      <c r="AC1138"/>
      <c r="AD1138"/>
      <c r="AE1138"/>
      <c r="AI1138" s="960"/>
      <c r="AM1138"/>
    </row>
    <row r="1139" spans="3:39" x14ac:dyDescent="0.2">
      <c r="C1139"/>
      <c r="D1139"/>
      <c r="E1139"/>
      <c r="F1139"/>
      <c r="G1139"/>
      <c r="H1139"/>
      <c r="I1139" s="532"/>
      <c r="V1139"/>
      <c r="W1139"/>
      <c r="Z1139"/>
      <c r="AA1139"/>
      <c r="AC1139"/>
      <c r="AD1139"/>
      <c r="AE1139"/>
      <c r="AI1139" s="960"/>
      <c r="AM1139"/>
    </row>
    <row r="1140" spans="3:39" x14ac:dyDescent="0.2">
      <c r="C1140"/>
      <c r="D1140"/>
      <c r="E1140"/>
      <c r="F1140"/>
      <c r="G1140"/>
      <c r="H1140"/>
      <c r="I1140" s="532"/>
      <c r="V1140"/>
      <c r="W1140"/>
      <c r="Z1140"/>
      <c r="AA1140"/>
      <c r="AC1140"/>
      <c r="AD1140"/>
      <c r="AE1140"/>
      <c r="AI1140" s="960"/>
      <c r="AM1140"/>
    </row>
    <row r="1141" spans="3:39" x14ac:dyDescent="0.2">
      <c r="C1141"/>
      <c r="D1141"/>
      <c r="E1141"/>
      <c r="F1141"/>
      <c r="G1141"/>
      <c r="H1141"/>
      <c r="I1141" s="532"/>
      <c r="V1141"/>
      <c r="W1141"/>
      <c r="Z1141"/>
      <c r="AA1141"/>
      <c r="AC1141"/>
      <c r="AD1141"/>
      <c r="AE1141"/>
      <c r="AI1141" s="960"/>
      <c r="AM1141"/>
    </row>
    <row r="1142" spans="3:39" x14ac:dyDescent="0.2">
      <c r="C1142"/>
      <c r="D1142"/>
      <c r="E1142"/>
      <c r="F1142"/>
      <c r="G1142"/>
      <c r="H1142"/>
      <c r="I1142" s="532"/>
      <c r="V1142"/>
      <c r="W1142"/>
      <c r="Z1142"/>
      <c r="AA1142"/>
      <c r="AC1142"/>
      <c r="AD1142"/>
      <c r="AE1142"/>
      <c r="AI1142" s="960"/>
      <c r="AM1142"/>
    </row>
    <row r="1143" spans="3:39" x14ac:dyDescent="0.2">
      <c r="C1143"/>
      <c r="D1143"/>
      <c r="E1143"/>
      <c r="F1143"/>
      <c r="G1143"/>
      <c r="H1143"/>
      <c r="I1143" s="532"/>
      <c r="V1143"/>
      <c r="W1143"/>
      <c r="Z1143"/>
      <c r="AA1143"/>
      <c r="AC1143"/>
      <c r="AD1143"/>
      <c r="AE1143"/>
      <c r="AI1143" s="960"/>
      <c r="AM1143"/>
    </row>
    <row r="1144" spans="3:39" x14ac:dyDescent="0.2">
      <c r="C1144"/>
      <c r="D1144"/>
      <c r="E1144"/>
      <c r="F1144"/>
      <c r="G1144"/>
      <c r="H1144"/>
      <c r="I1144" s="532"/>
      <c r="V1144"/>
      <c r="W1144"/>
      <c r="Z1144"/>
      <c r="AA1144"/>
      <c r="AC1144"/>
      <c r="AD1144"/>
      <c r="AE1144"/>
      <c r="AI1144" s="960"/>
      <c r="AM1144"/>
    </row>
    <row r="1145" spans="3:39" x14ac:dyDescent="0.2">
      <c r="C1145"/>
      <c r="D1145"/>
      <c r="E1145"/>
      <c r="F1145"/>
      <c r="G1145"/>
      <c r="H1145"/>
      <c r="I1145" s="532"/>
      <c r="V1145"/>
      <c r="W1145"/>
      <c r="Z1145"/>
      <c r="AA1145"/>
      <c r="AC1145"/>
      <c r="AD1145"/>
      <c r="AE1145"/>
      <c r="AI1145" s="960"/>
      <c r="AM1145"/>
    </row>
    <row r="1146" spans="3:39" x14ac:dyDescent="0.2">
      <c r="C1146"/>
      <c r="D1146"/>
      <c r="E1146"/>
      <c r="F1146"/>
      <c r="G1146"/>
      <c r="H1146"/>
      <c r="I1146" s="532"/>
      <c r="V1146"/>
      <c r="W1146"/>
      <c r="Z1146"/>
      <c r="AA1146"/>
      <c r="AC1146"/>
      <c r="AD1146"/>
      <c r="AE1146"/>
      <c r="AI1146" s="960"/>
      <c r="AM1146"/>
    </row>
    <row r="1147" spans="3:39" x14ac:dyDescent="0.2">
      <c r="C1147"/>
      <c r="D1147"/>
      <c r="E1147"/>
      <c r="F1147"/>
      <c r="G1147"/>
      <c r="H1147"/>
      <c r="I1147" s="532"/>
      <c r="V1147"/>
      <c r="W1147"/>
      <c r="Z1147"/>
      <c r="AA1147"/>
      <c r="AC1147"/>
      <c r="AD1147"/>
      <c r="AE1147"/>
      <c r="AI1147" s="960"/>
      <c r="AM1147"/>
    </row>
    <row r="1148" spans="3:39" x14ac:dyDescent="0.2">
      <c r="C1148"/>
      <c r="D1148"/>
      <c r="E1148"/>
      <c r="F1148"/>
      <c r="G1148"/>
      <c r="H1148"/>
      <c r="I1148" s="532"/>
      <c r="V1148"/>
      <c r="W1148"/>
      <c r="Z1148"/>
      <c r="AA1148"/>
      <c r="AC1148"/>
      <c r="AD1148"/>
      <c r="AE1148"/>
      <c r="AI1148" s="960"/>
      <c r="AM1148"/>
    </row>
    <row r="1149" spans="3:39" x14ac:dyDescent="0.2">
      <c r="C1149"/>
      <c r="D1149"/>
      <c r="E1149"/>
      <c r="F1149"/>
      <c r="G1149"/>
      <c r="H1149"/>
      <c r="I1149" s="532"/>
      <c r="V1149"/>
      <c r="W1149"/>
      <c r="Z1149"/>
      <c r="AA1149"/>
      <c r="AC1149"/>
      <c r="AD1149"/>
      <c r="AE1149"/>
      <c r="AI1149" s="960"/>
      <c r="AM1149"/>
    </row>
    <row r="1150" spans="3:39" x14ac:dyDescent="0.2">
      <c r="C1150"/>
      <c r="D1150"/>
      <c r="E1150"/>
      <c r="F1150"/>
      <c r="G1150"/>
      <c r="H1150"/>
      <c r="I1150" s="532"/>
      <c r="V1150"/>
      <c r="W1150"/>
      <c r="Z1150"/>
      <c r="AA1150"/>
      <c r="AC1150"/>
      <c r="AD1150"/>
      <c r="AE1150"/>
      <c r="AI1150" s="960"/>
      <c r="AM1150"/>
    </row>
    <row r="1151" spans="3:39" x14ac:dyDescent="0.2">
      <c r="C1151"/>
      <c r="D1151"/>
      <c r="E1151"/>
      <c r="F1151"/>
      <c r="G1151"/>
      <c r="H1151"/>
      <c r="I1151" s="532"/>
      <c r="V1151"/>
      <c r="W1151"/>
      <c r="Z1151"/>
      <c r="AA1151"/>
      <c r="AC1151"/>
      <c r="AD1151"/>
      <c r="AE1151"/>
      <c r="AI1151" s="960"/>
      <c r="AM1151"/>
    </row>
    <row r="1152" spans="3:39" x14ac:dyDescent="0.2">
      <c r="C1152"/>
      <c r="D1152"/>
      <c r="E1152"/>
      <c r="F1152"/>
      <c r="G1152"/>
      <c r="H1152"/>
      <c r="I1152" s="532"/>
      <c r="V1152"/>
      <c r="W1152"/>
      <c r="Z1152"/>
      <c r="AA1152"/>
      <c r="AC1152"/>
      <c r="AD1152"/>
      <c r="AE1152"/>
      <c r="AI1152" s="960"/>
      <c r="AM1152"/>
    </row>
    <row r="1153" spans="3:39" x14ac:dyDescent="0.2">
      <c r="C1153"/>
      <c r="D1153"/>
      <c r="E1153"/>
      <c r="F1153"/>
      <c r="G1153"/>
      <c r="H1153"/>
      <c r="I1153" s="532"/>
      <c r="V1153"/>
      <c r="W1153"/>
      <c r="Z1153"/>
      <c r="AA1153"/>
      <c r="AC1153"/>
      <c r="AD1153"/>
      <c r="AE1153"/>
      <c r="AI1153" s="960"/>
      <c r="AM1153"/>
    </row>
    <row r="1154" spans="3:39" x14ac:dyDescent="0.2">
      <c r="C1154"/>
      <c r="D1154"/>
      <c r="E1154"/>
      <c r="F1154"/>
      <c r="G1154"/>
      <c r="H1154"/>
      <c r="I1154" s="532"/>
      <c r="V1154"/>
      <c r="W1154"/>
      <c r="Z1154"/>
      <c r="AA1154"/>
      <c r="AC1154"/>
      <c r="AD1154"/>
      <c r="AE1154"/>
      <c r="AI1154" s="960"/>
      <c r="AM1154"/>
    </row>
    <row r="1155" spans="3:39" x14ac:dyDescent="0.2">
      <c r="C1155"/>
      <c r="D1155"/>
      <c r="E1155"/>
      <c r="F1155"/>
      <c r="G1155"/>
      <c r="H1155"/>
      <c r="I1155" s="532"/>
      <c r="V1155"/>
      <c r="W1155"/>
      <c r="Z1155"/>
      <c r="AA1155"/>
      <c r="AC1155"/>
      <c r="AD1155"/>
      <c r="AE1155"/>
      <c r="AI1155" s="960"/>
      <c r="AM1155"/>
    </row>
    <row r="1156" spans="3:39" x14ac:dyDescent="0.2">
      <c r="C1156"/>
      <c r="D1156"/>
      <c r="E1156"/>
      <c r="F1156"/>
      <c r="G1156"/>
      <c r="H1156"/>
      <c r="I1156" s="532"/>
      <c r="V1156"/>
      <c r="W1156"/>
      <c r="Z1156"/>
      <c r="AA1156"/>
      <c r="AC1156"/>
      <c r="AD1156"/>
      <c r="AE1156"/>
      <c r="AI1156" s="960"/>
      <c r="AM1156"/>
    </row>
    <row r="1157" spans="3:39" x14ac:dyDescent="0.2">
      <c r="C1157"/>
      <c r="D1157"/>
      <c r="E1157"/>
      <c r="F1157"/>
      <c r="G1157"/>
      <c r="H1157"/>
      <c r="I1157" s="532"/>
      <c r="V1157"/>
      <c r="W1157"/>
      <c r="Z1157"/>
      <c r="AA1157"/>
      <c r="AC1157"/>
      <c r="AD1157"/>
      <c r="AE1157"/>
      <c r="AI1157" s="960"/>
      <c r="AM1157"/>
    </row>
    <row r="1158" spans="3:39" x14ac:dyDescent="0.2">
      <c r="C1158"/>
      <c r="D1158"/>
      <c r="E1158"/>
      <c r="F1158"/>
      <c r="G1158"/>
      <c r="H1158"/>
      <c r="I1158" s="532"/>
      <c r="V1158"/>
      <c r="W1158"/>
      <c r="Z1158"/>
      <c r="AA1158"/>
      <c r="AC1158"/>
      <c r="AD1158"/>
      <c r="AE1158"/>
      <c r="AI1158" s="960"/>
      <c r="AM1158"/>
    </row>
    <row r="1159" spans="3:39" x14ac:dyDescent="0.2">
      <c r="C1159"/>
      <c r="D1159"/>
      <c r="E1159"/>
      <c r="F1159"/>
      <c r="G1159"/>
      <c r="H1159"/>
      <c r="I1159" s="532"/>
      <c r="V1159"/>
      <c r="W1159"/>
      <c r="Z1159"/>
      <c r="AA1159"/>
      <c r="AC1159"/>
      <c r="AD1159"/>
      <c r="AE1159"/>
      <c r="AI1159" s="960"/>
      <c r="AM1159"/>
    </row>
    <row r="1160" spans="3:39" x14ac:dyDescent="0.2">
      <c r="C1160"/>
      <c r="D1160"/>
      <c r="E1160"/>
      <c r="F1160"/>
      <c r="G1160"/>
      <c r="H1160"/>
      <c r="I1160" s="532"/>
      <c r="V1160"/>
      <c r="W1160"/>
      <c r="Z1160"/>
      <c r="AA1160"/>
      <c r="AC1160"/>
      <c r="AD1160"/>
      <c r="AE1160"/>
      <c r="AI1160" s="960"/>
      <c r="AM1160"/>
    </row>
    <row r="1161" spans="3:39" x14ac:dyDescent="0.2">
      <c r="C1161"/>
      <c r="D1161"/>
      <c r="E1161"/>
      <c r="F1161"/>
      <c r="G1161"/>
      <c r="H1161"/>
      <c r="I1161" s="532"/>
      <c r="V1161"/>
      <c r="W1161"/>
      <c r="Z1161"/>
      <c r="AA1161"/>
      <c r="AC1161"/>
      <c r="AD1161"/>
      <c r="AE1161"/>
      <c r="AI1161" s="960"/>
      <c r="AM1161"/>
    </row>
    <row r="1162" spans="3:39" x14ac:dyDescent="0.2">
      <c r="C1162"/>
      <c r="D1162"/>
      <c r="E1162"/>
      <c r="F1162"/>
      <c r="G1162"/>
      <c r="H1162"/>
      <c r="I1162" s="532"/>
      <c r="V1162"/>
      <c r="W1162"/>
      <c r="Z1162"/>
      <c r="AA1162"/>
      <c r="AC1162"/>
      <c r="AD1162"/>
      <c r="AE1162"/>
      <c r="AI1162" s="960"/>
      <c r="AM1162"/>
    </row>
    <row r="1163" spans="3:39" x14ac:dyDescent="0.2">
      <c r="C1163"/>
      <c r="D1163"/>
      <c r="E1163"/>
      <c r="F1163"/>
      <c r="G1163"/>
      <c r="H1163"/>
      <c r="I1163" s="532"/>
      <c r="V1163"/>
      <c r="W1163"/>
      <c r="Z1163"/>
      <c r="AA1163"/>
      <c r="AC1163"/>
      <c r="AD1163"/>
      <c r="AE1163"/>
      <c r="AI1163" s="960"/>
      <c r="AM1163"/>
    </row>
    <row r="1164" spans="3:39" x14ac:dyDescent="0.2">
      <c r="C1164"/>
      <c r="D1164"/>
      <c r="E1164"/>
      <c r="F1164"/>
      <c r="G1164"/>
      <c r="H1164"/>
      <c r="I1164" s="532"/>
      <c r="V1164"/>
      <c r="W1164"/>
      <c r="Z1164"/>
      <c r="AA1164"/>
      <c r="AC1164"/>
      <c r="AD1164"/>
      <c r="AE1164"/>
      <c r="AI1164" s="960"/>
      <c r="AM1164"/>
    </row>
    <row r="1165" spans="3:39" x14ac:dyDescent="0.2">
      <c r="C1165"/>
      <c r="D1165"/>
      <c r="E1165"/>
      <c r="F1165"/>
      <c r="G1165"/>
      <c r="H1165"/>
      <c r="I1165" s="532"/>
      <c r="V1165"/>
      <c r="W1165"/>
      <c r="Z1165"/>
      <c r="AA1165"/>
      <c r="AC1165"/>
      <c r="AD1165"/>
      <c r="AE1165"/>
      <c r="AI1165" s="960"/>
      <c r="AM1165"/>
    </row>
    <row r="1166" spans="3:39" x14ac:dyDescent="0.2">
      <c r="C1166"/>
      <c r="D1166"/>
      <c r="E1166"/>
      <c r="F1166"/>
      <c r="G1166"/>
      <c r="H1166"/>
      <c r="I1166" s="532"/>
      <c r="V1166"/>
      <c r="W1166"/>
      <c r="Z1166"/>
      <c r="AA1166"/>
      <c r="AC1166"/>
      <c r="AD1166"/>
      <c r="AE1166"/>
      <c r="AI1166" s="960"/>
      <c r="AM1166"/>
    </row>
    <row r="1167" spans="3:39" x14ac:dyDescent="0.2">
      <c r="C1167"/>
      <c r="D1167"/>
      <c r="E1167"/>
      <c r="F1167"/>
      <c r="G1167"/>
      <c r="H1167"/>
      <c r="I1167" s="532"/>
      <c r="V1167"/>
      <c r="W1167"/>
      <c r="Z1167"/>
      <c r="AA1167"/>
      <c r="AC1167"/>
      <c r="AD1167"/>
      <c r="AE1167"/>
      <c r="AI1167" s="960"/>
      <c r="AM1167"/>
    </row>
    <row r="1168" spans="3:39" x14ac:dyDescent="0.2">
      <c r="C1168"/>
      <c r="D1168"/>
      <c r="E1168"/>
      <c r="F1168"/>
      <c r="G1168"/>
      <c r="H1168"/>
      <c r="I1168" s="532"/>
      <c r="V1168"/>
      <c r="W1168"/>
      <c r="Z1168"/>
      <c r="AA1168"/>
      <c r="AC1168"/>
      <c r="AD1168"/>
      <c r="AE1168"/>
      <c r="AI1168" s="960"/>
      <c r="AM1168"/>
    </row>
    <row r="1169" spans="3:39" x14ac:dyDescent="0.2">
      <c r="C1169"/>
      <c r="D1169"/>
      <c r="E1169"/>
      <c r="F1169"/>
      <c r="G1169"/>
      <c r="H1169"/>
      <c r="I1169" s="532"/>
      <c r="V1169"/>
      <c r="W1169"/>
      <c r="Z1169"/>
      <c r="AA1169"/>
      <c r="AC1169"/>
      <c r="AD1169"/>
      <c r="AE1169"/>
      <c r="AI1169" s="960"/>
      <c r="AM1169"/>
    </row>
    <row r="1170" spans="3:39" x14ac:dyDescent="0.2">
      <c r="C1170"/>
      <c r="D1170"/>
      <c r="E1170"/>
      <c r="F1170"/>
      <c r="G1170"/>
      <c r="H1170"/>
      <c r="I1170" s="532"/>
      <c r="V1170"/>
      <c r="W1170"/>
      <c r="Z1170"/>
      <c r="AA1170"/>
      <c r="AC1170"/>
      <c r="AD1170"/>
      <c r="AE1170"/>
      <c r="AI1170" s="960"/>
      <c r="AM1170"/>
    </row>
    <row r="1171" spans="3:39" x14ac:dyDescent="0.2">
      <c r="C1171"/>
      <c r="D1171"/>
      <c r="E1171"/>
      <c r="F1171"/>
      <c r="G1171"/>
      <c r="H1171"/>
      <c r="I1171" s="532"/>
      <c r="V1171"/>
      <c r="W1171"/>
      <c r="Z1171"/>
      <c r="AA1171"/>
      <c r="AC1171"/>
      <c r="AD1171"/>
      <c r="AE1171"/>
      <c r="AI1171" s="960"/>
      <c r="AM1171"/>
    </row>
    <row r="1172" spans="3:39" x14ac:dyDescent="0.2">
      <c r="C1172"/>
      <c r="D1172"/>
      <c r="E1172"/>
      <c r="F1172"/>
      <c r="G1172"/>
      <c r="H1172"/>
      <c r="I1172" s="532"/>
      <c r="V1172"/>
      <c r="W1172"/>
      <c r="Z1172"/>
      <c r="AA1172"/>
      <c r="AC1172"/>
      <c r="AD1172"/>
      <c r="AE1172"/>
      <c r="AI1172" s="960"/>
      <c r="AM1172"/>
    </row>
    <row r="1173" spans="3:39" x14ac:dyDescent="0.2">
      <c r="C1173"/>
      <c r="D1173"/>
      <c r="E1173"/>
      <c r="F1173"/>
      <c r="G1173"/>
      <c r="H1173"/>
      <c r="I1173" s="532"/>
      <c r="V1173"/>
      <c r="W1173"/>
      <c r="Z1173"/>
      <c r="AA1173"/>
      <c r="AC1173"/>
      <c r="AD1173"/>
      <c r="AE1173"/>
      <c r="AI1173" s="960"/>
      <c r="AM1173"/>
    </row>
    <row r="1174" spans="3:39" x14ac:dyDescent="0.2">
      <c r="C1174"/>
      <c r="D1174"/>
      <c r="E1174"/>
      <c r="F1174"/>
      <c r="G1174"/>
      <c r="H1174"/>
      <c r="I1174" s="532"/>
      <c r="V1174"/>
      <c r="W1174"/>
      <c r="Z1174"/>
      <c r="AA1174"/>
      <c r="AC1174"/>
      <c r="AD1174"/>
      <c r="AE1174"/>
      <c r="AI1174" s="960"/>
      <c r="AM1174"/>
    </row>
    <row r="1175" spans="3:39" x14ac:dyDescent="0.2">
      <c r="C1175"/>
      <c r="D1175"/>
      <c r="E1175"/>
      <c r="F1175"/>
      <c r="G1175"/>
      <c r="H1175"/>
      <c r="I1175" s="532"/>
      <c r="V1175"/>
      <c r="W1175"/>
      <c r="Z1175"/>
      <c r="AA1175"/>
      <c r="AC1175"/>
      <c r="AD1175"/>
      <c r="AE1175"/>
      <c r="AI1175" s="960"/>
      <c r="AM1175"/>
    </row>
    <row r="1176" spans="3:39" x14ac:dyDescent="0.2">
      <c r="C1176"/>
      <c r="D1176"/>
      <c r="E1176"/>
      <c r="F1176"/>
      <c r="G1176"/>
      <c r="H1176"/>
      <c r="I1176" s="532"/>
      <c r="V1176"/>
      <c r="W1176"/>
      <c r="Z1176"/>
      <c r="AA1176"/>
      <c r="AC1176"/>
      <c r="AD1176"/>
      <c r="AE1176"/>
      <c r="AI1176" s="960"/>
      <c r="AM1176"/>
    </row>
    <row r="1177" spans="3:39" x14ac:dyDescent="0.2">
      <c r="C1177"/>
      <c r="D1177"/>
      <c r="E1177"/>
      <c r="F1177"/>
      <c r="G1177"/>
      <c r="H1177"/>
      <c r="I1177" s="532"/>
      <c r="V1177"/>
      <c r="W1177"/>
      <c r="Z1177"/>
      <c r="AA1177"/>
      <c r="AC1177"/>
      <c r="AD1177"/>
      <c r="AE1177"/>
      <c r="AI1177" s="960"/>
      <c r="AM1177"/>
    </row>
    <row r="1178" spans="3:39" x14ac:dyDescent="0.2">
      <c r="C1178"/>
      <c r="D1178"/>
      <c r="E1178"/>
      <c r="F1178"/>
      <c r="G1178"/>
      <c r="H1178"/>
      <c r="I1178" s="532"/>
      <c r="V1178"/>
      <c r="W1178"/>
      <c r="Z1178"/>
      <c r="AA1178"/>
      <c r="AC1178"/>
      <c r="AD1178"/>
      <c r="AE1178"/>
      <c r="AI1178" s="960"/>
      <c r="AM1178"/>
    </row>
    <row r="1179" spans="3:39" x14ac:dyDescent="0.2">
      <c r="C1179"/>
      <c r="D1179"/>
      <c r="E1179"/>
      <c r="F1179"/>
      <c r="G1179"/>
      <c r="H1179"/>
      <c r="I1179" s="532"/>
      <c r="V1179"/>
      <c r="W1179"/>
      <c r="Z1179"/>
      <c r="AA1179"/>
      <c r="AC1179"/>
      <c r="AD1179"/>
      <c r="AE1179"/>
      <c r="AI1179" s="960"/>
      <c r="AM1179"/>
    </row>
    <row r="1180" spans="3:39" x14ac:dyDescent="0.2">
      <c r="C1180"/>
      <c r="D1180"/>
      <c r="E1180"/>
      <c r="F1180"/>
      <c r="G1180"/>
      <c r="H1180"/>
      <c r="I1180" s="532"/>
      <c r="V1180"/>
      <c r="W1180"/>
      <c r="Z1180"/>
      <c r="AA1180"/>
      <c r="AC1180"/>
      <c r="AD1180"/>
      <c r="AE1180"/>
      <c r="AI1180" s="960"/>
      <c r="AM1180"/>
    </row>
    <row r="1181" spans="3:39" x14ac:dyDescent="0.2">
      <c r="C1181"/>
      <c r="D1181"/>
      <c r="E1181"/>
      <c r="F1181"/>
      <c r="G1181"/>
      <c r="H1181"/>
      <c r="I1181" s="532"/>
      <c r="V1181"/>
      <c r="W1181"/>
      <c r="Z1181"/>
      <c r="AA1181"/>
      <c r="AC1181"/>
      <c r="AD1181"/>
      <c r="AE1181"/>
      <c r="AI1181" s="960"/>
      <c r="AM1181"/>
    </row>
    <row r="1182" spans="3:39" x14ac:dyDescent="0.2">
      <c r="C1182"/>
      <c r="D1182"/>
      <c r="E1182"/>
      <c r="F1182"/>
      <c r="G1182"/>
      <c r="H1182"/>
      <c r="I1182" s="532"/>
      <c r="V1182"/>
      <c r="W1182"/>
      <c r="Z1182"/>
      <c r="AA1182"/>
      <c r="AC1182"/>
      <c r="AD1182"/>
      <c r="AE1182"/>
      <c r="AI1182" s="960"/>
      <c r="AM1182"/>
    </row>
    <row r="1183" spans="3:39" x14ac:dyDescent="0.2">
      <c r="C1183"/>
      <c r="D1183"/>
      <c r="E1183"/>
      <c r="F1183"/>
      <c r="G1183"/>
      <c r="H1183"/>
      <c r="I1183" s="532"/>
      <c r="V1183"/>
      <c r="W1183"/>
      <c r="Z1183"/>
      <c r="AA1183"/>
      <c r="AC1183"/>
      <c r="AD1183"/>
      <c r="AE1183"/>
      <c r="AI1183" s="960"/>
      <c r="AM1183"/>
    </row>
    <row r="1184" spans="3:39" x14ac:dyDescent="0.2">
      <c r="C1184"/>
      <c r="D1184"/>
      <c r="E1184"/>
      <c r="F1184"/>
      <c r="G1184"/>
      <c r="H1184"/>
      <c r="I1184" s="532"/>
      <c r="V1184"/>
      <c r="W1184"/>
      <c r="Z1184"/>
      <c r="AA1184"/>
      <c r="AC1184"/>
      <c r="AD1184"/>
      <c r="AE1184"/>
      <c r="AI1184" s="960"/>
      <c r="AM1184"/>
    </row>
    <row r="1185" spans="3:39" x14ac:dyDescent="0.2">
      <c r="C1185"/>
      <c r="D1185"/>
      <c r="E1185"/>
      <c r="F1185"/>
      <c r="G1185"/>
      <c r="H1185"/>
      <c r="I1185" s="532"/>
      <c r="V1185"/>
      <c r="W1185"/>
      <c r="Z1185"/>
      <c r="AA1185"/>
      <c r="AC1185"/>
      <c r="AD1185"/>
      <c r="AE1185"/>
      <c r="AI1185" s="960"/>
      <c r="AM1185"/>
    </row>
    <row r="1186" spans="3:39" x14ac:dyDescent="0.2">
      <c r="C1186"/>
      <c r="D1186"/>
      <c r="E1186"/>
      <c r="F1186"/>
      <c r="G1186"/>
      <c r="H1186"/>
      <c r="I1186" s="532"/>
      <c r="V1186"/>
      <c r="W1186"/>
      <c r="Z1186"/>
      <c r="AA1186"/>
      <c r="AC1186"/>
      <c r="AD1186"/>
      <c r="AE1186"/>
      <c r="AI1186" s="960"/>
      <c r="AM1186"/>
    </row>
    <row r="1187" spans="3:39" x14ac:dyDescent="0.2">
      <c r="C1187"/>
      <c r="D1187"/>
      <c r="E1187"/>
      <c r="F1187"/>
      <c r="G1187"/>
      <c r="H1187"/>
      <c r="I1187" s="532"/>
      <c r="V1187"/>
      <c r="W1187"/>
      <c r="Z1187"/>
      <c r="AA1187"/>
      <c r="AC1187"/>
      <c r="AD1187"/>
      <c r="AE1187"/>
      <c r="AI1187" s="960"/>
      <c r="AM1187"/>
    </row>
    <row r="1188" spans="3:39" x14ac:dyDescent="0.2">
      <c r="C1188"/>
      <c r="D1188"/>
      <c r="E1188"/>
      <c r="F1188"/>
      <c r="G1188"/>
      <c r="H1188"/>
      <c r="I1188" s="532"/>
      <c r="V1188"/>
      <c r="W1188"/>
      <c r="Z1188"/>
      <c r="AA1188"/>
      <c r="AC1188"/>
      <c r="AD1188"/>
      <c r="AE1188"/>
      <c r="AI1188" s="960"/>
      <c r="AM1188"/>
    </row>
    <row r="1189" spans="3:39" x14ac:dyDescent="0.2">
      <c r="C1189"/>
      <c r="D1189"/>
      <c r="E1189"/>
      <c r="F1189"/>
      <c r="G1189"/>
      <c r="H1189"/>
      <c r="I1189" s="532"/>
      <c r="V1189"/>
      <c r="W1189"/>
      <c r="Z1189"/>
      <c r="AA1189"/>
      <c r="AC1189"/>
      <c r="AD1189"/>
      <c r="AE1189"/>
      <c r="AI1189" s="960"/>
      <c r="AM1189"/>
    </row>
    <row r="1190" spans="3:39" x14ac:dyDescent="0.2">
      <c r="C1190"/>
      <c r="D1190"/>
      <c r="E1190"/>
      <c r="F1190"/>
      <c r="G1190"/>
      <c r="H1190"/>
      <c r="I1190" s="532"/>
      <c r="V1190"/>
      <c r="W1190"/>
      <c r="Z1190"/>
      <c r="AA1190"/>
      <c r="AC1190"/>
      <c r="AD1190"/>
      <c r="AE1190"/>
      <c r="AI1190" s="960"/>
      <c r="AM1190"/>
    </row>
    <row r="1191" spans="3:39" x14ac:dyDescent="0.2">
      <c r="C1191"/>
      <c r="D1191"/>
      <c r="E1191"/>
      <c r="F1191"/>
      <c r="G1191"/>
      <c r="H1191"/>
      <c r="I1191" s="532"/>
      <c r="V1191"/>
      <c r="W1191"/>
      <c r="Z1191"/>
      <c r="AA1191"/>
      <c r="AC1191"/>
      <c r="AD1191"/>
      <c r="AE1191"/>
      <c r="AI1191" s="960"/>
      <c r="AM1191"/>
    </row>
    <row r="1192" spans="3:39" x14ac:dyDescent="0.2">
      <c r="C1192"/>
      <c r="D1192"/>
      <c r="E1192"/>
      <c r="F1192"/>
      <c r="G1192"/>
      <c r="H1192"/>
      <c r="I1192" s="532"/>
      <c r="V1192"/>
      <c r="W1192"/>
      <c r="Z1192"/>
      <c r="AA1192"/>
      <c r="AC1192"/>
      <c r="AD1192"/>
      <c r="AE1192"/>
      <c r="AI1192" s="960"/>
      <c r="AM1192"/>
    </row>
    <row r="1193" spans="3:39" x14ac:dyDescent="0.2">
      <c r="C1193"/>
      <c r="D1193"/>
      <c r="E1193"/>
      <c r="F1193"/>
      <c r="G1193"/>
      <c r="H1193"/>
      <c r="I1193" s="532"/>
      <c r="V1193"/>
      <c r="W1193"/>
      <c r="Z1193"/>
      <c r="AA1193"/>
      <c r="AC1193"/>
      <c r="AD1193"/>
      <c r="AE1193"/>
      <c r="AI1193" s="960"/>
      <c r="AM1193"/>
    </row>
    <row r="1194" spans="3:39" x14ac:dyDescent="0.2">
      <c r="C1194"/>
      <c r="D1194"/>
      <c r="E1194"/>
      <c r="F1194"/>
      <c r="G1194"/>
      <c r="H1194"/>
      <c r="I1194" s="532"/>
      <c r="V1194"/>
      <c r="W1194"/>
      <c r="Z1194"/>
      <c r="AA1194"/>
      <c r="AC1194"/>
      <c r="AD1194"/>
      <c r="AE1194"/>
      <c r="AI1194" s="960"/>
      <c r="AM1194"/>
    </row>
    <row r="1195" spans="3:39" x14ac:dyDescent="0.2">
      <c r="C1195"/>
      <c r="D1195"/>
      <c r="E1195"/>
      <c r="F1195"/>
      <c r="G1195"/>
      <c r="H1195"/>
      <c r="I1195" s="532"/>
      <c r="V1195"/>
      <c r="W1195"/>
      <c r="Z1195"/>
      <c r="AA1195"/>
      <c r="AC1195"/>
      <c r="AD1195"/>
      <c r="AE1195"/>
      <c r="AI1195" s="960"/>
      <c r="AM1195"/>
    </row>
    <row r="1196" spans="3:39" x14ac:dyDescent="0.2">
      <c r="C1196"/>
      <c r="D1196"/>
      <c r="E1196"/>
      <c r="F1196"/>
      <c r="G1196"/>
      <c r="H1196"/>
      <c r="I1196" s="532"/>
      <c r="V1196"/>
      <c r="W1196"/>
      <c r="Z1196"/>
      <c r="AA1196"/>
      <c r="AC1196"/>
      <c r="AD1196"/>
      <c r="AE1196"/>
      <c r="AI1196" s="960"/>
      <c r="AM1196"/>
    </row>
    <row r="1197" spans="3:39" x14ac:dyDescent="0.2">
      <c r="C1197"/>
      <c r="D1197"/>
      <c r="E1197"/>
      <c r="F1197"/>
      <c r="G1197"/>
      <c r="H1197"/>
      <c r="I1197" s="532"/>
      <c r="V1197"/>
      <c r="W1197"/>
      <c r="Z1197"/>
      <c r="AA1197"/>
      <c r="AC1197"/>
      <c r="AD1197"/>
      <c r="AE1197"/>
      <c r="AI1197" s="960"/>
      <c r="AM1197"/>
    </row>
    <row r="1198" spans="3:39" x14ac:dyDescent="0.2">
      <c r="C1198"/>
      <c r="D1198"/>
      <c r="E1198"/>
      <c r="F1198"/>
      <c r="G1198"/>
      <c r="H1198"/>
      <c r="I1198" s="532"/>
      <c r="V1198"/>
      <c r="W1198"/>
      <c r="Z1198"/>
      <c r="AA1198"/>
      <c r="AC1198"/>
      <c r="AD1198"/>
      <c r="AE1198"/>
      <c r="AI1198" s="960"/>
      <c r="AM1198"/>
    </row>
    <row r="1199" spans="3:39" x14ac:dyDescent="0.2">
      <c r="C1199"/>
      <c r="D1199"/>
      <c r="E1199"/>
      <c r="F1199"/>
      <c r="G1199"/>
      <c r="H1199"/>
      <c r="I1199" s="532"/>
      <c r="V1199"/>
      <c r="W1199"/>
      <c r="Z1199"/>
      <c r="AA1199"/>
      <c r="AC1199"/>
      <c r="AD1199"/>
      <c r="AE1199"/>
      <c r="AI1199" s="960"/>
      <c r="AM1199"/>
    </row>
    <row r="1200" spans="3:39" x14ac:dyDescent="0.2">
      <c r="C1200"/>
      <c r="D1200"/>
      <c r="E1200"/>
      <c r="F1200"/>
      <c r="G1200"/>
      <c r="H1200"/>
      <c r="I1200" s="532"/>
      <c r="V1200"/>
      <c r="W1200"/>
      <c r="Z1200"/>
      <c r="AA1200"/>
      <c r="AC1200"/>
      <c r="AD1200"/>
      <c r="AE1200"/>
      <c r="AI1200" s="960"/>
      <c r="AM1200"/>
    </row>
    <row r="1201" spans="3:39" x14ac:dyDescent="0.2">
      <c r="C1201"/>
      <c r="D1201"/>
      <c r="E1201"/>
      <c r="F1201"/>
      <c r="G1201"/>
      <c r="H1201"/>
      <c r="I1201" s="532"/>
      <c r="V1201"/>
      <c r="W1201"/>
      <c r="Z1201"/>
      <c r="AA1201"/>
      <c r="AC1201"/>
      <c r="AD1201"/>
      <c r="AE1201"/>
      <c r="AI1201" s="960"/>
      <c r="AM1201"/>
    </row>
    <row r="1202" spans="3:39" x14ac:dyDescent="0.2">
      <c r="C1202"/>
      <c r="D1202"/>
      <c r="E1202"/>
      <c r="F1202"/>
      <c r="G1202"/>
      <c r="H1202"/>
      <c r="I1202" s="532"/>
      <c r="V1202"/>
      <c r="W1202"/>
      <c r="Z1202"/>
      <c r="AA1202"/>
      <c r="AC1202"/>
      <c r="AD1202"/>
      <c r="AE1202"/>
      <c r="AI1202" s="960"/>
      <c r="AM1202"/>
    </row>
    <row r="1203" spans="3:39" x14ac:dyDescent="0.2">
      <c r="C1203"/>
      <c r="D1203"/>
      <c r="E1203"/>
      <c r="F1203"/>
      <c r="G1203"/>
      <c r="H1203"/>
      <c r="I1203" s="532"/>
      <c r="V1203"/>
      <c r="W1203"/>
      <c r="Z1203"/>
      <c r="AA1203"/>
      <c r="AC1203"/>
      <c r="AD1203"/>
      <c r="AE1203"/>
      <c r="AI1203" s="960"/>
      <c r="AM1203"/>
    </row>
    <row r="1204" spans="3:39" x14ac:dyDescent="0.2">
      <c r="C1204"/>
      <c r="D1204"/>
      <c r="E1204"/>
      <c r="F1204"/>
      <c r="G1204"/>
      <c r="H1204"/>
      <c r="I1204" s="532"/>
      <c r="V1204"/>
      <c r="W1204"/>
      <c r="Z1204"/>
      <c r="AA1204"/>
      <c r="AC1204"/>
      <c r="AD1204"/>
      <c r="AE1204"/>
      <c r="AI1204" s="960"/>
      <c r="AM1204"/>
    </row>
    <row r="1205" spans="3:39" x14ac:dyDescent="0.2">
      <c r="C1205"/>
      <c r="D1205"/>
      <c r="E1205"/>
      <c r="F1205"/>
      <c r="G1205"/>
      <c r="H1205"/>
      <c r="I1205" s="532"/>
      <c r="V1205"/>
      <c r="W1205"/>
      <c r="Z1205"/>
      <c r="AA1205"/>
      <c r="AC1205"/>
      <c r="AD1205"/>
      <c r="AE1205"/>
      <c r="AI1205" s="960"/>
      <c r="AM1205"/>
    </row>
    <row r="1206" spans="3:39" x14ac:dyDescent="0.2">
      <c r="C1206"/>
      <c r="D1206"/>
      <c r="E1206"/>
      <c r="F1206"/>
      <c r="G1206"/>
      <c r="H1206"/>
      <c r="I1206" s="532"/>
      <c r="V1206"/>
      <c r="W1206"/>
      <c r="Z1206"/>
      <c r="AA1206"/>
      <c r="AC1206"/>
      <c r="AD1206"/>
      <c r="AE1206"/>
      <c r="AI1206" s="960"/>
      <c r="AM1206"/>
    </row>
    <row r="1207" spans="3:39" x14ac:dyDescent="0.2">
      <c r="C1207"/>
      <c r="D1207"/>
      <c r="E1207"/>
      <c r="F1207"/>
      <c r="G1207"/>
      <c r="H1207"/>
      <c r="I1207" s="532"/>
      <c r="V1207"/>
      <c r="W1207"/>
      <c r="Z1207"/>
      <c r="AA1207"/>
      <c r="AC1207"/>
      <c r="AD1207"/>
      <c r="AE1207"/>
      <c r="AI1207" s="960"/>
      <c r="AM1207"/>
    </row>
    <row r="1208" spans="3:39" x14ac:dyDescent="0.2">
      <c r="C1208"/>
      <c r="D1208"/>
      <c r="E1208"/>
      <c r="F1208"/>
      <c r="G1208"/>
      <c r="H1208"/>
      <c r="I1208" s="532"/>
      <c r="V1208"/>
      <c r="W1208"/>
      <c r="Z1208"/>
      <c r="AA1208"/>
      <c r="AC1208"/>
      <c r="AD1208"/>
      <c r="AE1208"/>
      <c r="AI1208" s="960"/>
      <c r="AM1208"/>
    </row>
    <row r="1209" spans="3:39" x14ac:dyDescent="0.2">
      <c r="C1209"/>
      <c r="D1209"/>
      <c r="E1209"/>
      <c r="F1209"/>
      <c r="G1209"/>
      <c r="H1209"/>
      <c r="I1209" s="532"/>
      <c r="V1209"/>
      <c r="W1209"/>
      <c r="Z1209"/>
      <c r="AA1209"/>
      <c r="AC1209"/>
      <c r="AD1209"/>
      <c r="AE1209"/>
      <c r="AI1209" s="960"/>
      <c r="AM1209"/>
    </row>
    <row r="1210" spans="3:39" x14ac:dyDescent="0.2">
      <c r="C1210"/>
      <c r="D1210"/>
      <c r="E1210"/>
      <c r="F1210"/>
      <c r="G1210"/>
      <c r="H1210"/>
      <c r="I1210" s="532"/>
      <c r="V1210"/>
      <c r="W1210"/>
      <c r="Z1210"/>
      <c r="AA1210"/>
      <c r="AC1210"/>
      <c r="AD1210"/>
      <c r="AE1210"/>
      <c r="AI1210" s="960"/>
      <c r="AM1210"/>
    </row>
    <row r="1211" spans="3:39" x14ac:dyDescent="0.2">
      <c r="C1211"/>
      <c r="D1211"/>
      <c r="E1211"/>
      <c r="F1211"/>
      <c r="G1211"/>
      <c r="H1211"/>
      <c r="I1211" s="532"/>
      <c r="V1211"/>
      <c r="W1211"/>
      <c r="Z1211"/>
      <c r="AA1211"/>
      <c r="AC1211"/>
      <c r="AD1211"/>
      <c r="AE1211"/>
      <c r="AI1211" s="960"/>
      <c r="AM1211"/>
    </row>
    <row r="1212" spans="3:39" x14ac:dyDescent="0.2">
      <c r="C1212"/>
      <c r="D1212"/>
      <c r="E1212"/>
      <c r="F1212"/>
      <c r="G1212"/>
      <c r="H1212"/>
      <c r="I1212" s="532"/>
      <c r="V1212"/>
      <c r="W1212"/>
      <c r="Z1212"/>
      <c r="AA1212"/>
      <c r="AC1212"/>
      <c r="AD1212"/>
      <c r="AE1212"/>
      <c r="AI1212" s="960"/>
      <c r="AM1212"/>
    </row>
    <row r="1213" spans="3:39" x14ac:dyDescent="0.2">
      <c r="C1213"/>
      <c r="D1213"/>
      <c r="E1213"/>
      <c r="F1213"/>
      <c r="G1213"/>
      <c r="H1213"/>
      <c r="I1213" s="532"/>
      <c r="V1213"/>
      <c r="W1213"/>
      <c r="Z1213"/>
      <c r="AA1213"/>
      <c r="AC1213"/>
      <c r="AD1213"/>
      <c r="AE1213"/>
      <c r="AI1213" s="960"/>
      <c r="AM1213"/>
    </row>
    <row r="1214" spans="3:39" x14ac:dyDescent="0.2">
      <c r="C1214"/>
      <c r="D1214"/>
      <c r="E1214"/>
      <c r="F1214"/>
      <c r="G1214"/>
      <c r="H1214"/>
      <c r="I1214" s="532"/>
      <c r="V1214"/>
      <c r="W1214"/>
      <c r="Z1214"/>
      <c r="AA1214"/>
      <c r="AC1214"/>
      <c r="AD1214"/>
      <c r="AE1214"/>
      <c r="AI1214" s="960"/>
      <c r="AM1214"/>
    </row>
    <row r="1215" spans="3:39" x14ac:dyDescent="0.2">
      <c r="C1215"/>
      <c r="D1215"/>
      <c r="E1215"/>
      <c r="F1215"/>
      <c r="G1215"/>
      <c r="H1215"/>
      <c r="I1215" s="532"/>
      <c r="V1215"/>
      <c r="W1215"/>
      <c r="Z1215"/>
      <c r="AA1215"/>
      <c r="AC1215"/>
      <c r="AD1215"/>
      <c r="AE1215"/>
      <c r="AI1215" s="960"/>
      <c r="AM1215"/>
    </row>
    <row r="1216" spans="3:39" x14ac:dyDescent="0.2">
      <c r="C1216"/>
      <c r="D1216"/>
      <c r="E1216"/>
      <c r="F1216"/>
      <c r="G1216"/>
      <c r="H1216"/>
      <c r="I1216" s="532"/>
      <c r="V1216"/>
      <c r="W1216"/>
      <c r="Z1216"/>
      <c r="AA1216"/>
      <c r="AC1216"/>
      <c r="AD1216"/>
      <c r="AE1216"/>
      <c r="AI1216" s="960"/>
      <c r="AM1216"/>
    </row>
    <row r="1217" spans="3:39" x14ac:dyDescent="0.2">
      <c r="C1217"/>
      <c r="D1217"/>
      <c r="E1217"/>
      <c r="F1217"/>
      <c r="G1217"/>
      <c r="H1217"/>
      <c r="I1217" s="532"/>
      <c r="V1217"/>
      <c r="W1217"/>
      <c r="Z1217"/>
      <c r="AA1217"/>
      <c r="AC1217"/>
      <c r="AD1217"/>
      <c r="AE1217"/>
      <c r="AI1217" s="960"/>
      <c r="AM1217"/>
    </row>
    <row r="1218" spans="3:39" x14ac:dyDescent="0.2">
      <c r="C1218"/>
      <c r="D1218"/>
      <c r="E1218"/>
      <c r="F1218"/>
      <c r="G1218"/>
      <c r="H1218"/>
      <c r="I1218" s="532"/>
      <c r="V1218"/>
      <c r="W1218"/>
      <c r="Z1218"/>
      <c r="AA1218"/>
      <c r="AC1218"/>
      <c r="AD1218"/>
      <c r="AE1218"/>
      <c r="AI1218" s="960"/>
      <c r="AM1218"/>
    </row>
    <row r="1219" spans="3:39" x14ac:dyDescent="0.2">
      <c r="C1219"/>
      <c r="D1219"/>
      <c r="E1219"/>
      <c r="F1219"/>
      <c r="G1219"/>
      <c r="H1219"/>
      <c r="I1219" s="532"/>
      <c r="V1219"/>
      <c r="W1219"/>
      <c r="Z1219"/>
      <c r="AA1219"/>
      <c r="AC1219"/>
      <c r="AD1219"/>
      <c r="AE1219"/>
      <c r="AI1219" s="960"/>
      <c r="AM1219"/>
    </row>
    <row r="1220" spans="3:39" x14ac:dyDescent="0.2">
      <c r="C1220"/>
      <c r="D1220"/>
      <c r="E1220"/>
      <c r="F1220"/>
      <c r="G1220"/>
      <c r="H1220"/>
      <c r="I1220" s="532"/>
      <c r="V1220"/>
      <c r="W1220"/>
      <c r="Z1220"/>
      <c r="AA1220"/>
      <c r="AC1220"/>
      <c r="AD1220"/>
      <c r="AE1220"/>
      <c r="AI1220" s="960"/>
      <c r="AM1220"/>
    </row>
    <row r="1221" spans="3:39" x14ac:dyDescent="0.2">
      <c r="C1221"/>
      <c r="D1221"/>
      <c r="E1221"/>
      <c r="F1221"/>
      <c r="G1221"/>
      <c r="H1221"/>
      <c r="I1221" s="532"/>
      <c r="V1221"/>
      <c r="W1221"/>
      <c r="Z1221"/>
      <c r="AA1221"/>
      <c r="AC1221"/>
      <c r="AD1221"/>
      <c r="AE1221"/>
      <c r="AI1221" s="960"/>
      <c r="AM1221"/>
    </row>
    <row r="1222" spans="3:39" x14ac:dyDescent="0.2">
      <c r="C1222"/>
      <c r="D1222"/>
      <c r="E1222"/>
      <c r="F1222"/>
      <c r="G1222"/>
      <c r="H1222"/>
      <c r="I1222" s="532"/>
      <c r="V1222"/>
      <c r="W1222"/>
      <c r="Z1222"/>
      <c r="AA1222"/>
      <c r="AC1222"/>
      <c r="AD1222"/>
      <c r="AE1222"/>
      <c r="AI1222" s="960"/>
      <c r="AM1222"/>
    </row>
    <row r="1223" spans="3:39" x14ac:dyDescent="0.2">
      <c r="C1223"/>
      <c r="D1223"/>
      <c r="E1223"/>
      <c r="F1223"/>
      <c r="G1223"/>
      <c r="H1223"/>
      <c r="I1223" s="532"/>
      <c r="V1223"/>
      <c r="W1223"/>
      <c r="Z1223"/>
      <c r="AA1223"/>
      <c r="AC1223"/>
      <c r="AD1223"/>
      <c r="AE1223"/>
      <c r="AI1223" s="960"/>
      <c r="AM1223"/>
    </row>
    <row r="1224" spans="3:39" x14ac:dyDescent="0.2">
      <c r="C1224"/>
      <c r="D1224"/>
      <c r="E1224"/>
      <c r="F1224"/>
      <c r="G1224"/>
      <c r="H1224"/>
      <c r="I1224" s="532"/>
      <c r="V1224"/>
      <c r="W1224"/>
      <c r="Z1224"/>
      <c r="AA1224"/>
      <c r="AC1224"/>
      <c r="AD1224"/>
      <c r="AE1224"/>
      <c r="AI1224" s="960"/>
      <c r="AM1224"/>
    </row>
    <row r="1225" spans="3:39" x14ac:dyDescent="0.2">
      <c r="C1225"/>
      <c r="D1225"/>
      <c r="E1225"/>
      <c r="F1225"/>
      <c r="G1225"/>
      <c r="H1225"/>
      <c r="I1225" s="532"/>
      <c r="V1225"/>
      <c r="W1225"/>
      <c r="Z1225"/>
      <c r="AA1225"/>
      <c r="AC1225"/>
      <c r="AD1225"/>
      <c r="AE1225"/>
      <c r="AI1225" s="960"/>
      <c r="AM1225"/>
    </row>
    <row r="1226" spans="3:39" x14ac:dyDescent="0.2">
      <c r="C1226"/>
      <c r="D1226"/>
      <c r="E1226"/>
      <c r="F1226"/>
      <c r="G1226"/>
      <c r="H1226"/>
      <c r="I1226" s="532"/>
      <c r="V1226"/>
      <c r="W1226"/>
      <c r="Z1226"/>
      <c r="AA1226"/>
      <c r="AC1226"/>
      <c r="AD1226"/>
      <c r="AE1226"/>
      <c r="AI1226" s="960"/>
      <c r="AM1226"/>
    </row>
    <row r="1227" spans="3:39" x14ac:dyDescent="0.2">
      <c r="C1227"/>
      <c r="D1227"/>
      <c r="E1227"/>
      <c r="F1227"/>
      <c r="G1227"/>
      <c r="H1227"/>
      <c r="I1227" s="532"/>
      <c r="V1227"/>
      <c r="W1227"/>
      <c r="Z1227"/>
      <c r="AA1227"/>
      <c r="AC1227"/>
      <c r="AD1227"/>
      <c r="AE1227"/>
      <c r="AI1227" s="960"/>
      <c r="AM1227"/>
    </row>
    <row r="1228" spans="3:39" x14ac:dyDescent="0.2">
      <c r="C1228"/>
      <c r="D1228"/>
      <c r="E1228"/>
      <c r="F1228"/>
      <c r="G1228"/>
      <c r="H1228"/>
      <c r="I1228" s="532"/>
      <c r="V1228"/>
      <c r="W1228"/>
      <c r="Z1228"/>
      <c r="AA1228"/>
      <c r="AC1228"/>
      <c r="AD1228"/>
      <c r="AE1228"/>
      <c r="AI1228" s="960"/>
      <c r="AM1228"/>
    </row>
    <row r="1229" spans="3:39" x14ac:dyDescent="0.2">
      <c r="C1229"/>
      <c r="D1229"/>
      <c r="E1229"/>
      <c r="F1229"/>
      <c r="G1229"/>
      <c r="H1229"/>
      <c r="I1229" s="532"/>
      <c r="V1229"/>
      <c r="W1229"/>
      <c r="Z1229"/>
      <c r="AA1229"/>
      <c r="AC1229"/>
      <c r="AD1229"/>
      <c r="AE1229"/>
      <c r="AI1229" s="960"/>
      <c r="AM1229"/>
    </row>
    <row r="1230" spans="3:39" x14ac:dyDescent="0.2">
      <c r="C1230"/>
      <c r="D1230"/>
      <c r="E1230"/>
      <c r="F1230"/>
      <c r="G1230"/>
      <c r="H1230"/>
      <c r="I1230" s="532"/>
      <c r="V1230"/>
      <c r="W1230"/>
      <c r="Z1230"/>
      <c r="AA1230"/>
      <c r="AC1230"/>
      <c r="AD1230"/>
      <c r="AE1230"/>
      <c r="AI1230" s="960"/>
      <c r="AM1230"/>
    </row>
    <row r="1231" spans="3:39" x14ac:dyDescent="0.2">
      <c r="C1231"/>
      <c r="D1231"/>
      <c r="E1231"/>
      <c r="F1231"/>
      <c r="G1231"/>
      <c r="H1231"/>
      <c r="I1231" s="532"/>
      <c r="V1231"/>
      <c r="W1231"/>
      <c r="Z1231"/>
      <c r="AA1231"/>
      <c r="AC1231"/>
      <c r="AD1231"/>
      <c r="AE1231"/>
      <c r="AI1231" s="960"/>
      <c r="AM1231"/>
    </row>
    <row r="1232" spans="3:39" x14ac:dyDescent="0.2">
      <c r="C1232"/>
      <c r="D1232"/>
      <c r="E1232"/>
      <c r="F1232"/>
      <c r="G1232"/>
      <c r="H1232"/>
      <c r="I1232" s="532"/>
      <c r="V1232"/>
      <c r="W1232"/>
      <c r="Z1232"/>
      <c r="AA1232"/>
      <c r="AC1232"/>
      <c r="AD1232"/>
      <c r="AE1232"/>
      <c r="AI1232" s="960"/>
      <c r="AM1232"/>
    </row>
    <row r="1233" spans="3:39" x14ac:dyDescent="0.2">
      <c r="C1233"/>
      <c r="D1233"/>
      <c r="E1233"/>
      <c r="F1233"/>
      <c r="G1233"/>
      <c r="H1233"/>
      <c r="I1233" s="532"/>
      <c r="V1233"/>
      <c r="W1233"/>
      <c r="Z1233"/>
      <c r="AA1233"/>
      <c r="AC1233"/>
      <c r="AD1233"/>
      <c r="AE1233"/>
      <c r="AI1233" s="960"/>
      <c r="AM1233"/>
    </row>
    <row r="1234" spans="3:39" x14ac:dyDescent="0.2">
      <c r="C1234"/>
      <c r="D1234"/>
      <c r="E1234"/>
      <c r="F1234"/>
      <c r="G1234"/>
      <c r="H1234"/>
      <c r="I1234" s="532"/>
      <c r="V1234"/>
      <c r="W1234"/>
      <c r="Z1234"/>
      <c r="AA1234"/>
      <c r="AC1234"/>
      <c r="AD1234"/>
      <c r="AE1234"/>
      <c r="AI1234" s="960"/>
      <c r="AM1234"/>
    </row>
    <row r="1235" spans="3:39" x14ac:dyDescent="0.2">
      <c r="C1235"/>
      <c r="D1235"/>
      <c r="E1235"/>
      <c r="F1235"/>
      <c r="G1235"/>
      <c r="H1235"/>
      <c r="I1235" s="532"/>
      <c r="V1235"/>
      <c r="W1235"/>
      <c r="Z1235"/>
      <c r="AA1235"/>
      <c r="AC1235"/>
      <c r="AD1235"/>
      <c r="AE1235"/>
      <c r="AI1235" s="960"/>
      <c r="AM1235"/>
    </row>
    <row r="1236" spans="3:39" x14ac:dyDescent="0.2">
      <c r="C1236"/>
      <c r="D1236"/>
      <c r="E1236"/>
      <c r="F1236"/>
      <c r="G1236"/>
      <c r="H1236"/>
      <c r="I1236" s="532"/>
      <c r="V1236"/>
      <c r="W1236"/>
      <c r="Z1236"/>
      <c r="AA1236"/>
      <c r="AC1236"/>
      <c r="AD1236"/>
      <c r="AE1236"/>
      <c r="AI1236" s="960"/>
      <c r="AM1236"/>
    </row>
    <row r="1237" spans="3:39" x14ac:dyDescent="0.2">
      <c r="C1237"/>
      <c r="D1237"/>
      <c r="E1237"/>
      <c r="F1237"/>
      <c r="G1237"/>
      <c r="H1237"/>
      <c r="I1237" s="532"/>
      <c r="V1237"/>
      <c r="W1237"/>
      <c r="Z1237"/>
      <c r="AA1237"/>
      <c r="AC1237"/>
      <c r="AD1237"/>
      <c r="AE1237"/>
      <c r="AI1237" s="960"/>
      <c r="AM1237"/>
    </row>
    <row r="1238" spans="3:39" x14ac:dyDescent="0.2">
      <c r="C1238"/>
      <c r="D1238"/>
      <c r="E1238"/>
      <c r="F1238"/>
      <c r="G1238"/>
      <c r="H1238"/>
      <c r="I1238" s="532"/>
      <c r="V1238"/>
      <c r="W1238"/>
      <c r="Z1238"/>
      <c r="AA1238"/>
      <c r="AC1238"/>
      <c r="AD1238"/>
      <c r="AE1238"/>
      <c r="AI1238" s="960"/>
      <c r="AM1238"/>
    </row>
    <row r="1239" spans="3:39" x14ac:dyDescent="0.2">
      <c r="C1239"/>
      <c r="D1239"/>
      <c r="E1239"/>
      <c r="F1239"/>
      <c r="G1239"/>
      <c r="H1239"/>
      <c r="I1239" s="532"/>
      <c r="V1239"/>
      <c r="W1239"/>
      <c r="Z1239"/>
      <c r="AA1239"/>
      <c r="AC1239"/>
      <c r="AD1239"/>
      <c r="AE1239"/>
      <c r="AI1239" s="960"/>
      <c r="AM1239"/>
    </row>
    <row r="1240" spans="3:39" x14ac:dyDescent="0.2">
      <c r="C1240"/>
      <c r="D1240"/>
      <c r="E1240"/>
      <c r="F1240"/>
      <c r="G1240"/>
      <c r="H1240"/>
      <c r="I1240" s="532"/>
      <c r="V1240"/>
      <c r="W1240"/>
      <c r="Z1240"/>
      <c r="AA1240"/>
      <c r="AC1240"/>
      <c r="AD1240"/>
      <c r="AE1240"/>
      <c r="AI1240" s="960"/>
      <c r="AM1240"/>
    </row>
    <row r="1241" spans="3:39" x14ac:dyDescent="0.2">
      <c r="C1241"/>
      <c r="D1241"/>
      <c r="E1241"/>
      <c r="F1241"/>
      <c r="G1241"/>
      <c r="H1241"/>
      <c r="I1241" s="532"/>
      <c r="V1241"/>
      <c r="W1241"/>
      <c r="Z1241"/>
      <c r="AA1241"/>
      <c r="AC1241"/>
      <c r="AD1241"/>
      <c r="AE1241"/>
      <c r="AI1241" s="960"/>
      <c r="AM1241"/>
    </row>
    <row r="1242" spans="3:39" x14ac:dyDescent="0.2">
      <c r="C1242"/>
      <c r="D1242"/>
      <c r="E1242"/>
      <c r="F1242"/>
      <c r="G1242"/>
      <c r="H1242"/>
      <c r="I1242" s="532"/>
      <c r="V1242"/>
      <c r="W1242"/>
      <c r="Z1242"/>
      <c r="AA1242"/>
      <c r="AC1242"/>
      <c r="AD1242"/>
      <c r="AE1242"/>
      <c r="AI1242" s="960"/>
      <c r="AM1242"/>
    </row>
    <row r="1243" spans="3:39" x14ac:dyDescent="0.2">
      <c r="C1243"/>
      <c r="D1243"/>
      <c r="E1243"/>
      <c r="F1243"/>
      <c r="G1243"/>
      <c r="H1243"/>
      <c r="I1243" s="532"/>
      <c r="V1243"/>
      <c r="W1243"/>
      <c r="Z1243"/>
      <c r="AA1243"/>
      <c r="AC1243"/>
      <c r="AD1243"/>
      <c r="AE1243"/>
      <c r="AI1243" s="960"/>
      <c r="AM1243"/>
    </row>
    <row r="1244" spans="3:39" x14ac:dyDescent="0.2">
      <c r="C1244"/>
      <c r="D1244"/>
      <c r="E1244"/>
      <c r="F1244"/>
      <c r="G1244"/>
      <c r="H1244"/>
      <c r="I1244" s="532"/>
      <c r="V1244"/>
      <c r="W1244"/>
      <c r="Z1244"/>
      <c r="AA1244"/>
      <c r="AC1244"/>
      <c r="AD1244"/>
      <c r="AE1244"/>
      <c r="AI1244" s="960"/>
      <c r="AM1244"/>
    </row>
    <row r="1245" spans="3:39" x14ac:dyDescent="0.2">
      <c r="C1245"/>
      <c r="D1245"/>
      <c r="E1245"/>
      <c r="F1245"/>
      <c r="G1245"/>
      <c r="H1245"/>
      <c r="I1245" s="532"/>
      <c r="V1245"/>
      <c r="W1245"/>
      <c r="Z1245"/>
      <c r="AA1245"/>
      <c r="AC1245"/>
      <c r="AD1245"/>
      <c r="AE1245"/>
      <c r="AI1245" s="960"/>
      <c r="AM1245"/>
    </row>
    <row r="1246" spans="3:39" x14ac:dyDescent="0.2">
      <c r="C1246"/>
      <c r="D1246"/>
      <c r="E1246"/>
      <c r="F1246"/>
      <c r="G1246"/>
      <c r="H1246"/>
      <c r="I1246" s="532"/>
      <c r="V1246"/>
      <c r="W1246"/>
      <c r="Z1246"/>
      <c r="AA1246"/>
      <c r="AC1246"/>
      <c r="AD1246"/>
      <c r="AE1246"/>
      <c r="AI1246" s="960"/>
      <c r="AM1246"/>
    </row>
    <row r="1247" spans="3:39" x14ac:dyDescent="0.2">
      <c r="C1247"/>
      <c r="D1247"/>
      <c r="E1247"/>
      <c r="F1247"/>
      <c r="G1247"/>
      <c r="H1247"/>
      <c r="I1247" s="532"/>
      <c r="V1247"/>
      <c r="W1247"/>
      <c r="Z1247"/>
      <c r="AA1247"/>
      <c r="AC1247"/>
      <c r="AD1247"/>
      <c r="AE1247"/>
      <c r="AI1247" s="960"/>
      <c r="AM1247"/>
    </row>
    <row r="1248" spans="3:39" x14ac:dyDescent="0.2">
      <c r="C1248"/>
      <c r="D1248"/>
      <c r="E1248"/>
      <c r="F1248"/>
      <c r="G1248"/>
      <c r="H1248"/>
      <c r="I1248" s="532"/>
      <c r="V1248"/>
      <c r="W1248"/>
      <c r="Z1248"/>
      <c r="AA1248"/>
      <c r="AC1248"/>
      <c r="AD1248"/>
      <c r="AE1248"/>
      <c r="AI1248" s="960"/>
      <c r="AM1248"/>
    </row>
    <row r="1249" spans="3:39" x14ac:dyDescent="0.2">
      <c r="C1249"/>
      <c r="D1249"/>
      <c r="E1249"/>
      <c r="F1249"/>
      <c r="G1249"/>
      <c r="H1249"/>
      <c r="I1249" s="532"/>
      <c r="V1249"/>
      <c r="W1249"/>
      <c r="Z1249"/>
      <c r="AA1249"/>
      <c r="AC1249"/>
      <c r="AD1249"/>
      <c r="AE1249"/>
      <c r="AI1249" s="960"/>
      <c r="AM1249"/>
    </row>
    <row r="1250" spans="3:39" x14ac:dyDescent="0.2">
      <c r="C1250"/>
      <c r="D1250"/>
      <c r="E1250"/>
      <c r="F1250"/>
      <c r="G1250"/>
      <c r="H1250"/>
      <c r="I1250" s="532"/>
      <c r="V1250"/>
      <c r="W1250"/>
      <c r="Z1250"/>
      <c r="AA1250"/>
      <c r="AC1250"/>
      <c r="AD1250"/>
      <c r="AE1250"/>
      <c r="AI1250" s="960"/>
      <c r="AM1250"/>
    </row>
    <row r="1251" spans="3:39" x14ac:dyDescent="0.2">
      <c r="C1251"/>
      <c r="D1251"/>
      <c r="E1251"/>
      <c r="F1251"/>
      <c r="G1251"/>
      <c r="H1251"/>
      <c r="I1251" s="532"/>
      <c r="V1251"/>
      <c r="W1251"/>
      <c r="Z1251"/>
      <c r="AA1251"/>
      <c r="AC1251"/>
      <c r="AD1251"/>
      <c r="AE1251"/>
      <c r="AI1251" s="960"/>
      <c r="AM1251"/>
    </row>
    <row r="1252" spans="3:39" x14ac:dyDescent="0.2">
      <c r="C1252"/>
      <c r="D1252"/>
      <c r="E1252"/>
      <c r="F1252"/>
      <c r="G1252"/>
      <c r="H1252"/>
      <c r="I1252" s="532"/>
      <c r="V1252"/>
      <c r="W1252"/>
      <c r="Z1252"/>
      <c r="AA1252"/>
      <c r="AC1252"/>
      <c r="AD1252"/>
      <c r="AE1252"/>
      <c r="AI1252" s="960"/>
      <c r="AM1252"/>
    </row>
    <row r="1253" spans="3:39" x14ac:dyDescent="0.2">
      <c r="C1253"/>
      <c r="D1253"/>
      <c r="E1253"/>
      <c r="F1253"/>
      <c r="G1253"/>
      <c r="H1253"/>
      <c r="I1253" s="532"/>
      <c r="V1253"/>
      <c r="W1253"/>
      <c r="Z1253"/>
      <c r="AA1253"/>
      <c r="AC1253"/>
      <c r="AD1253"/>
      <c r="AE1253"/>
      <c r="AI1253" s="960"/>
      <c r="AM1253"/>
    </row>
    <row r="1254" spans="3:39" x14ac:dyDescent="0.2">
      <c r="C1254"/>
      <c r="D1254"/>
      <c r="E1254"/>
      <c r="F1254"/>
      <c r="G1254"/>
      <c r="H1254"/>
      <c r="I1254" s="532"/>
      <c r="V1254"/>
      <c r="W1254"/>
      <c r="Z1254"/>
      <c r="AA1254"/>
      <c r="AC1254"/>
      <c r="AD1254"/>
      <c r="AE1254"/>
      <c r="AI1254" s="960"/>
      <c r="AM1254"/>
    </row>
    <row r="1255" spans="3:39" x14ac:dyDescent="0.2">
      <c r="C1255"/>
      <c r="D1255"/>
      <c r="E1255"/>
      <c r="F1255"/>
      <c r="G1255"/>
      <c r="H1255"/>
      <c r="I1255" s="532"/>
      <c r="V1255"/>
      <c r="W1255"/>
      <c r="Z1255"/>
      <c r="AA1255"/>
      <c r="AC1255"/>
      <c r="AD1255"/>
      <c r="AE1255"/>
      <c r="AI1255" s="960"/>
      <c r="AM1255"/>
    </row>
    <row r="1256" spans="3:39" x14ac:dyDescent="0.2">
      <c r="C1256"/>
      <c r="D1256"/>
      <c r="E1256"/>
      <c r="F1256"/>
      <c r="G1256"/>
      <c r="H1256"/>
      <c r="I1256" s="532"/>
      <c r="V1256"/>
      <c r="W1256"/>
      <c r="Z1256"/>
      <c r="AA1256"/>
      <c r="AC1256"/>
      <c r="AD1256"/>
      <c r="AE1256"/>
      <c r="AI1256" s="960"/>
      <c r="AM1256"/>
    </row>
    <row r="1257" spans="3:39" x14ac:dyDescent="0.2">
      <c r="C1257"/>
      <c r="D1257"/>
      <c r="E1257"/>
      <c r="F1257"/>
      <c r="G1257"/>
      <c r="H1257"/>
      <c r="I1257" s="532"/>
      <c r="V1257"/>
      <c r="W1257"/>
      <c r="Z1257"/>
      <c r="AA1257"/>
      <c r="AC1257"/>
      <c r="AD1257"/>
      <c r="AE1257"/>
      <c r="AI1257" s="960"/>
      <c r="AM1257"/>
    </row>
    <row r="1258" spans="3:39" x14ac:dyDescent="0.2">
      <c r="C1258"/>
      <c r="D1258"/>
      <c r="E1258"/>
      <c r="F1258"/>
      <c r="G1258"/>
      <c r="H1258"/>
      <c r="I1258" s="532"/>
      <c r="V1258"/>
      <c r="W1258"/>
      <c r="Z1258"/>
      <c r="AA1258"/>
      <c r="AC1258"/>
      <c r="AD1258"/>
      <c r="AE1258"/>
      <c r="AI1258" s="960"/>
      <c r="AM1258"/>
    </row>
    <row r="1259" spans="3:39" x14ac:dyDescent="0.2">
      <c r="C1259"/>
      <c r="D1259"/>
      <c r="E1259"/>
      <c r="F1259"/>
      <c r="G1259"/>
      <c r="H1259"/>
      <c r="I1259" s="532"/>
      <c r="V1259"/>
      <c r="W1259"/>
      <c r="Z1259"/>
      <c r="AA1259"/>
      <c r="AC1259"/>
      <c r="AD1259"/>
      <c r="AE1259"/>
      <c r="AI1259" s="960"/>
      <c r="AM1259"/>
    </row>
    <row r="1260" spans="3:39" x14ac:dyDescent="0.2">
      <c r="C1260"/>
      <c r="D1260"/>
      <c r="E1260"/>
      <c r="F1260"/>
      <c r="G1260"/>
      <c r="H1260"/>
      <c r="I1260" s="532"/>
      <c r="V1260"/>
      <c r="W1260"/>
      <c r="Z1260"/>
      <c r="AA1260"/>
      <c r="AC1260"/>
      <c r="AD1260"/>
      <c r="AE1260"/>
      <c r="AI1260" s="960"/>
      <c r="AM1260"/>
    </row>
    <row r="1261" spans="3:39" x14ac:dyDescent="0.2">
      <c r="C1261"/>
      <c r="D1261"/>
      <c r="E1261"/>
      <c r="F1261"/>
      <c r="G1261"/>
      <c r="H1261"/>
      <c r="I1261" s="532"/>
      <c r="V1261"/>
      <c r="W1261"/>
      <c r="Z1261"/>
      <c r="AA1261"/>
      <c r="AC1261"/>
      <c r="AD1261"/>
      <c r="AE1261"/>
      <c r="AI1261" s="960"/>
      <c r="AM1261"/>
    </row>
    <row r="1262" spans="3:39" x14ac:dyDescent="0.2">
      <c r="C1262"/>
      <c r="D1262"/>
      <c r="E1262"/>
      <c r="F1262"/>
      <c r="G1262"/>
      <c r="H1262"/>
      <c r="I1262" s="532"/>
      <c r="V1262"/>
      <c r="W1262"/>
      <c r="Z1262"/>
      <c r="AA1262"/>
      <c r="AC1262"/>
      <c r="AD1262"/>
      <c r="AE1262"/>
      <c r="AI1262" s="960"/>
      <c r="AM1262"/>
    </row>
    <row r="1263" spans="3:39" x14ac:dyDescent="0.2">
      <c r="C1263"/>
      <c r="D1263"/>
      <c r="E1263"/>
      <c r="F1263"/>
      <c r="G1263"/>
      <c r="H1263"/>
      <c r="I1263" s="532"/>
      <c r="V1263"/>
      <c r="W1263"/>
      <c r="Z1263"/>
      <c r="AA1263"/>
      <c r="AC1263"/>
      <c r="AD1263"/>
      <c r="AE1263"/>
      <c r="AI1263" s="960"/>
      <c r="AM1263"/>
    </row>
    <row r="1264" spans="3:39" x14ac:dyDescent="0.2">
      <c r="C1264"/>
      <c r="D1264"/>
      <c r="E1264"/>
      <c r="F1264"/>
      <c r="G1264"/>
      <c r="H1264"/>
      <c r="I1264" s="532"/>
      <c r="V1264"/>
      <c r="W1264"/>
      <c r="Z1264"/>
      <c r="AA1264"/>
      <c r="AC1264"/>
      <c r="AD1264"/>
      <c r="AE1264"/>
      <c r="AI1264" s="960"/>
      <c r="AM1264"/>
    </row>
    <row r="1265" spans="3:39" x14ac:dyDescent="0.2">
      <c r="C1265"/>
      <c r="D1265"/>
      <c r="E1265"/>
      <c r="F1265"/>
      <c r="G1265"/>
      <c r="H1265"/>
      <c r="I1265" s="532"/>
      <c r="V1265"/>
      <c r="W1265"/>
      <c r="Z1265"/>
      <c r="AA1265"/>
      <c r="AC1265"/>
      <c r="AD1265"/>
      <c r="AE1265"/>
      <c r="AI1265" s="960"/>
      <c r="AM1265"/>
    </row>
    <row r="1266" spans="3:39" x14ac:dyDescent="0.2">
      <c r="C1266"/>
      <c r="D1266"/>
      <c r="E1266"/>
      <c r="F1266"/>
      <c r="G1266"/>
      <c r="H1266"/>
      <c r="I1266" s="532"/>
      <c r="V1266"/>
      <c r="W1266"/>
      <c r="Z1266"/>
      <c r="AA1266"/>
      <c r="AC1266"/>
      <c r="AD1266"/>
      <c r="AE1266"/>
      <c r="AI1266" s="960"/>
      <c r="AM1266"/>
    </row>
    <row r="1267" spans="3:39" x14ac:dyDescent="0.2">
      <c r="C1267"/>
      <c r="D1267"/>
      <c r="E1267"/>
      <c r="F1267"/>
      <c r="G1267"/>
      <c r="H1267"/>
      <c r="I1267" s="532"/>
      <c r="V1267"/>
      <c r="W1267"/>
      <c r="Z1267"/>
      <c r="AA1267"/>
      <c r="AC1267"/>
      <c r="AD1267"/>
      <c r="AE1267"/>
      <c r="AI1267" s="960"/>
      <c r="AM1267"/>
    </row>
    <row r="1268" spans="3:39" x14ac:dyDescent="0.2">
      <c r="C1268"/>
      <c r="D1268"/>
      <c r="E1268"/>
      <c r="F1268"/>
      <c r="G1268"/>
      <c r="H1268"/>
      <c r="I1268" s="532"/>
      <c r="V1268"/>
      <c r="W1268"/>
      <c r="Z1268"/>
      <c r="AA1268"/>
      <c r="AC1268"/>
      <c r="AD1268"/>
      <c r="AE1268"/>
      <c r="AI1268" s="960"/>
      <c r="AM1268"/>
    </row>
    <row r="1269" spans="3:39" x14ac:dyDescent="0.2">
      <c r="C1269"/>
      <c r="D1269"/>
      <c r="E1269"/>
      <c r="F1269"/>
      <c r="G1269"/>
      <c r="H1269"/>
      <c r="I1269" s="532"/>
      <c r="V1269"/>
      <c r="W1269"/>
      <c r="Z1269"/>
      <c r="AA1269"/>
      <c r="AC1269"/>
      <c r="AD1269"/>
      <c r="AE1269"/>
      <c r="AI1269" s="960"/>
      <c r="AM1269"/>
    </row>
    <row r="1270" spans="3:39" x14ac:dyDescent="0.2">
      <c r="C1270"/>
      <c r="D1270"/>
      <c r="E1270"/>
      <c r="F1270"/>
      <c r="G1270"/>
      <c r="H1270"/>
      <c r="I1270" s="532"/>
      <c r="V1270"/>
      <c r="W1270"/>
      <c r="Z1270"/>
      <c r="AA1270"/>
      <c r="AC1270"/>
      <c r="AD1270"/>
      <c r="AE1270"/>
      <c r="AI1270" s="960"/>
      <c r="AM1270"/>
    </row>
    <row r="1271" spans="3:39" x14ac:dyDescent="0.2">
      <c r="C1271"/>
      <c r="D1271"/>
      <c r="E1271"/>
      <c r="F1271"/>
      <c r="G1271"/>
      <c r="H1271"/>
      <c r="I1271" s="532"/>
      <c r="V1271"/>
      <c r="W1271"/>
      <c r="Z1271"/>
      <c r="AA1271"/>
      <c r="AC1271"/>
      <c r="AD1271"/>
      <c r="AE1271"/>
      <c r="AI1271" s="960"/>
      <c r="AM1271"/>
    </row>
    <row r="1272" spans="3:39" x14ac:dyDescent="0.2">
      <c r="C1272"/>
      <c r="D1272"/>
      <c r="E1272"/>
      <c r="F1272"/>
      <c r="G1272"/>
      <c r="H1272"/>
      <c r="I1272" s="532"/>
      <c r="V1272"/>
      <c r="W1272"/>
      <c r="Z1272"/>
      <c r="AA1272"/>
      <c r="AC1272"/>
      <c r="AD1272"/>
      <c r="AE1272"/>
      <c r="AI1272" s="960"/>
      <c r="AM1272"/>
    </row>
    <row r="1273" spans="3:39" x14ac:dyDescent="0.2">
      <c r="C1273"/>
      <c r="D1273"/>
      <c r="E1273"/>
      <c r="F1273"/>
      <c r="G1273"/>
      <c r="H1273"/>
      <c r="I1273" s="532"/>
      <c r="V1273"/>
      <c r="W1273"/>
      <c r="Z1273"/>
      <c r="AA1273"/>
      <c r="AC1273"/>
      <c r="AD1273"/>
      <c r="AE1273"/>
      <c r="AI1273" s="960"/>
      <c r="AM1273"/>
    </row>
    <row r="1274" spans="3:39" x14ac:dyDescent="0.2">
      <c r="C1274"/>
      <c r="D1274"/>
      <c r="E1274"/>
      <c r="F1274"/>
      <c r="G1274"/>
      <c r="H1274"/>
      <c r="I1274" s="532"/>
      <c r="V1274"/>
      <c r="W1274"/>
      <c r="Z1274"/>
      <c r="AA1274"/>
      <c r="AC1274"/>
      <c r="AD1274"/>
      <c r="AE1274"/>
      <c r="AI1274" s="960"/>
      <c r="AM1274"/>
    </row>
    <row r="1275" spans="3:39" x14ac:dyDescent="0.2">
      <c r="C1275"/>
      <c r="D1275"/>
      <c r="E1275"/>
      <c r="F1275"/>
      <c r="G1275"/>
      <c r="H1275"/>
      <c r="I1275" s="532"/>
      <c r="V1275"/>
      <c r="W1275"/>
      <c r="Z1275"/>
      <c r="AA1275"/>
      <c r="AC1275"/>
      <c r="AD1275"/>
      <c r="AE1275"/>
      <c r="AI1275" s="960"/>
      <c r="AM1275"/>
    </row>
    <row r="1276" spans="3:39" x14ac:dyDescent="0.2">
      <c r="C1276"/>
      <c r="D1276"/>
      <c r="E1276"/>
      <c r="F1276"/>
      <c r="G1276"/>
      <c r="H1276"/>
      <c r="I1276" s="532"/>
      <c r="V1276"/>
      <c r="W1276"/>
      <c r="Z1276"/>
      <c r="AA1276"/>
      <c r="AC1276"/>
      <c r="AD1276"/>
      <c r="AE1276"/>
      <c r="AI1276" s="960"/>
      <c r="AM1276"/>
    </row>
    <row r="1277" spans="3:39" x14ac:dyDescent="0.2">
      <c r="C1277"/>
      <c r="D1277"/>
      <c r="E1277"/>
      <c r="F1277"/>
      <c r="G1277"/>
      <c r="H1277"/>
      <c r="I1277" s="532"/>
      <c r="V1277"/>
      <c r="W1277"/>
      <c r="Z1277"/>
      <c r="AA1277"/>
      <c r="AC1277"/>
      <c r="AD1277"/>
      <c r="AE1277"/>
      <c r="AI1277" s="960"/>
      <c r="AM1277"/>
    </row>
    <row r="1278" spans="3:39" x14ac:dyDescent="0.2">
      <c r="C1278"/>
      <c r="D1278"/>
      <c r="E1278"/>
      <c r="F1278"/>
      <c r="G1278"/>
      <c r="H1278"/>
      <c r="I1278" s="532"/>
      <c r="V1278"/>
      <c r="W1278"/>
      <c r="Z1278"/>
      <c r="AA1278"/>
      <c r="AC1278"/>
      <c r="AD1278"/>
      <c r="AE1278"/>
      <c r="AI1278" s="960"/>
      <c r="AM1278"/>
    </row>
    <row r="1279" spans="3:39" x14ac:dyDescent="0.2">
      <c r="C1279"/>
      <c r="D1279"/>
      <c r="E1279"/>
      <c r="F1279"/>
      <c r="G1279"/>
      <c r="H1279"/>
      <c r="I1279" s="532"/>
      <c r="V1279"/>
      <c r="W1279"/>
      <c r="Z1279"/>
      <c r="AA1279"/>
      <c r="AC1279"/>
      <c r="AD1279"/>
      <c r="AE1279"/>
      <c r="AI1279" s="960"/>
      <c r="AM1279"/>
    </row>
    <row r="1280" spans="3:39" x14ac:dyDescent="0.2">
      <c r="C1280"/>
      <c r="D1280"/>
      <c r="E1280"/>
      <c r="F1280"/>
      <c r="G1280"/>
      <c r="H1280"/>
      <c r="I1280" s="532"/>
      <c r="V1280"/>
      <c r="W1280"/>
      <c r="Z1280"/>
      <c r="AA1280"/>
      <c r="AC1280"/>
      <c r="AD1280"/>
      <c r="AE1280"/>
      <c r="AI1280" s="960"/>
      <c r="AM1280"/>
    </row>
    <row r="1281" spans="3:39" x14ac:dyDescent="0.2">
      <c r="C1281"/>
      <c r="D1281"/>
      <c r="E1281"/>
      <c r="F1281"/>
      <c r="G1281"/>
      <c r="H1281"/>
      <c r="I1281" s="532"/>
      <c r="V1281"/>
      <c r="W1281"/>
      <c r="Z1281"/>
      <c r="AA1281"/>
      <c r="AC1281"/>
      <c r="AD1281"/>
      <c r="AE1281"/>
      <c r="AI1281" s="960"/>
      <c r="AM1281"/>
    </row>
    <row r="1282" spans="3:39" x14ac:dyDescent="0.2">
      <c r="C1282"/>
      <c r="D1282"/>
      <c r="E1282"/>
      <c r="F1282"/>
      <c r="G1282"/>
      <c r="H1282"/>
      <c r="I1282" s="532"/>
      <c r="V1282"/>
      <c r="W1282"/>
      <c r="Z1282"/>
      <c r="AA1282"/>
      <c r="AC1282"/>
      <c r="AD1282"/>
      <c r="AE1282"/>
      <c r="AI1282" s="960"/>
      <c r="AM1282"/>
    </row>
    <row r="1283" spans="3:39" x14ac:dyDescent="0.2">
      <c r="C1283"/>
      <c r="D1283"/>
      <c r="E1283"/>
      <c r="F1283"/>
      <c r="G1283"/>
      <c r="H1283"/>
      <c r="I1283" s="532"/>
      <c r="V1283"/>
      <c r="W1283"/>
      <c r="Z1283"/>
      <c r="AA1283"/>
      <c r="AC1283"/>
      <c r="AD1283"/>
      <c r="AE1283"/>
      <c r="AI1283" s="960"/>
      <c r="AM1283"/>
    </row>
    <row r="1284" spans="3:39" x14ac:dyDescent="0.2">
      <c r="C1284"/>
      <c r="D1284"/>
      <c r="E1284"/>
      <c r="F1284"/>
      <c r="G1284"/>
      <c r="H1284"/>
      <c r="I1284" s="532"/>
      <c r="V1284"/>
      <c r="W1284"/>
      <c r="Z1284"/>
      <c r="AA1284"/>
      <c r="AC1284"/>
      <c r="AD1284"/>
      <c r="AE1284"/>
      <c r="AI1284" s="960"/>
      <c r="AM1284"/>
    </row>
    <row r="1285" spans="3:39" x14ac:dyDescent="0.2">
      <c r="C1285"/>
      <c r="D1285"/>
      <c r="E1285"/>
      <c r="F1285"/>
      <c r="G1285"/>
      <c r="H1285"/>
      <c r="I1285" s="532"/>
      <c r="V1285"/>
      <c r="W1285"/>
      <c r="Z1285"/>
      <c r="AA1285"/>
      <c r="AC1285"/>
      <c r="AD1285"/>
      <c r="AE1285"/>
      <c r="AI1285" s="960"/>
      <c r="AM1285"/>
    </row>
    <row r="1286" spans="3:39" x14ac:dyDescent="0.2">
      <c r="C1286"/>
      <c r="D1286"/>
      <c r="E1286"/>
      <c r="F1286"/>
      <c r="G1286"/>
      <c r="H1286"/>
      <c r="I1286" s="532"/>
      <c r="V1286"/>
      <c r="W1286"/>
      <c r="Z1286"/>
      <c r="AA1286"/>
      <c r="AC1286"/>
      <c r="AD1286"/>
      <c r="AE1286"/>
      <c r="AI1286" s="960"/>
      <c r="AM1286"/>
    </row>
    <row r="1287" spans="3:39" x14ac:dyDescent="0.2">
      <c r="C1287"/>
      <c r="D1287"/>
      <c r="E1287"/>
      <c r="F1287"/>
      <c r="G1287"/>
      <c r="H1287"/>
      <c r="I1287" s="532"/>
      <c r="V1287"/>
      <c r="W1287"/>
      <c r="Z1287"/>
      <c r="AA1287"/>
      <c r="AC1287"/>
      <c r="AD1287"/>
      <c r="AE1287"/>
      <c r="AI1287" s="960"/>
      <c r="AM1287"/>
    </row>
    <row r="1288" spans="3:39" x14ac:dyDescent="0.2">
      <c r="C1288"/>
      <c r="D1288"/>
      <c r="E1288"/>
      <c r="F1288"/>
      <c r="G1288"/>
      <c r="H1288"/>
      <c r="I1288" s="532"/>
      <c r="V1288"/>
      <c r="W1288"/>
      <c r="Z1288"/>
      <c r="AA1288"/>
      <c r="AC1288"/>
      <c r="AD1288"/>
      <c r="AE1288"/>
      <c r="AI1288" s="960"/>
      <c r="AM1288"/>
    </row>
    <row r="1289" spans="3:39" x14ac:dyDescent="0.2">
      <c r="C1289"/>
      <c r="D1289"/>
      <c r="E1289"/>
      <c r="F1289"/>
      <c r="G1289"/>
      <c r="H1289"/>
      <c r="I1289" s="532"/>
      <c r="V1289"/>
      <c r="W1289"/>
      <c r="Z1289"/>
      <c r="AA1289"/>
      <c r="AC1289"/>
      <c r="AD1289"/>
      <c r="AE1289"/>
      <c r="AI1289" s="960"/>
      <c r="AM1289"/>
    </row>
    <row r="1290" spans="3:39" x14ac:dyDescent="0.2">
      <c r="C1290"/>
      <c r="D1290"/>
      <c r="E1290"/>
      <c r="F1290"/>
      <c r="G1290"/>
      <c r="H1290"/>
      <c r="I1290" s="532"/>
      <c r="V1290"/>
      <c r="W1290"/>
      <c r="Z1290"/>
      <c r="AA1290"/>
      <c r="AC1290"/>
      <c r="AD1290"/>
      <c r="AE1290"/>
      <c r="AI1290" s="960"/>
      <c r="AM1290"/>
    </row>
    <row r="1291" spans="3:39" x14ac:dyDescent="0.2">
      <c r="C1291"/>
      <c r="D1291"/>
      <c r="E1291"/>
      <c r="F1291"/>
      <c r="G1291"/>
      <c r="H1291"/>
      <c r="I1291" s="532"/>
      <c r="V1291"/>
      <c r="W1291"/>
      <c r="Z1291"/>
      <c r="AA1291"/>
      <c r="AC1291"/>
      <c r="AD1291"/>
      <c r="AE1291"/>
      <c r="AI1291" s="960"/>
      <c r="AM1291"/>
    </row>
    <row r="1292" spans="3:39" x14ac:dyDescent="0.2">
      <c r="C1292"/>
      <c r="D1292"/>
      <c r="E1292"/>
      <c r="F1292"/>
      <c r="G1292"/>
      <c r="H1292"/>
      <c r="I1292" s="532"/>
      <c r="V1292"/>
      <c r="W1292"/>
      <c r="Z1292"/>
      <c r="AA1292"/>
      <c r="AC1292"/>
      <c r="AD1292"/>
      <c r="AE1292"/>
      <c r="AI1292" s="960"/>
      <c r="AM1292"/>
    </row>
    <row r="1293" spans="3:39" x14ac:dyDescent="0.2">
      <c r="C1293"/>
      <c r="D1293"/>
      <c r="E1293"/>
      <c r="F1293"/>
      <c r="G1293"/>
      <c r="H1293"/>
      <c r="I1293" s="532"/>
      <c r="V1293"/>
      <c r="W1293"/>
      <c r="Z1293"/>
      <c r="AA1293"/>
      <c r="AC1293"/>
      <c r="AD1293"/>
      <c r="AE1293"/>
      <c r="AI1293" s="960"/>
      <c r="AM1293"/>
    </row>
    <row r="1294" spans="3:39" x14ac:dyDescent="0.2">
      <c r="C1294"/>
      <c r="D1294"/>
      <c r="E1294"/>
      <c r="F1294"/>
      <c r="G1294"/>
      <c r="H1294"/>
      <c r="I1294" s="532"/>
      <c r="V1294"/>
      <c r="W1294"/>
      <c r="Z1294"/>
      <c r="AA1294"/>
      <c r="AC1294"/>
      <c r="AD1294"/>
      <c r="AE1294"/>
      <c r="AI1294" s="960"/>
      <c r="AM1294"/>
    </row>
    <row r="1295" spans="3:39" x14ac:dyDescent="0.2">
      <c r="C1295"/>
      <c r="D1295"/>
      <c r="E1295"/>
      <c r="F1295"/>
      <c r="G1295"/>
      <c r="H1295"/>
      <c r="I1295" s="532"/>
      <c r="V1295"/>
      <c r="W1295"/>
      <c r="Z1295"/>
      <c r="AA1295"/>
      <c r="AC1295"/>
      <c r="AD1295"/>
      <c r="AE1295"/>
      <c r="AI1295" s="960"/>
      <c r="AM1295"/>
    </row>
    <row r="1296" spans="3:39" x14ac:dyDescent="0.2">
      <c r="C1296"/>
      <c r="D1296"/>
      <c r="E1296"/>
      <c r="F1296"/>
      <c r="G1296"/>
      <c r="H1296"/>
      <c r="I1296" s="532"/>
      <c r="V1296"/>
      <c r="W1296"/>
      <c r="Z1296"/>
      <c r="AA1296"/>
      <c r="AC1296"/>
      <c r="AD1296"/>
      <c r="AE1296"/>
      <c r="AI1296" s="960"/>
      <c r="AM1296"/>
    </row>
    <row r="1297" spans="3:39" x14ac:dyDescent="0.2">
      <c r="C1297"/>
      <c r="D1297"/>
      <c r="E1297"/>
      <c r="F1297"/>
      <c r="G1297"/>
      <c r="H1297"/>
      <c r="I1297" s="532"/>
      <c r="V1297"/>
      <c r="W1297"/>
      <c r="Z1297"/>
      <c r="AA1297"/>
      <c r="AC1297"/>
      <c r="AD1297"/>
      <c r="AE1297"/>
      <c r="AI1297" s="960"/>
      <c r="AM1297"/>
    </row>
    <row r="1298" spans="3:39" x14ac:dyDescent="0.2">
      <c r="C1298"/>
      <c r="D1298"/>
      <c r="E1298"/>
      <c r="F1298"/>
      <c r="G1298"/>
      <c r="H1298"/>
      <c r="I1298" s="532"/>
      <c r="V1298"/>
      <c r="W1298"/>
      <c r="Z1298"/>
      <c r="AA1298"/>
      <c r="AC1298"/>
      <c r="AD1298"/>
      <c r="AE1298"/>
      <c r="AI1298" s="960"/>
      <c r="AM1298"/>
    </row>
    <row r="1299" spans="3:39" x14ac:dyDescent="0.2">
      <c r="C1299"/>
      <c r="D1299"/>
      <c r="E1299"/>
      <c r="F1299"/>
      <c r="G1299"/>
      <c r="H1299"/>
      <c r="I1299" s="532"/>
      <c r="V1299"/>
      <c r="W1299"/>
      <c r="Z1299"/>
      <c r="AA1299"/>
      <c r="AC1299"/>
      <c r="AD1299"/>
      <c r="AE1299"/>
      <c r="AI1299" s="960"/>
      <c r="AM1299"/>
    </row>
    <row r="1300" spans="3:39" x14ac:dyDescent="0.2">
      <c r="C1300"/>
      <c r="D1300"/>
      <c r="E1300"/>
      <c r="F1300"/>
      <c r="G1300"/>
      <c r="H1300"/>
      <c r="I1300" s="532"/>
      <c r="V1300"/>
      <c r="W1300"/>
      <c r="Z1300"/>
      <c r="AA1300"/>
      <c r="AC1300"/>
      <c r="AD1300"/>
      <c r="AE1300"/>
      <c r="AI1300" s="960"/>
      <c r="AM1300"/>
    </row>
    <row r="1301" spans="3:39" x14ac:dyDescent="0.2">
      <c r="C1301"/>
      <c r="D1301"/>
      <c r="E1301"/>
      <c r="F1301"/>
      <c r="G1301"/>
      <c r="H1301"/>
      <c r="I1301" s="532"/>
      <c r="V1301"/>
      <c r="W1301"/>
      <c r="Z1301"/>
      <c r="AA1301"/>
      <c r="AC1301"/>
      <c r="AD1301"/>
      <c r="AE1301"/>
      <c r="AI1301" s="960"/>
      <c r="AM1301"/>
    </row>
    <row r="1302" spans="3:39" x14ac:dyDescent="0.2">
      <c r="C1302"/>
      <c r="D1302"/>
      <c r="E1302"/>
      <c r="F1302"/>
      <c r="G1302"/>
      <c r="H1302"/>
      <c r="I1302" s="532"/>
      <c r="V1302"/>
      <c r="W1302"/>
      <c r="Z1302"/>
      <c r="AA1302"/>
      <c r="AC1302"/>
      <c r="AD1302"/>
      <c r="AE1302"/>
      <c r="AI1302" s="960"/>
      <c r="AM1302"/>
    </row>
    <row r="1303" spans="3:39" x14ac:dyDescent="0.2">
      <c r="C1303"/>
      <c r="D1303"/>
      <c r="E1303"/>
      <c r="F1303"/>
      <c r="G1303"/>
      <c r="H1303"/>
      <c r="I1303" s="532"/>
      <c r="V1303"/>
      <c r="W1303"/>
      <c r="Z1303"/>
      <c r="AA1303"/>
      <c r="AC1303"/>
      <c r="AD1303"/>
      <c r="AE1303"/>
      <c r="AI1303" s="960"/>
      <c r="AM1303"/>
    </row>
    <row r="1304" spans="3:39" x14ac:dyDescent="0.2">
      <c r="C1304"/>
      <c r="D1304"/>
      <c r="E1304"/>
      <c r="F1304"/>
      <c r="G1304"/>
      <c r="H1304"/>
      <c r="I1304" s="532"/>
      <c r="V1304"/>
      <c r="W1304"/>
      <c r="Z1304"/>
      <c r="AA1304"/>
      <c r="AC1304"/>
      <c r="AD1304"/>
      <c r="AE1304"/>
      <c r="AI1304" s="960"/>
      <c r="AM1304"/>
    </row>
    <row r="1305" spans="3:39" x14ac:dyDescent="0.2">
      <c r="C1305"/>
      <c r="D1305"/>
      <c r="E1305"/>
      <c r="F1305"/>
      <c r="G1305"/>
      <c r="H1305"/>
      <c r="I1305" s="532"/>
      <c r="V1305"/>
      <c r="W1305"/>
      <c r="Z1305"/>
      <c r="AA1305"/>
      <c r="AC1305"/>
      <c r="AD1305"/>
      <c r="AE1305"/>
      <c r="AI1305" s="960"/>
      <c r="AM1305"/>
    </row>
    <row r="1306" spans="3:39" x14ac:dyDescent="0.2">
      <c r="C1306"/>
      <c r="D1306"/>
      <c r="E1306"/>
      <c r="F1306"/>
      <c r="G1306"/>
      <c r="H1306"/>
      <c r="I1306" s="532"/>
      <c r="V1306"/>
      <c r="W1306"/>
      <c r="Z1306"/>
      <c r="AA1306"/>
      <c r="AC1306"/>
      <c r="AD1306"/>
      <c r="AE1306"/>
      <c r="AI1306" s="960"/>
      <c r="AM1306"/>
    </row>
    <row r="1307" spans="3:39" x14ac:dyDescent="0.2">
      <c r="C1307"/>
      <c r="D1307"/>
      <c r="E1307"/>
      <c r="F1307"/>
      <c r="G1307"/>
      <c r="H1307"/>
      <c r="I1307" s="532"/>
      <c r="V1307"/>
      <c r="W1307"/>
      <c r="Z1307"/>
      <c r="AA1307"/>
      <c r="AC1307"/>
      <c r="AD1307"/>
      <c r="AE1307"/>
      <c r="AI1307" s="960"/>
      <c r="AM1307"/>
    </row>
    <row r="1308" spans="3:39" x14ac:dyDescent="0.2">
      <c r="C1308"/>
      <c r="D1308"/>
      <c r="E1308"/>
      <c r="F1308"/>
      <c r="G1308"/>
      <c r="H1308"/>
      <c r="I1308" s="532"/>
      <c r="V1308"/>
      <c r="W1308"/>
      <c r="Z1308"/>
      <c r="AA1308"/>
      <c r="AC1308"/>
      <c r="AD1308"/>
      <c r="AE1308"/>
      <c r="AI1308" s="960"/>
      <c r="AM1308"/>
    </row>
    <row r="1309" spans="3:39" x14ac:dyDescent="0.2">
      <c r="C1309"/>
      <c r="D1309"/>
      <c r="E1309"/>
      <c r="F1309"/>
      <c r="G1309"/>
      <c r="H1309"/>
      <c r="I1309" s="532"/>
      <c r="V1309"/>
      <c r="W1309"/>
      <c r="Z1309"/>
      <c r="AA1309"/>
      <c r="AC1309"/>
      <c r="AD1309"/>
      <c r="AE1309"/>
      <c r="AI1309" s="960"/>
      <c r="AM1309"/>
    </row>
    <row r="1310" spans="3:39" x14ac:dyDescent="0.2">
      <c r="C1310"/>
      <c r="D1310"/>
      <c r="E1310"/>
      <c r="F1310"/>
      <c r="G1310"/>
      <c r="H1310"/>
      <c r="I1310" s="532"/>
      <c r="V1310"/>
      <c r="W1310"/>
      <c r="Z1310"/>
      <c r="AA1310"/>
      <c r="AC1310"/>
      <c r="AD1310"/>
      <c r="AE1310"/>
      <c r="AI1310" s="960"/>
      <c r="AM1310"/>
    </row>
    <row r="1311" spans="3:39" x14ac:dyDescent="0.2">
      <c r="C1311"/>
      <c r="D1311"/>
      <c r="E1311"/>
      <c r="F1311"/>
      <c r="G1311"/>
      <c r="H1311"/>
      <c r="I1311" s="532"/>
      <c r="V1311"/>
      <c r="W1311"/>
      <c r="Z1311"/>
      <c r="AA1311"/>
      <c r="AC1311"/>
      <c r="AD1311"/>
      <c r="AE1311"/>
      <c r="AI1311" s="960"/>
      <c r="AM1311"/>
    </row>
    <row r="1312" spans="3:39" x14ac:dyDescent="0.2">
      <c r="C1312"/>
      <c r="D1312"/>
      <c r="E1312"/>
      <c r="F1312"/>
      <c r="G1312"/>
      <c r="H1312"/>
      <c r="I1312" s="532"/>
      <c r="V1312"/>
      <c r="W1312"/>
      <c r="Z1312"/>
      <c r="AA1312"/>
      <c r="AC1312"/>
      <c r="AD1312"/>
      <c r="AE1312"/>
      <c r="AI1312" s="960"/>
      <c r="AM1312"/>
    </row>
    <row r="1313" spans="3:39" x14ac:dyDescent="0.2">
      <c r="C1313"/>
      <c r="D1313"/>
      <c r="E1313"/>
      <c r="F1313"/>
      <c r="G1313"/>
      <c r="H1313"/>
      <c r="I1313" s="532"/>
      <c r="V1313"/>
      <c r="W1313"/>
      <c r="Z1313"/>
      <c r="AA1313"/>
      <c r="AC1313"/>
      <c r="AD1313"/>
      <c r="AE1313"/>
      <c r="AI1313" s="960"/>
      <c r="AM1313"/>
    </row>
    <row r="1314" spans="3:39" x14ac:dyDescent="0.2">
      <c r="C1314"/>
      <c r="D1314"/>
      <c r="E1314"/>
      <c r="F1314"/>
      <c r="G1314"/>
      <c r="H1314"/>
      <c r="I1314" s="532"/>
      <c r="V1314"/>
      <c r="W1314"/>
      <c r="Z1314"/>
      <c r="AA1314"/>
      <c r="AC1314"/>
      <c r="AD1314"/>
      <c r="AE1314"/>
      <c r="AI1314" s="960"/>
      <c r="AM1314"/>
    </row>
    <row r="1315" spans="3:39" x14ac:dyDescent="0.2">
      <c r="C1315"/>
      <c r="D1315"/>
      <c r="E1315"/>
      <c r="F1315"/>
      <c r="G1315"/>
      <c r="H1315"/>
      <c r="I1315" s="532"/>
      <c r="V1315"/>
      <c r="W1315"/>
      <c r="Z1315"/>
      <c r="AA1315"/>
      <c r="AC1315"/>
      <c r="AD1315"/>
      <c r="AE1315"/>
      <c r="AI1315" s="960"/>
      <c r="AM1315"/>
    </row>
    <row r="1316" spans="3:39" x14ac:dyDescent="0.2">
      <c r="C1316"/>
      <c r="D1316"/>
      <c r="E1316"/>
      <c r="F1316"/>
      <c r="G1316"/>
      <c r="H1316"/>
      <c r="I1316" s="532"/>
      <c r="V1316"/>
      <c r="W1316"/>
      <c r="Z1316"/>
      <c r="AA1316"/>
      <c r="AC1316"/>
      <c r="AD1316"/>
      <c r="AE1316"/>
      <c r="AI1316" s="960"/>
      <c r="AM1316"/>
    </row>
    <row r="1317" spans="3:39" x14ac:dyDescent="0.2">
      <c r="C1317"/>
      <c r="D1317"/>
      <c r="E1317"/>
      <c r="F1317"/>
      <c r="G1317"/>
      <c r="H1317"/>
      <c r="I1317" s="532"/>
      <c r="V1317"/>
      <c r="W1317"/>
      <c r="Z1317"/>
      <c r="AA1317"/>
      <c r="AC1317"/>
      <c r="AD1317"/>
      <c r="AE1317"/>
      <c r="AI1317" s="960"/>
      <c r="AM1317"/>
    </row>
    <row r="1318" spans="3:39" x14ac:dyDescent="0.2">
      <c r="C1318"/>
      <c r="D1318"/>
      <c r="E1318"/>
      <c r="F1318"/>
      <c r="G1318"/>
      <c r="H1318"/>
      <c r="I1318" s="532"/>
      <c r="V1318"/>
      <c r="W1318"/>
      <c r="Z1318"/>
      <c r="AA1318"/>
      <c r="AC1318"/>
      <c r="AD1318"/>
      <c r="AE1318"/>
      <c r="AI1318" s="960"/>
      <c r="AM1318"/>
    </row>
    <row r="1319" spans="3:39" x14ac:dyDescent="0.2">
      <c r="C1319"/>
      <c r="D1319"/>
      <c r="E1319"/>
      <c r="F1319"/>
      <c r="G1319"/>
      <c r="H1319"/>
      <c r="I1319" s="532"/>
      <c r="V1319"/>
      <c r="W1319"/>
      <c r="Z1319"/>
      <c r="AA1319"/>
      <c r="AC1319"/>
      <c r="AD1319"/>
      <c r="AE1319"/>
      <c r="AI1319" s="960"/>
      <c r="AM1319"/>
    </row>
    <row r="1320" spans="3:39" x14ac:dyDescent="0.2">
      <c r="C1320"/>
      <c r="D1320"/>
      <c r="E1320"/>
      <c r="F1320"/>
      <c r="G1320"/>
      <c r="H1320"/>
      <c r="I1320" s="532"/>
      <c r="V1320"/>
      <c r="W1320"/>
      <c r="Z1320"/>
      <c r="AA1320"/>
      <c r="AC1320"/>
      <c r="AD1320"/>
      <c r="AE1320"/>
      <c r="AI1320" s="960"/>
      <c r="AM1320"/>
    </row>
    <row r="1321" spans="3:39" x14ac:dyDescent="0.2">
      <c r="C1321"/>
      <c r="D1321"/>
      <c r="E1321"/>
      <c r="F1321"/>
      <c r="G1321"/>
      <c r="H1321"/>
      <c r="I1321" s="532"/>
      <c r="V1321"/>
      <c r="W1321"/>
      <c r="Z1321"/>
      <c r="AA1321"/>
      <c r="AC1321"/>
      <c r="AD1321"/>
      <c r="AE1321"/>
      <c r="AI1321" s="960"/>
      <c r="AM1321"/>
    </row>
    <row r="1322" spans="3:39" x14ac:dyDescent="0.2">
      <c r="C1322"/>
      <c r="D1322"/>
      <c r="E1322"/>
      <c r="F1322"/>
      <c r="G1322"/>
      <c r="H1322"/>
      <c r="I1322" s="532"/>
      <c r="V1322"/>
      <c r="W1322"/>
      <c r="Z1322"/>
      <c r="AA1322"/>
      <c r="AC1322"/>
      <c r="AD1322"/>
      <c r="AE1322"/>
      <c r="AI1322" s="960"/>
      <c r="AM1322"/>
    </row>
    <row r="1323" spans="3:39" x14ac:dyDescent="0.2">
      <c r="C1323"/>
      <c r="D1323"/>
      <c r="E1323"/>
      <c r="F1323"/>
      <c r="G1323"/>
      <c r="H1323"/>
      <c r="I1323" s="532"/>
      <c r="V1323"/>
      <c r="W1323"/>
      <c r="Z1323"/>
      <c r="AA1323"/>
      <c r="AC1323"/>
      <c r="AD1323"/>
      <c r="AE1323"/>
      <c r="AI1323" s="960"/>
      <c r="AM1323"/>
    </row>
    <row r="1324" spans="3:39" x14ac:dyDescent="0.2">
      <c r="C1324"/>
      <c r="D1324"/>
      <c r="E1324"/>
      <c r="F1324"/>
      <c r="G1324"/>
      <c r="H1324"/>
      <c r="I1324" s="532"/>
      <c r="V1324"/>
      <c r="W1324"/>
      <c r="Z1324"/>
      <c r="AA1324"/>
      <c r="AC1324"/>
      <c r="AD1324"/>
      <c r="AE1324"/>
      <c r="AI1324" s="960"/>
      <c r="AM1324"/>
    </row>
    <row r="1325" spans="3:39" x14ac:dyDescent="0.2">
      <c r="C1325"/>
      <c r="D1325"/>
      <c r="E1325"/>
      <c r="F1325"/>
      <c r="G1325"/>
      <c r="H1325"/>
      <c r="I1325" s="532"/>
      <c r="V1325"/>
      <c r="W1325"/>
      <c r="Z1325"/>
      <c r="AA1325"/>
      <c r="AC1325"/>
      <c r="AD1325"/>
      <c r="AE1325"/>
      <c r="AI1325" s="960"/>
      <c r="AM1325"/>
    </row>
    <row r="1326" spans="3:39" x14ac:dyDescent="0.2">
      <c r="C1326"/>
      <c r="D1326"/>
      <c r="E1326"/>
      <c r="F1326"/>
      <c r="G1326"/>
      <c r="H1326"/>
      <c r="I1326" s="532"/>
      <c r="V1326"/>
      <c r="W1326"/>
      <c r="Z1326"/>
      <c r="AA1326"/>
      <c r="AC1326"/>
      <c r="AD1326"/>
      <c r="AE1326"/>
      <c r="AI1326" s="960"/>
      <c r="AM1326"/>
    </row>
    <row r="1327" spans="3:39" x14ac:dyDescent="0.2">
      <c r="C1327"/>
      <c r="D1327"/>
      <c r="E1327"/>
      <c r="F1327"/>
      <c r="G1327"/>
      <c r="H1327"/>
      <c r="I1327" s="532"/>
      <c r="V1327"/>
      <c r="W1327"/>
      <c r="Z1327"/>
      <c r="AA1327"/>
      <c r="AC1327"/>
      <c r="AD1327"/>
      <c r="AE1327"/>
      <c r="AI1327" s="960"/>
      <c r="AM1327"/>
    </row>
    <row r="1328" spans="3:39" x14ac:dyDescent="0.2">
      <c r="C1328"/>
      <c r="D1328"/>
      <c r="E1328"/>
      <c r="F1328"/>
      <c r="G1328"/>
      <c r="H1328"/>
      <c r="I1328" s="532"/>
      <c r="V1328"/>
      <c r="W1328"/>
      <c r="Z1328"/>
      <c r="AA1328"/>
      <c r="AC1328"/>
      <c r="AD1328"/>
      <c r="AE1328"/>
      <c r="AI1328" s="960"/>
      <c r="AM1328"/>
    </row>
    <row r="1329" spans="3:39" x14ac:dyDescent="0.2">
      <c r="C1329"/>
      <c r="D1329"/>
      <c r="E1329"/>
      <c r="F1329"/>
      <c r="G1329"/>
      <c r="H1329"/>
      <c r="I1329" s="532"/>
      <c r="V1329"/>
      <c r="W1329"/>
      <c r="Z1329"/>
      <c r="AA1329"/>
      <c r="AC1329"/>
      <c r="AD1329"/>
      <c r="AE1329"/>
      <c r="AI1329" s="960"/>
      <c r="AM1329"/>
    </row>
    <row r="1330" spans="3:39" x14ac:dyDescent="0.2">
      <c r="C1330"/>
      <c r="D1330"/>
      <c r="E1330"/>
      <c r="F1330"/>
      <c r="G1330"/>
      <c r="H1330"/>
      <c r="I1330" s="532"/>
      <c r="V1330"/>
      <c r="W1330"/>
      <c r="Z1330"/>
      <c r="AA1330"/>
      <c r="AC1330"/>
      <c r="AD1330"/>
      <c r="AE1330"/>
      <c r="AI1330" s="960"/>
      <c r="AM1330"/>
    </row>
    <row r="1331" spans="3:39" x14ac:dyDescent="0.2">
      <c r="C1331"/>
      <c r="D1331"/>
      <c r="E1331"/>
      <c r="F1331"/>
      <c r="G1331"/>
      <c r="H1331"/>
      <c r="I1331" s="532"/>
      <c r="V1331"/>
      <c r="W1331"/>
      <c r="Z1331"/>
      <c r="AA1331"/>
      <c r="AC1331"/>
      <c r="AD1331"/>
      <c r="AE1331"/>
      <c r="AI1331" s="960"/>
      <c r="AM1331"/>
    </row>
    <row r="1332" spans="3:39" x14ac:dyDescent="0.2">
      <c r="C1332"/>
      <c r="D1332"/>
      <c r="E1332"/>
      <c r="F1332"/>
      <c r="G1332"/>
      <c r="H1332"/>
      <c r="I1332" s="532"/>
      <c r="V1332"/>
      <c r="W1332"/>
      <c r="Z1332"/>
      <c r="AA1332"/>
      <c r="AC1332"/>
      <c r="AD1332"/>
      <c r="AE1332"/>
      <c r="AI1332" s="960"/>
      <c r="AM1332"/>
    </row>
    <row r="1333" spans="3:39" x14ac:dyDescent="0.2">
      <c r="C1333"/>
      <c r="D1333"/>
      <c r="E1333"/>
      <c r="F1333"/>
      <c r="G1333"/>
      <c r="H1333"/>
      <c r="I1333" s="532"/>
      <c r="V1333"/>
      <c r="W1333"/>
      <c r="Z1333"/>
      <c r="AA1333"/>
      <c r="AC1333"/>
      <c r="AD1333"/>
      <c r="AE1333"/>
      <c r="AI1333" s="960"/>
      <c r="AM1333"/>
    </row>
    <row r="1334" spans="3:39" x14ac:dyDescent="0.2">
      <c r="C1334"/>
      <c r="D1334"/>
      <c r="E1334"/>
      <c r="F1334"/>
      <c r="G1334"/>
      <c r="H1334"/>
      <c r="I1334" s="532"/>
      <c r="V1334"/>
      <c r="W1334"/>
      <c r="Z1334"/>
      <c r="AA1334"/>
      <c r="AC1334"/>
      <c r="AD1334"/>
      <c r="AE1334"/>
      <c r="AI1334" s="960"/>
      <c r="AM1334"/>
    </row>
    <row r="1335" spans="3:39" x14ac:dyDescent="0.2">
      <c r="C1335"/>
      <c r="D1335"/>
      <c r="E1335"/>
      <c r="F1335"/>
      <c r="G1335"/>
      <c r="H1335"/>
      <c r="I1335" s="532"/>
      <c r="V1335"/>
      <c r="W1335"/>
      <c r="Z1335"/>
      <c r="AA1335"/>
      <c r="AC1335"/>
      <c r="AD1335"/>
      <c r="AE1335"/>
      <c r="AI1335" s="960"/>
      <c r="AM1335"/>
    </row>
    <row r="1336" spans="3:39" x14ac:dyDescent="0.2">
      <c r="C1336"/>
      <c r="D1336"/>
      <c r="E1336"/>
      <c r="F1336"/>
      <c r="G1336"/>
      <c r="H1336"/>
      <c r="I1336" s="532"/>
      <c r="V1336"/>
      <c r="W1336"/>
      <c r="Z1336"/>
      <c r="AA1336"/>
      <c r="AC1336"/>
      <c r="AD1336"/>
      <c r="AE1336"/>
      <c r="AI1336" s="960"/>
      <c r="AM1336"/>
    </row>
    <row r="1337" spans="3:39" x14ac:dyDescent="0.2">
      <c r="C1337"/>
      <c r="D1337"/>
      <c r="E1337"/>
      <c r="F1337"/>
      <c r="G1337"/>
      <c r="H1337"/>
      <c r="I1337" s="532"/>
      <c r="V1337"/>
      <c r="W1337"/>
      <c r="Z1337"/>
      <c r="AA1337"/>
      <c r="AC1337"/>
      <c r="AD1337"/>
      <c r="AE1337"/>
      <c r="AI1337" s="960"/>
      <c r="AM1337"/>
    </row>
    <row r="1338" spans="3:39" x14ac:dyDescent="0.2">
      <c r="C1338"/>
      <c r="D1338"/>
      <c r="E1338"/>
      <c r="F1338"/>
      <c r="G1338"/>
      <c r="H1338"/>
      <c r="I1338" s="532"/>
      <c r="V1338"/>
      <c r="W1338"/>
      <c r="Z1338"/>
      <c r="AA1338"/>
      <c r="AC1338"/>
      <c r="AD1338"/>
      <c r="AE1338"/>
      <c r="AI1338" s="960"/>
      <c r="AM1338"/>
    </row>
    <row r="1339" spans="3:39" x14ac:dyDescent="0.2">
      <c r="C1339"/>
      <c r="D1339"/>
      <c r="E1339"/>
      <c r="F1339"/>
      <c r="G1339"/>
      <c r="H1339"/>
      <c r="I1339" s="532"/>
      <c r="V1339"/>
      <c r="W1339"/>
      <c r="Z1339"/>
      <c r="AA1339"/>
      <c r="AC1339"/>
      <c r="AD1339"/>
      <c r="AE1339"/>
      <c r="AI1339" s="960"/>
      <c r="AM1339"/>
    </row>
    <row r="1340" spans="3:39" x14ac:dyDescent="0.2">
      <c r="C1340"/>
      <c r="D1340"/>
      <c r="E1340"/>
      <c r="F1340"/>
      <c r="G1340"/>
      <c r="H1340"/>
      <c r="I1340" s="532"/>
      <c r="V1340"/>
      <c r="W1340"/>
      <c r="Z1340"/>
      <c r="AA1340"/>
      <c r="AC1340"/>
      <c r="AD1340"/>
      <c r="AE1340"/>
      <c r="AI1340" s="960"/>
      <c r="AM1340"/>
    </row>
    <row r="1341" spans="3:39" x14ac:dyDescent="0.2">
      <c r="C1341"/>
      <c r="D1341"/>
      <c r="E1341"/>
      <c r="F1341"/>
      <c r="G1341"/>
      <c r="H1341"/>
      <c r="I1341" s="532"/>
      <c r="V1341"/>
      <c r="W1341"/>
      <c r="Z1341"/>
      <c r="AA1341"/>
      <c r="AC1341"/>
      <c r="AD1341"/>
      <c r="AE1341"/>
      <c r="AI1341" s="960"/>
      <c r="AM1341"/>
    </row>
    <row r="1342" spans="3:39" x14ac:dyDescent="0.2">
      <c r="C1342"/>
      <c r="D1342"/>
      <c r="E1342"/>
      <c r="F1342"/>
      <c r="G1342"/>
      <c r="H1342"/>
      <c r="I1342" s="532"/>
      <c r="V1342"/>
      <c r="W1342"/>
      <c r="Z1342"/>
      <c r="AA1342"/>
      <c r="AC1342"/>
      <c r="AD1342"/>
      <c r="AE1342"/>
      <c r="AI1342" s="960"/>
      <c r="AM1342"/>
    </row>
    <row r="1343" spans="3:39" x14ac:dyDescent="0.2">
      <c r="C1343"/>
      <c r="D1343"/>
      <c r="E1343"/>
      <c r="F1343"/>
      <c r="G1343"/>
      <c r="H1343"/>
      <c r="I1343" s="532"/>
      <c r="V1343"/>
      <c r="W1343"/>
      <c r="Z1343"/>
      <c r="AA1343"/>
      <c r="AC1343"/>
      <c r="AD1343"/>
      <c r="AE1343"/>
      <c r="AI1343" s="960"/>
      <c r="AM1343"/>
    </row>
    <row r="1344" spans="3:39" x14ac:dyDescent="0.2">
      <c r="C1344"/>
      <c r="D1344"/>
      <c r="E1344"/>
      <c r="F1344"/>
      <c r="G1344"/>
      <c r="H1344"/>
      <c r="I1344" s="532"/>
      <c r="V1344"/>
      <c r="W1344"/>
      <c r="Z1344"/>
      <c r="AA1344"/>
      <c r="AC1344"/>
      <c r="AD1344"/>
      <c r="AE1344"/>
      <c r="AI1344" s="960"/>
      <c r="AM1344"/>
    </row>
    <row r="1345" spans="3:39" x14ac:dyDescent="0.2">
      <c r="C1345"/>
      <c r="D1345"/>
      <c r="E1345"/>
      <c r="F1345"/>
      <c r="G1345"/>
      <c r="H1345"/>
      <c r="I1345" s="532"/>
      <c r="V1345"/>
      <c r="W1345"/>
      <c r="Z1345"/>
      <c r="AA1345"/>
      <c r="AC1345"/>
      <c r="AD1345"/>
      <c r="AE1345"/>
      <c r="AI1345" s="960"/>
      <c r="AM1345"/>
    </row>
    <row r="1346" spans="3:39" x14ac:dyDescent="0.2">
      <c r="C1346"/>
      <c r="D1346"/>
      <c r="E1346"/>
      <c r="F1346"/>
      <c r="G1346"/>
      <c r="H1346"/>
      <c r="I1346" s="532"/>
      <c r="V1346"/>
      <c r="W1346"/>
      <c r="Z1346"/>
      <c r="AA1346"/>
      <c r="AC1346"/>
      <c r="AD1346"/>
      <c r="AE1346"/>
      <c r="AI1346" s="960"/>
      <c r="AM1346"/>
    </row>
    <row r="1347" spans="3:39" x14ac:dyDescent="0.2">
      <c r="C1347"/>
      <c r="D1347"/>
      <c r="E1347"/>
      <c r="F1347"/>
      <c r="G1347"/>
      <c r="H1347"/>
      <c r="I1347" s="532"/>
      <c r="V1347"/>
      <c r="W1347"/>
      <c r="Z1347"/>
      <c r="AA1347"/>
      <c r="AC1347"/>
      <c r="AD1347"/>
      <c r="AE1347"/>
      <c r="AI1347" s="960"/>
      <c r="AM1347"/>
    </row>
    <row r="1348" spans="3:39" x14ac:dyDescent="0.2">
      <c r="C1348"/>
      <c r="D1348"/>
      <c r="E1348"/>
      <c r="F1348"/>
      <c r="G1348"/>
      <c r="H1348"/>
      <c r="I1348" s="532"/>
      <c r="V1348"/>
      <c r="W1348"/>
      <c r="Z1348"/>
      <c r="AA1348"/>
      <c r="AC1348"/>
      <c r="AD1348"/>
      <c r="AE1348"/>
      <c r="AI1348" s="960"/>
      <c r="AM1348"/>
    </row>
    <row r="1349" spans="3:39" x14ac:dyDescent="0.2">
      <c r="C1349"/>
      <c r="D1349"/>
      <c r="E1349"/>
      <c r="F1349"/>
      <c r="G1349"/>
      <c r="H1349"/>
      <c r="I1349" s="532"/>
      <c r="V1349"/>
      <c r="W1349"/>
      <c r="Z1349"/>
      <c r="AA1349"/>
      <c r="AC1349"/>
      <c r="AD1349"/>
      <c r="AE1349"/>
      <c r="AI1349" s="960"/>
      <c r="AM1349"/>
    </row>
    <row r="1350" spans="3:39" x14ac:dyDescent="0.2">
      <c r="C1350"/>
      <c r="D1350"/>
      <c r="E1350"/>
      <c r="F1350"/>
      <c r="G1350"/>
      <c r="H1350"/>
      <c r="I1350" s="532"/>
      <c r="V1350"/>
      <c r="W1350"/>
      <c r="Z1350"/>
      <c r="AA1350"/>
      <c r="AC1350"/>
      <c r="AD1350"/>
      <c r="AE1350"/>
      <c r="AI1350" s="960"/>
      <c r="AM1350"/>
    </row>
    <row r="1351" spans="3:39" x14ac:dyDescent="0.2">
      <c r="C1351"/>
      <c r="D1351"/>
      <c r="E1351"/>
      <c r="F1351"/>
      <c r="G1351"/>
      <c r="H1351"/>
      <c r="I1351" s="532"/>
      <c r="V1351"/>
      <c r="W1351"/>
      <c r="Z1351"/>
      <c r="AA1351"/>
      <c r="AC1351"/>
      <c r="AD1351"/>
      <c r="AE1351"/>
      <c r="AI1351" s="960"/>
      <c r="AM1351"/>
    </row>
    <row r="1352" spans="3:39" x14ac:dyDescent="0.2">
      <c r="C1352"/>
      <c r="D1352"/>
      <c r="E1352"/>
      <c r="F1352"/>
      <c r="G1352"/>
      <c r="H1352"/>
      <c r="I1352" s="532"/>
      <c r="V1352"/>
      <c r="W1352"/>
      <c r="Z1352"/>
      <c r="AA1352"/>
      <c r="AC1352"/>
      <c r="AD1352"/>
      <c r="AE1352"/>
      <c r="AI1352" s="960"/>
      <c r="AM1352"/>
    </row>
    <row r="1353" spans="3:39" x14ac:dyDescent="0.2">
      <c r="C1353"/>
      <c r="D1353"/>
      <c r="E1353"/>
      <c r="F1353"/>
      <c r="G1353"/>
      <c r="H1353"/>
      <c r="I1353" s="532"/>
      <c r="V1353"/>
      <c r="W1353"/>
      <c r="Z1353"/>
      <c r="AA1353"/>
      <c r="AC1353"/>
      <c r="AD1353"/>
      <c r="AE1353"/>
      <c r="AI1353" s="960"/>
      <c r="AM1353"/>
    </row>
    <row r="1354" spans="3:39" x14ac:dyDescent="0.2">
      <c r="C1354"/>
      <c r="D1354"/>
      <c r="E1354"/>
      <c r="F1354"/>
      <c r="G1354"/>
      <c r="H1354"/>
      <c r="I1354" s="532"/>
      <c r="V1354"/>
      <c r="W1354"/>
      <c r="Z1354"/>
      <c r="AA1354"/>
      <c r="AC1354"/>
      <c r="AD1354"/>
      <c r="AE1354"/>
      <c r="AI1354" s="960"/>
      <c r="AM1354"/>
    </row>
    <row r="1355" spans="3:39" x14ac:dyDescent="0.2">
      <c r="C1355"/>
      <c r="D1355"/>
      <c r="E1355"/>
      <c r="F1355"/>
      <c r="G1355"/>
      <c r="H1355"/>
      <c r="I1355" s="532"/>
      <c r="V1355"/>
      <c r="W1355"/>
      <c r="Z1355"/>
      <c r="AA1355"/>
      <c r="AC1355"/>
      <c r="AD1355"/>
      <c r="AE1355"/>
      <c r="AI1355" s="960"/>
      <c r="AM1355"/>
    </row>
    <row r="1356" spans="3:39" x14ac:dyDescent="0.2">
      <c r="C1356"/>
      <c r="D1356"/>
      <c r="E1356"/>
      <c r="F1356"/>
      <c r="G1356"/>
      <c r="H1356"/>
      <c r="I1356" s="532"/>
      <c r="V1356"/>
      <c r="W1356"/>
      <c r="Z1356"/>
      <c r="AA1356"/>
      <c r="AC1356"/>
      <c r="AD1356"/>
      <c r="AE1356"/>
      <c r="AI1356" s="960"/>
      <c r="AM1356"/>
    </row>
    <row r="1357" spans="3:39" x14ac:dyDescent="0.2">
      <c r="C1357"/>
      <c r="D1357"/>
      <c r="E1357"/>
      <c r="F1357"/>
      <c r="G1357"/>
      <c r="H1357"/>
      <c r="I1357" s="532"/>
      <c r="V1357"/>
      <c r="W1357"/>
      <c r="Z1357"/>
      <c r="AA1357"/>
      <c r="AC1357"/>
      <c r="AD1357"/>
      <c r="AE1357"/>
      <c r="AI1357" s="960"/>
      <c r="AM1357"/>
    </row>
    <row r="1358" spans="3:39" x14ac:dyDescent="0.2">
      <c r="C1358"/>
      <c r="D1358"/>
      <c r="E1358"/>
      <c r="F1358"/>
      <c r="G1358"/>
      <c r="H1358"/>
      <c r="I1358" s="532"/>
      <c r="V1358"/>
      <c r="W1358"/>
      <c r="Z1358"/>
      <c r="AA1358"/>
      <c r="AC1358"/>
      <c r="AD1358"/>
      <c r="AE1358"/>
      <c r="AI1358" s="960"/>
      <c r="AM1358"/>
    </row>
    <row r="1359" spans="3:39" x14ac:dyDescent="0.2">
      <c r="C1359"/>
      <c r="D1359"/>
      <c r="E1359"/>
      <c r="F1359"/>
      <c r="G1359"/>
      <c r="H1359"/>
      <c r="I1359" s="532"/>
      <c r="V1359"/>
      <c r="W1359"/>
      <c r="Z1359"/>
      <c r="AA1359"/>
      <c r="AC1359"/>
      <c r="AD1359"/>
      <c r="AE1359"/>
      <c r="AI1359" s="960"/>
      <c r="AM1359"/>
    </row>
    <row r="1360" spans="3:39" x14ac:dyDescent="0.2">
      <c r="C1360"/>
      <c r="D1360"/>
      <c r="E1360"/>
      <c r="F1360"/>
      <c r="G1360"/>
      <c r="H1360"/>
      <c r="I1360" s="532"/>
      <c r="V1360"/>
      <c r="W1360"/>
      <c r="Z1360"/>
      <c r="AA1360"/>
      <c r="AC1360"/>
      <c r="AD1360"/>
      <c r="AE1360"/>
      <c r="AI1360" s="960"/>
      <c r="AM1360"/>
    </row>
    <row r="1361" spans="3:39" x14ac:dyDescent="0.2">
      <c r="C1361"/>
      <c r="D1361"/>
      <c r="E1361"/>
      <c r="F1361"/>
      <c r="G1361"/>
      <c r="H1361"/>
      <c r="I1361" s="532"/>
      <c r="V1361"/>
      <c r="W1361"/>
      <c r="Z1361"/>
      <c r="AA1361"/>
      <c r="AC1361"/>
      <c r="AD1361"/>
      <c r="AE1361"/>
      <c r="AI1361" s="960"/>
      <c r="AM1361"/>
    </row>
    <row r="1362" spans="3:39" x14ac:dyDescent="0.2">
      <c r="C1362"/>
      <c r="D1362"/>
      <c r="E1362"/>
      <c r="F1362"/>
      <c r="G1362"/>
      <c r="H1362"/>
      <c r="I1362" s="532"/>
      <c r="V1362"/>
      <c r="W1362"/>
      <c r="Z1362"/>
      <c r="AA1362"/>
      <c r="AC1362"/>
      <c r="AD1362"/>
      <c r="AE1362"/>
      <c r="AI1362" s="960"/>
      <c r="AM1362"/>
    </row>
    <row r="1363" spans="3:39" x14ac:dyDescent="0.2">
      <c r="C1363"/>
      <c r="D1363"/>
      <c r="E1363"/>
      <c r="F1363"/>
      <c r="G1363"/>
      <c r="H1363"/>
      <c r="I1363" s="532"/>
      <c r="V1363"/>
      <c r="W1363"/>
      <c r="Z1363"/>
      <c r="AA1363"/>
      <c r="AC1363"/>
      <c r="AD1363"/>
      <c r="AE1363"/>
      <c r="AI1363" s="960"/>
      <c r="AM1363"/>
    </row>
    <row r="1364" spans="3:39" x14ac:dyDescent="0.2">
      <c r="C1364"/>
      <c r="D1364"/>
      <c r="E1364"/>
      <c r="F1364"/>
      <c r="G1364"/>
      <c r="H1364"/>
      <c r="I1364" s="532"/>
      <c r="V1364"/>
      <c r="W1364"/>
      <c r="Z1364"/>
      <c r="AA1364"/>
      <c r="AC1364"/>
      <c r="AD1364"/>
      <c r="AE1364"/>
      <c r="AI1364" s="960"/>
      <c r="AM1364"/>
    </row>
    <row r="1365" spans="3:39" x14ac:dyDescent="0.2">
      <c r="C1365"/>
      <c r="D1365"/>
      <c r="E1365"/>
      <c r="F1365"/>
      <c r="G1365"/>
      <c r="H1365"/>
      <c r="I1365" s="532"/>
      <c r="V1365"/>
      <c r="W1365"/>
      <c r="Z1365"/>
      <c r="AA1365"/>
      <c r="AC1365"/>
      <c r="AD1365"/>
      <c r="AE1365"/>
      <c r="AI1365" s="960"/>
      <c r="AM1365"/>
    </row>
    <row r="1366" spans="3:39" x14ac:dyDescent="0.2">
      <c r="C1366"/>
      <c r="D1366"/>
      <c r="E1366"/>
      <c r="F1366"/>
      <c r="G1366"/>
      <c r="H1366"/>
      <c r="I1366" s="532"/>
      <c r="V1366"/>
      <c r="W1366"/>
      <c r="Z1366"/>
      <c r="AA1366"/>
      <c r="AC1366"/>
      <c r="AD1366"/>
      <c r="AE1366"/>
      <c r="AI1366" s="960"/>
      <c r="AM1366"/>
    </row>
    <row r="1367" spans="3:39" x14ac:dyDescent="0.2">
      <c r="C1367"/>
      <c r="D1367"/>
      <c r="E1367"/>
      <c r="F1367"/>
      <c r="G1367"/>
      <c r="H1367"/>
      <c r="I1367" s="532"/>
      <c r="V1367"/>
      <c r="W1367"/>
      <c r="Z1367"/>
      <c r="AA1367"/>
      <c r="AC1367"/>
      <c r="AD1367"/>
      <c r="AE1367"/>
      <c r="AI1367" s="960"/>
      <c r="AM1367"/>
    </row>
    <row r="1368" spans="3:39" x14ac:dyDescent="0.2">
      <c r="C1368"/>
      <c r="D1368"/>
      <c r="E1368"/>
      <c r="F1368"/>
      <c r="G1368"/>
      <c r="H1368"/>
      <c r="I1368" s="532"/>
      <c r="V1368"/>
      <c r="W1368"/>
      <c r="Z1368"/>
      <c r="AA1368"/>
      <c r="AC1368"/>
      <c r="AD1368"/>
      <c r="AE1368"/>
      <c r="AI1368" s="960"/>
      <c r="AM1368"/>
    </row>
    <row r="1369" spans="3:39" x14ac:dyDescent="0.2">
      <c r="C1369"/>
      <c r="D1369"/>
      <c r="E1369"/>
      <c r="F1369"/>
      <c r="G1369"/>
      <c r="H1369"/>
      <c r="I1369" s="532"/>
      <c r="V1369"/>
      <c r="W1369"/>
      <c r="Z1369"/>
      <c r="AA1369"/>
      <c r="AC1369"/>
      <c r="AD1369"/>
      <c r="AE1369"/>
      <c r="AI1369" s="960"/>
      <c r="AM1369"/>
    </row>
    <row r="1370" spans="3:39" x14ac:dyDescent="0.2">
      <c r="C1370"/>
      <c r="D1370"/>
      <c r="E1370"/>
      <c r="F1370"/>
      <c r="G1370"/>
      <c r="H1370"/>
      <c r="I1370" s="532"/>
      <c r="V1370"/>
      <c r="W1370"/>
      <c r="Z1370"/>
      <c r="AA1370"/>
      <c r="AC1370"/>
      <c r="AD1370"/>
      <c r="AE1370"/>
      <c r="AI1370" s="960"/>
      <c r="AM1370"/>
    </row>
    <row r="1371" spans="3:39" x14ac:dyDescent="0.2">
      <c r="C1371"/>
      <c r="D1371"/>
      <c r="E1371"/>
      <c r="F1371"/>
      <c r="G1371"/>
      <c r="H1371"/>
      <c r="I1371" s="532"/>
      <c r="V1371"/>
      <c r="W1371"/>
      <c r="Z1371"/>
      <c r="AA1371"/>
      <c r="AC1371"/>
      <c r="AD1371"/>
      <c r="AE1371"/>
      <c r="AI1371" s="960"/>
      <c r="AM1371"/>
    </row>
    <row r="1372" spans="3:39" x14ac:dyDescent="0.2">
      <c r="C1372"/>
      <c r="D1372"/>
      <c r="E1372"/>
      <c r="F1372"/>
      <c r="G1372"/>
      <c r="H1372"/>
      <c r="I1372" s="532"/>
      <c r="V1372"/>
      <c r="W1372"/>
      <c r="Z1372"/>
      <c r="AA1372"/>
      <c r="AC1372"/>
      <c r="AD1372"/>
      <c r="AE1372"/>
      <c r="AI1372" s="960"/>
      <c r="AM1372"/>
    </row>
    <row r="1373" spans="3:39" x14ac:dyDescent="0.2">
      <c r="C1373"/>
      <c r="D1373"/>
      <c r="E1373"/>
      <c r="F1373"/>
      <c r="G1373"/>
      <c r="H1373"/>
      <c r="I1373" s="532"/>
      <c r="V1373"/>
      <c r="W1373"/>
      <c r="Z1373"/>
      <c r="AA1373"/>
      <c r="AC1373"/>
      <c r="AD1373"/>
      <c r="AE1373"/>
      <c r="AI1373" s="960"/>
      <c r="AM1373"/>
    </row>
    <row r="1374" spans="3:39" x14ac:dyDescent="0.2">
      <c r="C1374"/>
      <c r="D1374"/>
      <c r="E1374"/>
      <c r="F1374"/>
      <c r="G1374"/>
      <c r="H1374"/>
      <c r="I1374" s="532"/>
      <c r="V1374"/>
      <c r="W1374"/>
      <c r="Z1374"/>
      <c r="AA1374"/>
      <c r="AC1374"/>
      <c r="AD1374"/>
      <c r="AE1374"/>
      <c r="AI1374" s="960"/>
      <c r="AM1374"/>
    </row>
    <row r="1375" spans="3:39" x14ac:dyDescent="0.2">
      <c r="C1375"/>
      <c r="D1375"/>
      <c r="E1375"/>
      <c r="F1375"/>
      <c r="G1375"/>
      <c r="H1375"/>
      <c r="I1375" s="532"/>
      <c r="V1375"/>
      <c r="W1375"/>
      <c r="Z1375"/>
      <c r="AA1375"/>
      <c r="AC1375"/>
      <c r="AD1375"/>
      <c r="AE1375"/>
      <c r="AI1375" s="960"/>
      <c r="AM1375"/>
    </row>
    <row r="1376" spans="3:39" x14ac:dyDescent="0.2">
      <c r="C1376"/>
      <c r="D1376"/>
      <c r="E1376"/>
      <c r="F1376"/>
      <c r="G1376"/>
      <c r="H1376"/>
      <c r="I1376" s="532"/>
      <c r="V1376"/>
      <c r="W1376"/>
      <c r="Z1376"/>
      <c r="AA1376"/>
      <c r="AC1376"/>
      <c r="AD1376"/>
      <c r="AE1376"/>
      <c r="AI1376" s="960"/>
      <c r="AM1376"/>
    </row>
    <row r="1377" spans="3:39" x14ac:dyDescent="0.2">
      <c r="C1377"/>
      <c r="D1377"/>
      <c r="E1377"/>
      <c r="F1377"/>
      <c r="G1377"/>
      <c r="H1377"/>
      <c r="I1377" s="532"/>
      <c r="V1377"/>
      <c r="W1377"/>
      <c r="Z1377"/>
      <c r="AA1377"/>
      <c r="AC1377"/>
      <c r="AD1377"/>
      <c r="AE1377"/>
      <c r="AI1377" s="960"/>
      <c r="AM1377"/>
    </row>
    <row r="1378" spans="3:39" x14ac:dyDescent="0.2">
      <c r="C1378"/>
      <c r="D1378"/>
      <c r="E1378"/>
      <c r="F1378"/>
      <c r="G1378"/>
      <c r="H1378"/>
      <c r="I1378" s="532"/>
      <c r="V1378"/>
      <c r="W1378"/>
      <c r="Z1378"/>
      <c r="AA1378"/>
      <c r="AC1378"/>
      <c r="AD1378"/>
      <c r="AE1378"/>
      <c r="AI1378" s="960"/>
      <c r="AM1378"/>
    </row>
    <row r="1379" spans="3:39" x14ac:dyDescent="0.2">
      <c r="C1379"/>
      <c r="D1379"/>
      <c r="E1379"/>
      <c r="F1379"/>
      <c r="G1379"/>
      <c r="H1379"/>
      <c r="I1379" s="532"/>
      <c r="V1379"/>
      <c r="W1379"/>
      <c r="Z1379"/>
      <c r="AA1379"/>
      <c r="AC1379"/>
      <c r="AD1379"/>
      <c r="AE1379"/>
      <c r="AI1379" s="960"/>
      <c r="AM1379"/>
    </row>
    <row r="1380" spans="3:39" x14ac:dyDescent="0.2">
      <c r="C1380"/>
      <c r="D1380"/>
      <c r="E1380"/>
      <c r="F1380"/>
      <c r="G1380"/>
      <c r="H1380"/>
      <c r="I1380" s="532"/>
      <c r="V1380"/>
      <c r="W1380"/>
      <c r="Z1380"/>
      <c r="AA1380"/>
      <c r="AC1380"/>
      <c r="AD1380"/>
      <c r="AE1380"/>
      <c r="AI1380" s="960"/>
      <c r="AM1380"/>
    </row>
    <row r="1381" spans="3:39" x14ac:dyDescent="0.2">
      <c r="C1381"/>
      <c r="D1381"/>
      <c r="E1381"/>
      <c r="F1381"/>
      <c r="G1381"/>
      <c r="H1381"/>
      <c r="I1381" s="532"/>
      <c r="V1381"/>
      <c r="W1381"/>
      <c r="Z1381"/>
      <c r="AA1381"/>
      <c r="AC1381"/>
      <c r="AD1381"/>
      <c r="AE1381"/>
      <c r="AI1381" s="960"/>
      <c r="AM1381"/>
    </row>
    <row r="1382" spans="3:39" x14ac:dyDescent="0.2">
      <c r="C1382"/>
      <c r="D1382"/>
      <c r="E1382"/>
      <c r="F1382"/>
      <c r="G1382"/>
      <c r="H1382"/>
      <c r="I1382" s="532"/>
      <c r="V1382"/>
      <c r="W1382"/>
      <c r="Z1382"/>
      <c r="AA1382"/>
      <c r="AC1382"/>
      <c r="AD1382"/>
      <c r="AE1382"/>
      <c r="AI1382" s="960"/>
      <c r="AM1382"/>
    </row>
    <row r="1383" spans="3:39" x14ac:dyDescent="0.2">
      <c r="C1383"/>
      <c r="D1383"/>
      <c r="E1383"/>
      <c r="F1383"/>
      <c r="G1383"/>
      <c r="H1383"/>
      <c r="I1383" s="532"/>
      <c r="V1383"/>
      <c r="W1383"/>
      <c r="Z1383"/>
      <c r="AA1383"/>
      <c r="AC1383"/>
      <c r="AD1383"/>
      <c r="AE1383"/>
      <c r="AI1383" s="960"/>
      <c r="AM1383"/>
    </row>
    <row r="1384" spans="3:39" x14ac:dyDescent="0.2">
      <c r="C1384"/>
      <c r="D1384"/>
      <c r="E1384"/>
      <c r="F1384"/>
      <c r="G1384"/>
      <c r="H1384"/>
      <c r="I1384" s="532"/>
      <c r="V1384"/>
      <c r="W1384"/>
      <c r="Z1384"/>
      <c r="AA1384"/>
      <c r="AC1384"/>
      <c r="AD1384"/>
      <c r="AE1384"/>
      <c r="AI1384" s="960"/>
      <c r="AM1384"/>
    </row>
    <row r="1385" spans="3:39" x14ac:dyDescent="0.2">
      <c r="C1385"/>
      <c r="D1385"/>
      <c r="E1385"/>
      <c r="F1385"/>
      <c r="G1385"/>
      <c r="H1385"/>
      <c r="I1385" s="532"/>
      <c r="V1385"/>
      <c r="W1385"/>
      <c r="Z1385"/>
      <c r="AA1385"/>
      <c r="AC1385"/>
      <c r="AD1385"/>
      <c r="AE1385"/>
      <c r="AI1385" s="960"/>
      <c r="AM1385"/>
    </row>
    <row r="1386" spans="3:39" x14ac:dyDescent="0.2">
      <c r="C1386"/>
      <c r="D1386"/>
      <c r="E1386"/>
      <c r="F1386"/>
      <c r="G1386"/>
      <c r="H1386"/>
      <c r="I1386" s="532"/>
      <c r="V1386"/>
      <c r="W1386"/>
      <c r="Z1386"/>
      <c r="AA1386"/>
      <c r="AC1386"/>
      <c r="AD1386"/>
      <c r="AE1386"/>
      <c r="AI1386" s="960"/>
      <c r="AM1386"/>
    </row>
    <row r="1387" spans="3:39" x14ac:dyDescent="0.2">
      <c r="C1387"/>
      <c r="D1387"/>
      <c r="E1387"/>
      <c r="F1387"/>
      <c r="G1387"/>
      <c r="H1387"/>
      <c r="I1387" s="532"/>
      <c r="V1387"/>
      <c r="W1387"/>
      <c r="Z1387"/>
      <c r="AA1387"/>
      <c r="AC1387"/>
      <c r="AD1387"/>
      <c r="AE1387"/>
      <c r="AI1387" s="960"/>
      <c r="AM1387"/>
    </row>
    <row r="1388" spans="3:39" x14ac:dyDescent="0.2">
      <c r="C1388"/>
      <c r="D1388"/>
      <c r="E1388"/>
      <c r="F1388"/>
      <c r="G1388"/>
      <c r="H1388"/>
      <c r="I1388" s="532"/>
      <c r="V1388"/>
      <c r="W1388"/>
      <c r="Z1388"/>
      <c r="AA1388"/>
      <c r="AC1388"/>
      <c r="AD1388"/>
      <c r="AE1388"/>
      <c r="AI1388" s="960"/>
      <c r="AM1388"/>
    </row>
    <row r="1389" spans="3:39" x14ac:dyDescent="0.2">
      <c r="C1389"/>
      <c r="D1389"/>
      <c r="E1389"/>
      <c r="F1389"/>
      <c r="G1389"/>
      <c r="H1389"/>
      <c r="I1389" s="532"/>
      <c r="V1389"/>
      <c r="W1389"/>
      <c r="Z1389"/>
      <c r="AA1389"/>
      <c r="AC1389"/>
      <c r="AD1389"/>
      <c r="AE1389"/>
      <c r="AI1389" s="960"/>
      <c r="AM1389"/>
    </row>
    <row r="1390" spans="3:39" x14ac:dyDescent="0.2">
      <c r="C1390"/>
      <c r="D1390"/>
      <c r="E1390"/>
      <c r="F1390"/>
      <c r="G1390"/>
      <c r="H1390"/>
      <c r="I1390" s="532"/>
      <c r="V1390"/>
      <c r="W1390"/>
      <c r="Z1390"/>
      <c r="AA1390"/>
      <c r="AC1390"/>
      <c r="AD1390"/>
      <c r="AE1390"/>
      <c r="AI1390" s="960"/>
      <c r="AM1390"/>
    </row>
    <row r="1391" spans="3:39" x14ac:dyDescent="0.2">
      <c r="C1391"/>
      <c r="D1391"/>
      <c r="E1391"/>
      <c r="F1391"/>
      <c r="G1391"/>
      <c r="H1391"/>
      <c r="I1391" s="532"/>
      <c r="V1391"/>
      <c r="W1391"/>
      <c r="Z1391"/>
      <c r="AA1391"/>
      <c r="AC1391"/>
      <c r="AD1391"/>
      <c r="AE1391"/>
      <c r="AI1391" s="960"/>
      <c r="AM1391"/>
    </row>
    <row r="1392" spans="3:39" x14ac:dyDescent="0.2">
      <c r="C1392"/>
      <c r="D1392"/>
      <c r="E1392"/>
      <c r="F1392"/>
      <c r="G1392"/>
      <c r="H1392"/>
      <c r="I1392" s="532"/>
      <c r="V1392"/>
      <c r="W1392"/>
      <c r="Z1392"/>
      <c r="AA1392"/>
      <c r="AC1392"/>
      <c r="AD1392"/>
      <c r="AE1392"/>
      <c r="AI1392" s="960"/>
      <c r="AM1392"/>
    </row>
    <row r="1393" spans="3:39" x14ac:dyDescent="0.2">
      <c r="C1393"/>
      <c r="D1393"/>
      <c r="E1393"/>
      <c r="F1393"/>
      <c r="G1393"/>
      <c r="H1393"/>
      <c r="I1393" s="532"/>
      <c r="V1393"/>
      <c r="W1393"/>
      <c r="Z1393"/>
      <c r="AA1393"/>
      <c r="AC1393"/>
      <c r="AD1393"/>
      <c r="AE1393"/>
      <c r="AI1393" s="960"/>
      <c r="AM1393"/>
    </row>
    <row r="1394" spans="3:39" x14ac:dyDescent="0.2">
      <c r="C1394"/>
      <c r="D1394"/>
      <c r="E1394"/>
      <c r="F1394"/>
      <c r="G1394"/>
      <c r="H1394"/>
      <c r="I1394" s="532"/>
      <c r="V1394"/>
      <c r="W1394"/>
      <c r="Z1394"/>
      <c r="AA1394"/>
      <c r="AC1394"/>
      <c r="AD1394"/>
      <c r="AE1394"/>
      <c r="AI1394" s="960"/>
      <c r="AM1394"/>
    </row>
    <row r="1395" spans="3:39" x14ac:dyDescent="0.2">
      <c r="C1395"/>
      <c r="D1395"/>
      <c r="E1395"/>
      <c r="F1395"/>
      <c r="G1395"/>
      <c r="H1395"/>
      <c r="I1395" s="532"/>
      <c r="V1395"/>
      <c r="W1395"/>
      <c r="Z1395"/>
      <c r="AA1395"/>
      <c r="AC1395"/>
      <c r="AD1395"/>
      <c r="AE1395"/>
      <c r="AI1395" s="960"/>
      <c r="AM1395"/>
    </row>
    <row r="1396" spans="3:39" x14ac:dyDescent="0.2">
      <c r="C1396"/>
      <c r="D1396"/>
      <c r="E1396"/>
      <c r="F1396"/>
      <c r="G1396"/>
      <c r="H1396"/>
      <c r="I1396" s="532"/>
      <c r="V1396"/>
      <c r="W1396"/>
      <c r="Z1396"/>
      <c r="AA1396"/>
      <c r="AC1396"/>
      <c r="AD1396"/>
      <c r="AE1396"/>
      <c r="AI1396" s="960"/>
      <c r="AM1396"/>
    </row>
    <row r="1397" spans="3:39" x14ac:dyDescent="0.2">
      <c r="C1397"/>
      <c r="D1397"/>
      <c r="E1397"/>
      <c r="F1397"/>
      <c r="G1397"/>
      <c r="H1397"/>
      <c r="I1397" s="532"/>
      <c r="V1397"/>
      <c r="W1397"/>
      <c r="Z1397"/>
      <c r="AA1397"/>
      <c r="AC1397"/>
      <c r="AD1397"/>
      <c r="AE1397"/>
      <c r="AI1397" s="960"/>
      <c r="AM1397"/>
    </row>
    <row r="1398" spans="3:39" x14ac:dyDescent="0.2">
      <c r="C1398"/>
      <c r="D1398"/>
      <c r="E1398"/>
      <c r="F1398"/>
      <c r="G1398"/>
      <c r="H1398"/>
      <c r="I1398" s="532"/>
      <c r="V1398"/>
      <c r="W1398"/>
      <c r="Z1398"/>
      <c r="AA1398"/>
      <c r="AC1398"/>
      <c r="AD1398"/>
      <c r="AE1398"/>
      <c r="AI1398" s="960"/>
      <c r="AM1398"/>
    </row>
    <row r="1399" spans="3:39" x14ac:dyDescent="0.2">
      <c r="C1399"/>
      <c r="D1399"/>
      <c r="E1399"/>
      <c r="F1399"/>
      <c r="G1399"/>
      <c r="H1399"/>
      <c r="I1399" s="532"/>
      <c r="V1399"/>
      <c r="W1399"/>
      <c r="Z1399"/>
      <c r="AA1399"/>
      <c r="AC1399"/>
      <c r="AD1399"/>
      <c r="AE1399"/>
      <c r="AI1399" s="960"/>
      <c r="AM1399"/>
    </row>
    <row r="1400" spans="3:39" x14ac:dyDescent="0.2">
      <c r="C1400"/>
      <c r="D1400"/>
      <c r="E1400"/>
      <c r="F1400"/>
      <c r="G1400"/>
      <c r="H1400"/>
      <c r="I1400" s="532"/>
      <c r="V1400"/>
      <c r="W1400"/>
      <c r="Z1400"/>
      <c r="AA1400"/>
      <c r="AC1400"/>
      <c r="AD1400"/>
      <c r="AE1400"/>
      <c r="AI1400" s="960"/>
      <c r="AM1400"/>
    </row>
    <row r="1401" spans="3:39" x14ac:dyDescent="0.2">
      <c r="C1401"/>
      <c r="D1401"/>
      <c r="E1401"/>
      <c r="F1401"/>
      <c r="G1401"/>
      <c r="H1401"/>
      <c r="I1401" s="532"/>
      <c r="V1401"/>
      <c r="W1401"/>
      <c r="Z1401"/>
      <c r="AA1401"/>
      <c r="AC1401"/>
      <c r="AD1401"/>
      <c r="AE1401"/>
      <c r="AI1401" s="960"/>
      <c r="AM1401"/>
    </row>
    <row r="1402" spans="3:39" x14ac:dyDescent="0.2">
      <c r="C1402"/>
      <c r="D1402"/>
      <c r="E1402"/>
      <c r="F1402"/>
      <c r="G1402"/>
      <c r="H1402"/>
      <c r="I1402" s="532"/>
      <c r="V1402"/>
      <c r="W1402"/>
      <c r="Z1402"/>
      <c r="AA1402"/>
      <c r="AC1402"/>
      <c r="AD1402"/>
      <c r="AE1402"/>
      <c r="AI1402" s="960"/>
      <c r="AM1402"/>
    </row>
    <row r="1403" spans="3:39" x14ac:dyDescent="0.2">
      <c r="C1403"/>
      <c r="D1403"/>
      <c r="E1403"/>
      <c r="F1403"/>
      <c r="G1403"/>
      <c r="H1403"/>
      <c r="I1403" s="532"/>
      <c r="V1403"/>
      <c r="W1403"/>
      <c r="Z1403"/>
      <c r="AA1403"/>
      <c r="AC1403"/>
      <c r="AD1403"/>
      <c r="AE1403"/>
      <c r="AI1403" s="960"/>
      <c r="AM1403"/>
    </row>
    <row r="1404" spans="3:39" x14ac:dyDescent="0.2">
      <c r="C1404"/>
      <c r="D1404"/>
      <c r="E1404"/>
      <c r="F1404"/>
      <c r="G1404"/>
      <c r="H1404"/>
      <c r="I1404" s="532"/>
      <c r="V1404"/>
      <c r="W1404"/>
      <c r="Z1404"/>
      <c r="AA1404"/>
      <c r="AC1404"/>
      <c r="AD1404"/>
      <c r="AE1404"/>
      <c r="AI1404" s="960"/>
      <c r="AM1404"/>
    </row>
    <row r="1405" spans="3:39" x14ac:dyDescent="0.2">
      <c r="C1405"/>
      <c r="D1405"/>
      <c r="E1405"/>
      <c r="F1405"/>
      <c r="G1405"/>
      <c r="H1405"/>
      <c r="I1405" s="532"/>
      <c r="V1405"/>
      <c r="W1405"/>
      <c r="Z1405"/>
      <c r="AA1405"/>
      <c r="AC1405"/>
      <c r="AD1405"/>
      <c r="AE1405"/>
      <c r="AI1405" s="960"/>
      <c r="AM1405"/>
    </row>
    <row r="1406" spans="3:39" x14ac:dyDescent="0.2">
      <c r="C1406"/>
      <c r="D1406"/>
      <c r="E1406"/>
      <c r="F1406"/>
      <c r="G1406"/>
      <c r="H1406"/>
      <c r="I1406" s="532"/>
      <c r="V1406"/>
      <c r="W1406"/>
      <c r="Z1406"/>
      <c r="AA1406"/>
      <c r="AC1406"/>
      <c r="AD1406"/>
      <c r="AE1406"/>
      <c r="AI1406" s="960"/>
      <c r="AM1406"/>
    </row>
    <row r="1407" spans="3:39" x14ac:dyDescent="0.2">
      <c r="C1407"/>
      <c r="D1407"/>
      <c r="E1407"/>
      <c r="F1407"/>
      <c r="G1407"/>
      <c r="H1407"/>
      <c r="I1407" s="532"/>
      <c r="V1407"/>
      <c r="W1407"/>
      <c r="Z1407"/>
      <c r="AA1407"/>
      <c r="AC1407"/>
      <c r="AD1407"/>
      <c r="AE1407"/>
      <c r="AI1407" s="960"/>
      <c r="AM1407"/>
    </row>
    <row r="1408" spans="3:39" x14ac:dyDescent="0.2">
      <c r="C1408"/>
      <c r="D1408"/>
      <c r="E1408"/>
      <c r="F1408"/>
      <c r="G1408"/>
      <c r="H1408"/>
      <c r="I1408" s="532"/>
      <c r="V1408"/>
      <c r="W1408"/>
      <c r="Z1408"/>
      <c r="AA1408"/>
      <c r="AC1408"/>
      <c r="AD1408"/>
      <c r="AE1408"/>
      <c r="AI1408" s="960"/>
      <c r="AM1408"/>
    </row>
    <row r="1409" spans="3:39" x14ac:dyDescent="0.2">
      <c r="C1409"/>
      <c r="D1409"/>
      <c r="E1409"/>
      <c r="F1409"/>
      <c r="G1409"/>
      <c r="H1409"/>
      <c r="I1409" s="532"/>
      <c r="V1409"/>
      <c r="W1409"/>
      <c r="Z1409"/>
      <c r="AA1409"/>
      <c r="AC1409"/>
      <c r="AD1409"/>
      <c r="AE1409"/>
      <c r="AI1409" s="960"/>
      <c r="AM1409"/>
    </row>
    <row r="1410" spans="3:39" x14ac:dyDescent="0.2">
      <c r="C1410"/>
      <c r="D1410"/>
      <c r="E1410"/>
      <c r="F1410"/>
      <c r="G1410"/>
      <c r="H1410"/>
      <c r="I1410" s="532"/>
      <c r="V1410"/>
      <c r="W1410"/>
      <c r="Z1410"/>
      <c r="AA1410"/>
      <c r="AC1410"/>
      <c r="AD1410"/>
      <c r="AE1410"/>
      <c r="AI1410" s="960"/>
      <c r="AM1410"/>
    </row>
    <row r="1411" spans="3:39" x14ac:dyDescent="0.2">
      <c r="C1411"/>
      <c r="D1411"/>
      <c r="E1411"/>
      <c r="F1411"/>
      <c r="G1411"/>
      <c r="H1411"/>
      <c r="I1411" s="532"/>
      <c r="V1411"/>
      <c r="W1411"/>
      <c r="Z1411"/>
      <c r="AA1411"/>
      <c r="AC1411"/>
      <c r="AD1411"/>
      <c r="AE1411"/>
      <c r="AI1411" s="960"/>
      <c r="AM1411"/>
    </row>
    <row r="1412" spans="3:39" x14ac:dyDescent="0.2">
      <c r="C1412"/>
      <c r="D1412"/>
      <c r="E1412"/>
      <c r="F1412"/>
      <c r="G1412"/>
      <c r="H1412"/>
      <c r="I1412" s="532"/>
      <c r="V1412"/>
      <c r="W1412"/>
      <c r="Z1412"/>
      <c r="AA1412"/>
      <c r="AC1412"/>
      <c r="AD1412"/>
      <c r="AE1412"/>
      <c r="AI1412" s="960"/>
      <c r="AM1412"/>
    </row>
    <row r="1413" spans="3:39" x14ac:dyDescent="0.2">
      <c r="C1413"/>
      <c r="D1413"/>
      <c r="E1413"/>
      <c r="F1413"/>
      <c r="G1413"/>
      <c r="H1413"/>
      <c r="I1413" s="532"/>
      <c r="V1413"/>
      <c r="W1413"/>
      <c r="Z1413"/>
      <c r="AA1413"/>
      <c r="AC1413"/>
      <c r="AD1413"/>
      <c r="AE1413"/>
      <c r="AI1413" s="960"/>
      <c r="AM1413"/>
    </row>
    <row r="1414" spans="3:39" x14ac:dyDescent="0.2">
      <c r="C1414"/>
      <c r="D1414"/>
      <c r="E1414"/>
      <c r="F1414"/>
      <c r="G1414"/>
      <c r="H1414"/>
      <c r="I1414" s="532"/>
      <c r="V1414"/>
      <c r="W1414"/>
      <c r="Z1414"/>
      <c r="AA1414"/>
      <c r="AC1414"/>
      <c r="AD1414"/>
      <c r="AE1414"/>
      <c r="AI1414" s="960"/>
      <c r="AM1414"/>
    </row>
    <row r="1415" spans="3:39" x14ac:dyDescent="0.2">
      <c r="C1415"/>
      <c r="D1415"/>
      <c r="E1415"/>
      <c r="F1415"/>
      <c r="G1415"/>
      <c r="H1415"/>
      <c r="I1415" s="532"/>
      <c r="V1415"/>
      <c r="W1415"/>
      <c r="Z1415"/>
      <c r="AA1415"/>
      <c r="AC1415"/>
      <c r="AD1415"/>
      <c r="AE1415"/>
      <c r="AI1415" s="960"/>
      <c r="AM1415"/>
    </row>
    <row r="1416" spans="3:39" x14ac:dyDescent="0.2">
      <c r="C1416"/>
      <c r="D1416"/>
      <c r="E1416"/>
      <c r="F1416"/>
      <c r="G1416"/>
      <c r="H1416"/>
      <c r="I1416" s="532"/>
      <c r="V1416"/>
      <c r="W1416"/>
      <c r="Z1416"/>
      <c r="AA1416"/>
      <c r="AC1416"/>
      <c r="AD1416"/>
      <c r="AE1416"/>
      <c r="AI1416" s="960"/>
      <c r="AM1416"/>
    </row>
    <row r="1417" spans="3:39" x14ac:dyDescent="0.2">
      <c r="C1417"/>
      <c r="D1417"/>
      <c r="E1417"/>
      <c r="F1417"/>
      <c r="G1417"/>
      <c r="H1417"/>
      <c r="I1417" s="532"/>
      <c r="V1417"/>
      <c r="W1417"/>
      <c r="Z1417"/>
      <c r="AA1417"/>
      <c r="AC1417"/>
      <c r="AD1417"/>
      <c r="AE1417"/>
      <c r="AI1417" s="960"/>
      <c r="AM1417"/>
    </row>
    <row r="1418" spans="3:39" x14ac:dyDescent="0.2">
      <c r="C1418"/>
      <c r="D1418"/>
      <c r="E1418"/>
      <c r="F1418"/>
      <c r="G1418"/>
      <c r="H1418"/>
      <c r="I1418" s="532"/>
      <c r="V1418"/>
      <c r="W1418"/>
      <c r="Z1418"/>
      <c r="AA1418"/>
      <c r="AC1418"/>
      <c r="AD1418"/>
      <c r="AE1418"/>
      <c r="AI1418" s="960"/>
      <c r="AM1418"/>
    </row>
    <row r="1419" spans="3:39" x14ac:dyDescent="0.2">
      <c r="C1419"/>
      <c r="D1419"/>
      <c r="E1419"/>
      <c r="F1419"/>
      <c r="G1419"/>
      <c r="H1419"/>
      <c r="I1419" s="532"/>
      <c r="V1419"/>
      <c r="W1419"/>
      <c r="Z1419"/>
      <c r="AA1419"/>
      <c r="AC1419"/>
      <c r="AD1419"/>
      <c r="AE1419"/>
      <c r="AI1419" s="960"/>
      <c r="AM1419"/>
    </row>
    <row r="1420" spans="3:39" x14ac:dyDescent="0.2">
      <c r="C1420"/>
      <c r="D1420"/>
      <c r="E1420"/>
      <c r="F1420"/>
      <c r="G1420"/>
      <c r="H1420"/>
      <c r="I1420" s="532"/>
      <c r="V1420"/>
      <c r="W1420"/>
      <c r="Z1420"/>
      <c r="AA1420"/>
      <c r="AC1420"/>
      <c r="AD1420"/>
      <c r="AE1420"/>
      <c r="AI1420" s="960"/>
      <c r="AM1420"/>
    </row>
    <row r="1421" spans="3:39" x14ac:dyDescent="0.2">
      <c r="C1421"/>
      <c r="D1421"/>
      <c r="E1421"/>
      <c r="F1421"/>
      <c r="G1421"/>
      <c r="H1421"/>
      <c r="I1421" s="532"/>
      <c r="V1421"/>
      <c r="W1421"/>
      <c r="Z1421"/>
      <c r="AA1421"/>
      <c r="AC1421"/>
      <c r="AD1421"/>
      <c r="AE1421"/>
      <c r="AI1421" s="960"/>
      <c r="AM1421"/>
    </row>
    <row r="1422" spans="3:39" x14ac:dyDescent="0.2">
      <c r="C1422"/>
      <c r="D1422"/>
      <c r="E1422"/>
      <c r="F1422"/>
      <c r="G1422"/>
      <c r="H1422"/>
      <c r="I1422" s="532"/>
      <c r="V1422"/>
      <c r="W1422"/>
      <c r="Z1422"/>
      <c r="AA1422"/>
      <c r="AC1422"/>
      <c r="AD1422"/>
      <c r="AE1422"/>
      <c r="AI1422" s="960"/>
      <c r="AM1422"/>
    </row>
    <row r="1423" spans="3:39" x14ac:dyDescent="0.2">
      <c r="C1423"/>
      <c r="D1423"/>
      <c r="E1423"/>
      <c r="F1423"/>
      <c r="G1423"/>
      <c r="H1423"/>
      <c r="I1423" s="532"/>
      <c r="V1423"/>
      <c r="W1423"/>
      <c r="Z1423"/>
      <c r="AA1423"/>
      <c r="AC1423"/>
      <c r="AD1423"/>
      <c r="AE1423"/>
      <c r="AI1423" s="960"/>
      <c r="AM1423"/>
    </row>
    <row r="1424" spans="3:39" x14ac:dyDescent="0.2">
      <c r="C1424"/>
      <c r="D1424"/>
      <c r="E1424"/>
      <c r="F1424"/>
      <c r="G1424"/>
      <c r="H1424"/>
      <c r="I1424" s="532"/>
      <c r="V1424"/>
      <c r="W1424"/>
      <c r="Z1424"/>
      <c r="AA1424"/>
      <c r="AC1424"/>
      <c r="AD1424"/>
      <c r="AE1424"/>
      <c r="AI1424" s="960"/>
      <c r="AM1424"/>
    </row>
    <row r="1425" spans="3:39" x14ac:dyDescent="0.2">
      <c r="C1425"/>
      <c r="D1425"/>
      <c r="E1425"/>
      <c r="F1425"/>
      <c r="G1425"/>
      <c r="H1425"/>
      <c r="I1425" s="532"/>
      <c r="V1425"/>
      <c r="W1425"/>
      <c r="Z1425"/>
      <c r="AA1425"/>
      <c r="AC1425"/>
      <c r="AD1425"/>
      <c r="AE1425"/>
      <c r="AI1425" s="960"/>
      <c r="AM1425"/>
    </row>
    <row r="1426" spans="3:39" x14ac:dyDescent="0.2">
      <c r="C1426"/>
      <c r="D1426"/>
      <c r="E1426"/>
      <c r="F1426"/>
      <c r="G1426"/>
      <c r="H1426"/>
      <c r="I1426" s="532"/>
      <c r="V1426"/>
      <c r="W1426"/>
      <c r="Z1426"/>
      <c r="AA1426"/>
      <c r="AC1426"/>
      <c r="AD1426"/>
      <c r="AE1426"/>
      <c r="AI1426" s="960"/>
      <c r="AM1426"/>
    </row>
    <row r="1427" spans="3:39" x14ac:dyDescent="0.2">
      <c r="C1427"/>
      <c r="D1427"/>
      <c r="E1427"/>
      <c r="F1427"/>
      <c r="G1427"/>
      <c r="H1427"/>
      <c r="I1427" s="532"/>
      <c r="V1427"/>
      <c r="W1427"/>
      <c r="Z1427"/>
      <c r="AA1427"/>
      <c r="AC1427"/>
      <c r="AD1427"/>
      <c r="AE1427"/>
      <c r="AI1427" s="960"/>
      <c r="AM1427"/>
    </row>
    <row r="1428" spans="3:39" x14ac:dyDescent="0.2">
      <c r="C1428"/>
      <c r="D1428"/>
      <c r="E1428"/>
      <c r="F1428"/>
      <c r="G1428"/>
      <c r="H1428"/>
      <c r="I1428" s="532"/>
      <c r="V1428"/>
      <c r="W1428"/>
      <c r="Z1428"/>
      <c r="AA1428"/>
      <c r="AC1428"/>
      <c r="AD1428"/>
      <c r="AE1428"/>
      <c r="AI1428" s="960"/>
      <c r="AM1428"/>
    </row>
    <row r="1429" spans="3:39" x14ac:dyDescent="0.2">
      <c r="C1429"/>
      <c r="D1429"/>
      <c r="E1429"/>
      <c r="F1429"/>
      <c r="G1429"/>
      <c r="H1429"/>
      <c r="I1429" s="532"/>
      <c r="V1429"/>
      <c r="W1429"/>
      <c r="Z1429"/>
      <c r="AA1429"/>
      <c r="AC1429"/>
      <c r="AD1429"/>
      <c r="AE1429"/>
      <c r="AI1429" s="960"/>
      <c r="AM1429"/>
    </row>
    <row r="1430" spans="3:39" x14ac:dyDescent="0.2">
      <c r="C1430"/>
      <c r="D1430"/>
      <c r="E1430"/>
      <c r="F1430"/>
      <c r="G1430"/>
      <c r="H1430"/>
      <c r="I1430" s="532"/>
      <c r="V1430"/>
      <c r="W1430"/>
      <c r="Z1430"/>
      <c r="AA1430"/>
      <c r="AC1430"/>
      <c r="AD1430"/>
      <c r="AE1430"/>
      <c r="AI1430" s="960"/>
      <c r="AM1430"/>
    </row>
    <row r="1431" spans="3:39" x14ac:dyDescent="0.2">
      <c r="C1431"/>
      <c r="D1431"/>
      <c r="E1431"/>
      <c r="F1431"/>
      <c r="G1431"/>
      <c r="H1431"/>
      <c r="I1431" s="532"/>
      <c r="V1431"/>
      <c r="W1431"/>
      <c r="Z1431"/>
      <c r="AA1431"/>
      <c r="AC1431"/>
      <c r="AD1431"/>
      <c r="AE1431"/>
      <c r="AI1431" s="960"/>
      <c r="AM1431"/>
    </row>
    <row r="1432" spans="3:39" x14ac:dyDescent="0.2">
      <c r="C1432"/>
      <c r="D1432"/>
      <c r="E1432"/>
      <c r="F1432"/>
      <c r="G1432"/>
      <c r="H1432"/>
      <c r="I1432" s="532"/>
      <c r="V1432"/>
      <c r="W1432"/>
      <c r="Z1432"/>
      <c r="AA1432"/>
      <c r="AC1432"/>
      <c r="AD1432"/>
      <c r="AE1432"/>
      <c r="AI1432" s="960"/>
      <c r="AM1432"/>
    </row>
    <row r="1433" spans="3:39" x14ac:dyDescent="0.2">
      <c r="C1433"/>
      <c r="D1433"/>
      <c r="E1433"/>
      <c r="F1433"/>
      <c r="G1433"/>
      <c r="H1433"/>
      <c r="I1433" s="532"/>
      <c r="V1433"/>
      <c r="W1433"/>
      <c r="Z1433"/>
      <c r="AA1433"/>
      <c r="AC1433"/>
      <c r="AD1433"/>
      <c r="AE1433"/>
      <c r="AI1433" s="960"/>
      <c r="AM1433"/>
    </row>
    <row r="1434" spans="3:39" x14ac:dyDescent="0.2">
      <c r="C1434"/>
      <c r="D1434"/>
      <c r="E1434"/>
      <c r="F1434"/>
      <c r="G1434"/>
      <c r="H1434"/>
      <c r="I1434" s="532"/>
      <c r="V1434"/>
      <c r="W1434"/>
      <c r="Z1434"/>
      <c r="AA1434"/>
      <c r="AC1434"/>
      <c r="AD1434"/>
      <c r="AE1434"/>
      <c r="AI1434" s="960"/>
      <c r="AM1434"/>
    </row>
    <row r="1435" spans="3:39" x14ac:dyDescent="0.2">
      <c r="C1435"/>
      <c r="D1435"/>
      <c r="E1435"/>
      <c r="F1435"/>
      <c r="G1435"/>
      <c r="H1435"/>
      <c r="I1435" s="532"/>
      <c r="V1435"/>
      <c r="W1435"/>
      <c r="Z1435"/>
      <c r="AA1435"/>
      <c r="AC1435"/>
      <c r="AD1435"/>
      <c r="AE1435"/>
      <c r="AI1435" s="960"/>
      <c r="AM1435"/>
    </row>
    <row r="1436" spans="3:39" x14ac:dyDescent="0.2">
      <c r="C1436"/>
      <c r="D1436"/>
      <c r="E1436"/>
      <c r="F1436"/>
      <c r="G1436"/>
      <c r="H1436"/>
      <c r="I1436" s="532"/>
      <c r="V1436"/>
      <c r="W1436"/>
      <c r="Z1436"/>
      <c r="AA1436"/>
      <c r="AC1436"/>
      <c r="AD1436"/>
      <c r="AE1436"/>
      <c r="AI1436" s="960"/>
      <c r="AM1436"/>
    </row>
    <row r="1437" spans="3:39" x14ac:dyDescent="0.2">
      <c r="C1437"/>
      <c r="D1437"/>
      <c r="E1437"/>
      <c r="F1437"/>
      <c r="G1437"/>
      <c r="H1437"/>
      <c r="I1437" s="532"/>
      <c r="V1437"/>
      <c r="W1437"/>
      <c r="Z1437"/>
      <c r="AA1437"/>
      <c r="AC1437"/>
      <c r="AD1437"/>
      <c r="AE1437"/>
      <c r="AI1437" s="960"/>
      <c r="AM1437"/>
    </row>
    <row r="1438" spans="3:39" x14ac:dyDescent="0.2">
      <c r="C1438"/>
      <c r="D1438"/>
      <c r="E1438"/>
      <c r="F1438"/>
      <c r="G1438"/>
      <c r="H1438"/>
      <c r="I1438" s="532"/>
      <c r="V1438"/>
      <c r="W1438"/>
      <c r="Z1438"/>
      <c r="AA1438"/>
      <c r="AC1438"/>
      <c r="AD1438"/>
      <c r="AE1438"/>
      <c r="AI1438" s="960"/>
      <c r="AM1438"/>
    </row>
    <row r="1439" spans="3:39" x14ac:dyDescent="0.2">
      <c r="C1439"/>
      <c r="D1439"/>
      <c r="E1439"/>
      <c r="F1439"/>
      <c r="G1439"/>
      <c r="H1439"/>
      <c r="I1439" s="532"/>
      <c r="V1439"/>
      <c r="W1439"/>
      <c r="Z1439"/>
      <c r="AA1439"/>
      <c r="AC1439"/>
      <c r="AD1439"/>
      <c r="AE1439"/>
      <c r="AI1439" s="960"/>
      <c r="AM1439"/>
    </row>
    <row r="1440" spans="3:39" x14ac:dyDescent="0.2">
      <c r="C1440"/>
      <c r="D1440"/>
      <c r="E1440"/>
      <c r="F1440"/>
      <c r="G1440"/>
      <c r="H1440"/>
      <c r="I1440" s="532"/>
      <c r="V1440"/>
      <c r="W1440"/>
      <c r="Z1440"/>
      <c r="AA1440"/>
      <c r="AC1440"/>
      <c r="AD1440"/>
      <c r="AE1440"/>
      <c r="AI1440" s="960"/>
      <c r="AM1440"/>
    </row>
    <row r="1441" spans="3:39" x14ac:dyDescent="0.2">
      <c r="C1441"/>
      <c r="D1441"/>
      <c r="E1441"/>
      <c r="F1441"/>
      <c r="G1441"/>
      <c r="H1441"/>
      <c r="I1441" s="532"/>
      <c r="V1441"/>
      <c r="W1441"/>
      <c r="Z1441"/>
      <c r="AA1441"/>
      <c r="AC1441"/>
      <c r="AD1441"/>
      <c r="AE1441"/>
      <c r="AI1441" s="960"/>
      <c r="AM1441"/>
    </row>
    <row r="1442" spans="3:39" x14ac:dyDescent="0.2">
      <c r="C1442"/>
      <c r="D1442"/>
      <c r="E1442"/>
      <c r="F1442"/>
      <c r="G1442"/>
      <c r="H1442"/>
      <c r="I1442" s="532"/>
      <c r="V1442"/>
      <c r="W1442"/>
      <c r="Z1442"/>
      <c r="AA1442"/>
      <c r="AC1442"/>
      <c r="AD1442"/>
      <c r="AE1442"/>
      <c r="AI1442" s="960"/>
      <c r="AM1442"/>
    </row>
    <row r="1443" spans="3:39" x14ac:dyDescent="0.2">
      <c r="C1443"/>
      <c r="D1443"/>
      <c r="E1443"/>
      <c r="F1443"/>
      <c r="G1443"/>
      <c r="H1443"/>
      <c r="I1443" s="532"/>
      <c r="V1443"/>
      <c r="W1443"/>
      <c r="Z1443"/>
      <c r="AA1443"/>
      <c r="AC1443"/>
      <c r="AD1443"/>
      <c r="AE1443"/>
      <c r="AI1443" s="960"/>
      <c r="AM1443"/>
    </row>
    <row r="1444" spans="3:39" x14ac:dyDescent="0.2">
      <c r="C1444"/>
      <c r="D1444"/>
      <c r="E1444"/>
      <c r="F1444"/>
      <c r="G1444"/>
      <c r="H1444"/>
      <c r="I1444" s="532"/>
      <c r="V1444"/>
      <c r="W1444"/>
      <c r="Z1444"/>
      <c r="AA1444"/>
      <c r="AC1444"/>
      <c r="AD1444"/>
      <c r="AE1444"/>
      <c r="AI1444" s="960"/>
      <c r="AM1444"/>
    </row>
    <row r="1445" spans="3:39" x14ac:dyDescent="0.2">
      <c r="C1445"/>
      <c r="D1445"/>
      <c r="E1445"/>
      <c r="F1445"/>
      <c r="G1445"/>
      <c r="H1445"/>
      <c r="I1445" s="532"/>
      <c r="V1445"/>
      <c r="W1445"/>
      <c r="Z1445"/>
      <c r="AA1445"/>
      <c r="AC1445"/>
      <c r="AD1445"/>
      <c r="AE1445"/>
      <c r="AI1445" s="960"/>
      <c r="AM1445"/>
    </row>
    <row r="1446" spans="3:39" x14ac:dyDescent="0.2">
      <c r="C1446"/>
      <c r="D1446"/>
      <c r="E1446"/>
      <c r="F1446"/>
      <c r="G1446"/>
      <c r="H1446"/>
      <c r="I1446" s="532"/>
      <c r="V1446"/>
      <c r="W1446"/>
      <c r="Z1446"/>
      <c r="AA1446"/>
      <c r="AC1446"/>
      <c r="AD1446"/>
      <c r="AE1446"/>
      <c r="AI1446" s="960"/>
      <c r="AM1446"/>
    </row>
    <row r="1447" spans="3:39" x14ac:dyDescent="0.2">
      <c r="C1447"/>
      <c r="D1447"/>
      <c r="E1447"/>
      <c r="F1447"/>
      <c r="G1447"/>
      <c r="H1447"/>
      <c r="I1447" s="532"/>
      <c r="V1447"/>
      <c r="W1447"/>
      <c r="Z1447"/>
      <c r="AA1447"/>
      <c r="AC1447"/>
      <c r="AD1447"/>
      <c r="AE1447"/>
      <c r="AI1447" s="960"/>
      <c r="AM1447"/>
    </row>
    <row r="1448" spans="3:39" x14ac:dyDescent="0.2">
      <c r="C1448"/>
      <c r="D1448"/>
      <c r="E1448"/>
      <c r="F1448"/>
      <c r="G1448"/>
      <c r="H1448"/>
      <c r="I1448" s="532"/>
      <c r="V1448"/>
      <c r="W1448"/>
      <c r="Z1448"/>
      <c r="AA1448"/>
      <c r="AC1448"/>
      <c r="AD1448"/>
      <c r="AE1448"/>
      <c r="AI1448" s="960"/>
      <c r="AM1448"/>
    </row>
    <row r="1449" spans="3:39" x14ac:dyDescent="0.2">
      <c r="C1449"/>
      <c r="D1449"/>
      <c r="E1449"/>
      <c r="F1449"/>
      <c r="G1449"/>
      <c r="H1449"/>
      <c r="I1449" s="532"/>
      <c r="V1449"/>
      <c r="W1449"/>
      <c r="Z1449"/>
      <c r="AA1449"/>
      <c r="AC1449"/>
      <c r="AD1449"/>
      <c r="AE1449"/>
      <c r="AI1449" s="960"/>
      <c r="AM1449"/>
    </row>
    <row r="1450" spans="3:39" x14ac:dyDescent="0.2">
      <c r="C1450"/>
      <c r="D1450"/>
      <c r="E1450"/>
      <c r="F1450"/>
      <c r="G1450"/>
      <c r="H1450"/>
      <c r="I1450" s="532"/>
      <c r="V1450"/>
      <c r="W1450"/>
      <c r="Z1450"/>
      <c r="AA1450"/>
      <c r="AC1450"/>
      <c r="AD1450"/>
      <c r="AE1450"/>
      <c r="AI1450" s="960"/>
      <c r="AM1450"/>
    </row>
    <row r="1451" spans="3:39" x14ac:dyDescent="0.2">
      <c r="C1451"/>
      <c r="D1451"/>
      <c r="E1451"/>
      <c r="F1451"/>
      <c r="G1451"/>
      <c r="H1451"/>
      <c r="I1451" s="532"/>
      <c r="V1451"/>
      <c r="W1451"/>
      <c r="Z1451"/>
      <c r="AA1451"/>
      <c r="AC1451"/>
      <c r="AD1451"/>
      <c r="AE1451"/>
      <c r="AI1451" s="960"/>
      <c r="AM1451"/>
    </row>
    <row r="1452" spans="3:39" x14ac:dyDescent="0.2">
      <c r="C1452"/>
      <c r="D1452"/>
      <c r="E1452"/>
      <c r="F1452"/>
      <c r="G1452"/>
      <c r="H1452"/>
      <c r="I1452" s="532"/>
      <c r="V1452"/>
      <c r="W1452"/>
      <c r="Z1452"/>
      <c r="AA1452"/>
      <c r="AC1452"/>
      <c r="AD1452"/>
      <c r="AE1452"/>
      <c r="AI1452" s="960"/>
      <c r="AM1452"/>
    </row>
    <row r="1453" spans="3:39" x14ac:dyDescent="0.2">
      <c r="C1453"/>
      <c r="D1453"/>
      <c r="E1453"/>
      <c r="F1453"/>
      <c r="G1453"/>
      <c r="H1453"/>
      <c r="I1453" s="532"/>
      <c r="V1453"/>
      <c r="W1453"/>
      <c r="Z1453"/>
      <c r="AA1453"/>
      <c r="AC1453"/>
      <c r="AD1453"/>
      <c r="AE1453"/>
      <c r="AI1453" s="960"/>
      <c r="AM1453"/>
    </row>
    <row r="1454" spans="3:39" x14ac:dyDescent="0.2">
      <c r="C1454"/>
      <c r="D1454"/>
      <c r="E1454"/>
      <c r="F1454"/>
      <c r="G1454"/>
      <c r="H1454"/>
      <c r="I1454" s="532"/>
      <c r="V1454"/>
      <c r="W1454"/>
      <c r="Z1454"/>
      <c r="AA1454"/>
      <c r="AC1454"/>
      <c r="AD1454"/>
      <c r="AE1454"/>
      <c r="AI1454" s="960"/>
      <c r="AM1454"/>
    </row>
    <row r="1455" spans="3:39" x14ac:dyDescent="0.2">
      <c r="C1455"/>
      <c r="D1455"/>
      <c r="E1455"/>
      <c r="F1455"/>
      <c r="G1455"/>
      <c r="H1455"/>
      <c r="I1455" s="532"/>
      <c r="V1455"/>
      <c r="W1455"/>
      <c r="Z1455"/>
      <c r="AA1455"/>
      <c r="AC1455"/>
      <c r="AD1455"/>
      <c r="AE1455"/>
      <c r="AI1455" s="960"/>
      <c r="AM1455"/>
    </row>
    <row r="1456" spans="3:39" x14ac:dyDescent="0.2">
      <c r="C1456"/>
      <c r="D1456"/>
      <c r="E1456"/>
      <c r="F1456"/>
      <c r="G1456"/>
      <c r="H1456"/>
      <c r="I1456" s="532"/>
      <c r="V1456"/>
      <c r="W1456"/>
      <c r="Z1456"/>
      <c r="AA1456"/>
      <c r="AC1456"/>
      <c r="AD1456"/>
      <c r="AE1456"/>
      <c r="AI1456" s="960"/>
      <c r="AM1456"/>
    </row>
    <row r="1457" spans="3:39" x14ac:dyDescent="0.2">
      <c r="C1457"/>
      <c r="D1457"/>
      <c r="E1457"/>
      <c r="F1457"/>
      <c r="G1457"/>
      <c r="H1457"/>
      <c r="I1457" s="532"/>
      <c r="V1457"/>
      <c r="W1457"/>
      <c r="Z1457"/>
      <c r="AA1457"/>
      <c r="AC1457"/>
      <c r="AD1457"/>
      <c r="AE1457"/>
      <c r="AI1457" s="960"/>
      <c r="AM1457"/>
    </row>
    <row r="1458" spans="3:39" x14ac:dyDescent="0.2">
      <c r="C1458"/>
      <c r="D1458"/>
      <c r="E1458"/>
      <c r="F1458"/>
      <c r="G1458"/>
      <c r="H1458"/>
      <c r="I1458" s="532"/>
      <c r="V1458"/>
      <c r="W1458"/>
      <c r="Z1458"/>
      <c r="AA1458"/>
      <c r="AC1458"/>
      <c r="AD1458"/>
      <c r="AE1458"/>
      <c r="AI1458" s="960"/>
      <c r="AM1458"/>
    </row>
    <row r="1459" spans="3:39" x14ac:dyDescent="0.2">
      <c r="C1459"/>
      <c r="D1459"/>
      <c r="E1459"/>
      <c r="F1459"/>
      <c r="G1459"/>
      <c r="H1459"/>
      <c r="I1459" s="532"/>
      <c r="V1459"/>
      <c r="W1459"/>
      <c r="Z1459"/>
      <c r="AA1459"/>
      <c r="AC1459"/>
      <c r="AD1459"/>
      <c r="AE1459"/>
      <c r="AI1459" s="960"/>
      <c r="AM1459"/>
    </row>
    <row r="1460" spans="3:39" x14ac:dyDescent="0.2">
      <c r="C1460"/>
      <c r="D1460"/>
      <c r="E1460"/>
      <c r="F1460"/>
      <c r="G1460"/>
      <c r="H1460"/>
      <c r="I1460" s="532"/>
      <c r="V1460"/>
      <c r="W1460"/>
      <c r="Z1460"/>
      <c r="AA1460"/>
      <c r="AC1460"/>
      <c r="AD1460"/>
      <c r="AE1460"/>
      <c r="AI1460" s="960"/>
      <c r="AM1460"/>
    </row>
    <row r="1461" spans="3:39" x14ac:dyDescent="0.2">
      <c r="C1461"/>
      <c r="D1461"/>
      <c r="E1461"/>
      <c r="F1461"/>
      <c r="G1461"/>
      <c r="H1461"/>
      <c r="I1461" s="532"/>
      <c r="V1461"/>
      <c r="W1461"/>
      <c r="Z1461"/>
      <c r="AA1461"/>
      <c r="AC1461"/>
      <c r="AD1461"/>
      <c r="AE1461"/>
      <c r="AI1461" s="960"/>
      <c r="AM1461"/>
    </row>
    <row r="1462" spans="3:39" x14ac:dyDescent="0.2">
      <c r="C1462"/>
      <c r="D1462"/>
      <c r="E1462"/>
      <c r="F1462"/>
      <c r="G1462"/>
      <c r="H1462"/>
      <c r="I1462" s="532"/>
      <c r="V1462"/>
      <c r="W1462"/>
      <c r="Z1462"/>
      <c r="AA1462"/>
      <c r="AC1462"/>
      <c r="AD1462"/>
      <c r="AE1462"/>
      <c r="AI1462" s="960"/>
      <c r="AM1462"/>
    </row>
    <row r="1463" spans="3:39" x14ac:dyDescent="0.2">
      <c r="C1463"/>
      <c r="D1463"/>
      <c r="E1463"/>
      <c r="F1463"/>
      <c r="G1463"/>
      <c r="H1463"/>
      <c r="I1463" s="532"/>
      <c r="V1463"/>
      <c r="W1463"/>
      <c r="Z1463"/>
      <c r="AA1463"/>
      <c r="AC1463"/>
      <c r="AD1463"/>
      <c r="AE1463"/>
      <c r="AI1463" s="960"/>
      <c r="AM1463"/>
    </row>
    <row r="1464" spans="3:39" x14ac:dyDescent="0.2">
      <c r="C1464"/>
      <c r="D1464"/>
      <c r="E1464"/>
      <c r="F1464"/>
      <c r="G1464"/>
      <c r="H1464"/>
      <c r="I1464" s="532"/>
      <c r="V1464"/>
      <c r="W1464"/>
      <c r="Z1464"/>
      <c r="AA1464"/>
      <c r="AC1464"/>
      <c r="AD1464"/>
      <c r="AE1464"/>
      <c r="AI1464" s="960"/>
      <c r="AM1464"/>
    </row>
    <row r="1465" spans="3:39" x14ac:dyDescent="0.2">
      <c r="C1465"/>
      <c r="D1465"/>
      <c r="E1465"/>
      <c r="F1465"/>
      <c r="G1465"/>
      <c r="H1465"/>
      <c r="I1465" s="532"/>
      <c r="V1465"/>
      <c r="W1465"/>
      <c r="Z1465"/>
      <c r="AA1465"/>
      <c r="AC1465"/>
      <c r="AD1465"/>
      <c r="AE1465"/>
      <c r="AI1465" s="960"/>
      <c r="AM1465"/>
    </row>
    <row r="1466" spans="3:39" x14ac:dyDescent="0.2">
      <c r="C1466"/>
      <c r="D1466"/>
      <c r="E1466"/>
      <c r="F1466"/>
      <c r="G1466"/>
      <c r="H1466"/>
      <c r="I1466" s="532"/>
      <c r="V1466"/>
      <c r="W1466"/>
      <c r="Z1466"/>
      <c r="AA1466"/>
      <c r="AC1466"/>
      <c r="AD1466"/>
      <c r="AE1466"/>
      <c r="AI1466" s="960"/>
      <c r="AM1466"/>
    </row>
    <row r="1467" spans="3:39" x14ac:dyDescent="0.2">
      <c r="C1467"/>
      <c r="D1467"/>
      <c r="E1467"/>
      <c r="F1467"/>
      <c r="G1467"/>
      <c r="H1467"/>
      <c r="I1467" s="532"/>
      <c r="V1467"/>
      <c r="W1467"/>
      <c r="Z1467"/>
      <c r="AA1467"/>
      <c r="AC1467"/>
      <c r="AD1467"/>
      <c r="AE1467"/>
      <c r="AI1467" s="960"/>
      <c r="AM1467"/>
    </row>
    <row r="1468" spans="3:39" x14ac:dyDescent="0.2">
      <c r="C1468"/>
      <c r="D1468"/>
      <c r="E1468"/>
      <c r="F1468"/>
      <c r="G1468"/>
      <c r="H1468"/>
      <c r="I1468" s="532"/>
      <c r="V1468"/>
      <c r="W1468"/>
      <c r="Z1468"/>
      <c r="AA1468"/>
      <c r="AC1468"/>
      <c r="AD1468"/>
      <c r="AE1468"/>
      <c r="AI1468" s="960"/>
      <c r="AM1468"/>
    </row>
    <row r="1469" spans="3:39" x14ac:dyDescent="0.2">
      <c r="C1469"/>
      <c r="D1469"/>
      <c r="E1469"/>
      <c r="F1469"/>
      <c r="G1469"/>
      <c r="H1469"/>
      <c r="I1469" s="532"/>
      <c r="V1469"/>
      <c r="W1469"/>
      <c r="Z1469"/>
      <c r="AA1469"/>
      <c r="AC1469"/>
      <c r="AD1469"/>
      <c r="AE1469"/>
      <c r="AI1469" s="960"/>
      <c r="AM1469"/>
    </row>
    <row r="1470" spans="3:39" x14ac:dyDescent="0.2">
      <c r="C1470"/>
      <c r="D1470"/>
      <c r="E1470"/>
      <c r="F1470"/>
      <c r="G1470"/>
      <c r="H1470"/>
      <c r="I1470" s="532"/>
      <c r="V1470"/>
      <c r="W1470"/>
      <c r="Z1470"/>
      <c r="AA1470"/>
      <c r="AC1470"/>
      <c r="AD1470"/>
      <c r="AE1470"/>
      <c r="AI1470" s="960"/>
      <c r="AM1470"/>
    </row>
    <row r="1471" spans="3:39" x14ac:dyDescent="0.2">
      <c r="C1471"/>
      <c r="D1471"/>
      <c r="E1471"/>
      <c r="F1471"/>
      <c r="G1471"/>
      <c r="H1471"/>
      <c r="I1471" s="532"/>
      <c r="V1471"/>
      <c r="W1471"/>
      <c r="Z1471"/>
      <c r="AA1471"/>
      <c r="AC1471"/>
      <c r="AD1471"/>
      <c r="AE1471"/>
      <c r="AI1471" s="960"/>
      <c r="AM1471"/>
    </row>
    <row r="1472" spans="3:39" x14ac:dyDescent="0.2">
      <c r="C1472"/>
      <c r="D1472"/>
      <c r="E1472"/>
      <c r="F1472"/>
      <c r="G1472"/>
      <c r="H1472"/>
      <c r="I1472" s="532"/>
      <c r="V1472"/>
      <c r="W1472"/>
      <c r="Z1472"/>
      <c r="AA1472"/>
      <c r="AC1472"/>
      <c r="AD1472"/>
      <c r="AE1472"/>
      <c r="AI1472" s="960"/>
      <c r="AM1472"/>
    </row>
    <row r="1473" spans="3:39" x14ac:dyDescent="0.2">
      <c r="C1473"/>
      <c r="D1473"/>
      <c r="E1473"/>
      <c r="F1473"/>
      <c r="G1473"/>
      <c r="H1473"/>
      <c r="I1473" s="532"/>
      <c r="V1473"/>
      <c r="W1473"/>
      <c r="Z1473"/>
      <c r="AA1473"/>
      <c r="AC1473"/>
      <c r="AD1473"/>
      <c r="AE1473"/>
      <c r="AI1473" s="960"/>
      <c r="AM1473"/>
    </row>
    <row r="1474" spans="3:39" x14ac:dyDescent="0.2">
      <c r="C1474"/>
      <c r="D1474"/>
      <c r="E1474"/>
      <c r="F1474"/>
      <c r="G1474"/>
      <c r="H1474"/>
      <c r="I1474" s="532"/>
      <c r="V1474"/>
      <c r="W1474"/>
      <c r="Z1474"/>
      <c r="AA1474"/>
      <c r="AC1474"/>
      <c r="AD1474"/>
      <c r="AE1474"/>
      <c r="AI1474" s="960"/>
      <c r="AM1474"/>
    </row>
    <row r="1475" spans="3:39" x14ac:dyDescent="0.2">
      <c r="C1475"/>
      <c r="D1475"/>
      <c r="E1475"/>
      <c r="F1475"/>
      <c r="G1475"/>
      <c r="H1475"/>
      <c r="I1475" s="532"/>
      <c r="V1475"/>
      <c r="W1475"/>
      <c r="Z1475"/>
      <c r="AA1475"/>
      <c r="AC1475"/>
      <c r="AD1475"/>
      <c r="AE1475"/>
      <c r="AI1475" s="960"/>
      <c r="AM1475"/>
    </row>
    <row r="1476" spans="3:39" x14ac:dyDescent="0.2">
      <c r="C1476"/>
      <c r="D1476"/>
      <c r="E1476"/>
      <c r="F1476"/>
      <c r="G1476"/>
      <c r="H1476"/>
      <c r="I1476" s="532"/>
      <c r="V1476"/>
      <c r="W1476"/>
      <c r="Z1476"/>
      <c r="AA1476"/>
      <c r="AC1476"/>
      <c r="AD1476"/>
      <c r="AE1476"/>
      <c r="AI1476" s="960"/>
      <c r="AM1476"/>
    </row>
    <row r="1477" spans="3:39" x14ac:dyDescent="0.2">
      <c r="C1477"/>
      <c r="D1477"/>
      <c r="E1477"/>
      <c r="F1477"/>
      <c r="G1477"/>
      <c r="H1477"/>
      <c r="I1477" s="532"/>
      <c r="V1477"/>
      <c r="W1477"/>
      <c r="Z1477"/>
      <c r="AA1477"/>
      <c r="AC1477"/>
      <c r="AD1477"/>
      <c r="AE1477"/>
      <c r="AI1477" s="960"/>
      <c r="AM1477"/>
    </row>
    <row r="1478" spans="3:39" x14ac:dyDescent="0.2">
      <c r="C1478"/>
      <c r="D1478"/>
      <c r="E1478"/>
      <c r="F1478"/>
      <c r="G1478"/>
      <c r="H1478"/>
      <c r="I1478" s="532"/>
      <c r="V1478"/>
      <c r="W1478"/>
      <c r="Z1478"/>
      <c r="AA1478"/>
      <c r="AC1478"/>
      <c r="AD1478"/>
      <c r="AE1478"/>
      <c r="AI1478" s="960"/>
      <c r="AM1478"/>
    </row>
    <row r="1479" spans="3:39" x14ac:dyDescent="0.2">
      <c r="C1479"/>
      <c r="D1479"/>
      <c r="E1479"/>
      <c r="F1479"/>
      <c r="G1479"/>
      <c r="H1479"/>
      <c r="I1479" s="532"/>
      <c r="V1479"/>
      <c r="W1479"/>
      <c r="Z1479"/>
      <c r="AA1479"/>
      <c r="AC1479"/>
      <c r="AD1479"/>
      <c r="AE1479"/>
      <c r="AI1479" s="960"/>
      <c r="AM1479"/>
    </row>
    <row r="1480" spans="3:39" x14ac:dyDescent="0.2">
      <c r="C1480"/>
      <c r="D1480"/>
      <c r="E1480"/>
      <c r="F1480"/>
      <c r="G1480"/>
      <c r="H1480"/>
      <c r="I1480" s="532"/>
      <c r="V1480"/>
      <c r="W1480"/>
      <c r="Z1480"/>
      <c r="AA1480"/>
      <c r="AC1480"/>
      <c r="AD1480"/>
      <c r="AE1480"/>
      <c r="AI1480" s="960"/>
      <c r="AM1480"/>
    </row>
    <row r="1481" spans="3:39" x14ac:dyDescent="0.2">
      <c r="C1481"/>
      <c r="D1481"/>
      <c r="E1481"/>
      <c r="F1481"/>
      <c r="G1481"/>
      <c r="H1481"/>
      <c r="I1481" s="532"/>
      <c r="V1481"/>
      <c r="W1481"/>
      <c r="Z1481"/>
      <c r="AA1481"/>
      <c r="AC1481"/>
      <c r="AD1481"/>
      <c r="AE1481"/>
      <c r="AI1481" s="960"/>
      <c r="AM1481"/>
    </row>
    <row r="1482" spans="3:39" x14ac:dyDescent="0.2">
      <c r="C1482"/>
      <c r="D1482"/>
      <c r="E1482"/>
      <c r="F1482"/>
      <c r="G1482"/>
      <c r="H1482"/>
      <c r="I1482" s="532"/>
      <c r="V1482"/>
      <c r="W1482"/>
      <c r="Z1482"/>
      <c r="AA1482"/>
      <c r="AC1482"/>
      <c r="AD1482"/>
      <c r="AE1482"/>
      <c r="AI1482" s="960"/>
      <c r="AM1482"/>
    </row>
    <row r="1483" spans="3:39" x14ac:dyDescent="0.2">
      <c r="C1483"/>
      <c r="D1483"/>
      <c r="E1483"/>
      <c r="F1483"/>
      <c r="G1483"/>
      <c r="H1483"/>
      <c r="I1483" s="532"/>
      <c r="V1483"/>
      <c r="W1483"/>
      <c r="Z1483"/>
      <c r="AA1483"/>
      <c r="AC1483"/>
      <c r="AD1483"/>
      <c r="AE1483"/>
      <c r="AI1483" s="960"/>
      <c r="AM1483"/>
    </row>
    <row r="1484" spans="3:39" x14ac:dyDescent="0.2">
      <c r="C1484"/>
      <c r="D1484"/>
      <c r="E1484"/>
      <c r="F1484"/>
      <c r="G1484"/>
      <c r="H1484"/>
      <c r="I1484" s="532"/>
      <c r="V1484"/>
      <c r="W1484"/>
      <c r="Z1484"/>
      <c r="AA1484"/>
      <c r="AC1484"/>
      <c r="AD1484"/>
      <c r="AE1484"/>
      <c r="AI1484" s="960"/>
      <c r="AM1484"/>
    </row>
    <row r="1485" spans="3:39" x14ac:dyDescent="0.2">
      <c r="C1485"/>
      <c r="D1485"/>
      <c r="E1485"/>
      <c r="F1485"/>
      <c r="G1485"/>
      <c r="H1485"/>
      <c r="I1485" s="532"/>
      <c r="V1485"/>
      <c r="W1485"/>
      <c r="Z1485"/>
      <c r="AA1485"/>
      <c r="AC1485"/>
      <c r="AD1485"/>
      <c r="AE1485"/>
      <c r="AI1485" s="960"/>
      <c r="AM1485"/>
    </row>
    <row r="1486" spans="3:39" x14ac:dyDescent="0.2">
      <c r="C1486"/>
      <c r="D1486"/>
      <c r="E1486"/>
      <c r="F1486"/>
      <c r="G1486"/>
      <c r="H1486"/>
      <c r="I1486" s="532"/>
      <c r="V1486"/>
      <c r="W1486"/>
      <c r="Z1486"/>
      <c r="AA1486"/>
      <c r="AC1486"/>
      <c r="AD1486"/>
      <c r="AE1486"/>
      <c r="AI1486" s="960"/>
      <c r="AM1486"/>
    </row>
    <row r="1487" spans="3:39" x14ac:dyDescent="0.2">
      <c r="C1487"/>
      <c r="D1487"/>
      <c r="E1487"/>
      <c r="F1487"/>
      <c r="G1487"/>
      <c r="H1487"/>
      <c r="I1487" s="532"/>
      <c r="V1487"/>
      <c r="W1487"/>
      <c r="Z1487"/>
      <c r="AA1487"/>
      <c r="AC1487"/>
      <c r="AD1487"/>
      <c r="AE1487"/>
      <c r="AI1487" s="960"/>
      <c r="AM1487"/>
    </row>
    <row r="1488" spans="3:39" x14ac:dyDescent="0.2">
      <c r="C1488"/>
      <c r="D1488"/>
      <c r="E1488"/>
      <c r="F1488"/>
      <c r="G1488"/>
      <c r="H1488"/>
      <c r="I1488" s="532"/>
      <c r="V1488"/>
      <c r="W1488"/>
      <c r="Z1488"/>
      <c r="AA1488"/>
      <c r="AC1488"/>
      <c r="AD1488"/>
      <c r="AE1488"/>
      <c r="AI1488" s="960"/>
      <c r="AM1488"/>
    </row>
    <row r="1489" spans="3:39" x14ac:dyDescent="0.2">
      <c r="C1489"/>
      <c r="D1489"/>
      <c r="E1489"/>
      <c r="F1489"/>
      <c r="G1489"/>
      <c r="H1489"/>
      <c r="I1489" s="532"/>
      <c r="V1489"/>
      <c r="W1489"/>
      <c r="Z1489"/>
      <c r="AA1489"/>
      <c r="AC1489"/>
      <c r="AD1489"/>
      <c r="AE1489"/>
      <c r="AI1489" s="960"/>
      <c r="AM1489"/>
    </row>
    <row r="1490" spans="3:39" x14ac:dyDescent="0.2">
      <c r="C1490"/>
      <c r="D1490"/>
      <c r="E1490"/>
      <c r="F1490"/>
      <c r="G1490"/>
      <c r="H1490"/>
      <c r="I1490" s="532"/>
      <c r="V1490"/>
      <c r="W1490"/>
      <c r="Z1490"/>
      <c r="AA1490"/>
      <c r="AC1490"/>
      <c r="AD1490"/>
      <c r="AE1490"/>
      <c r="AI1490" s="960"/>
      <c r="AM1490"/>
    </row>
    <row r="1491" spans="3:39" x14ac:dyDescent="0.2">
      <c r="C1491"/>
      <c r="D1491"/>
      <c r="E1491"/>
      <c r="F1491"/>
      <c r="G1491"/>
      <c r="H1491"/>
      <c r="I1491" s="532"/>
      <c r="V1491"/>
      <c r="W1491"/>
      <c r="Z1491"/>
      <c r="AA1491"/>
      <c r="AC1491"/>
      <c r="AD1491"/>
      <c r="AE1491"/>
      <c r="AI1491" s="960"/>
      <c r="AM1491"/>
    </row>
    <row r="1492" spans="3:39" x14ac:dyDescent="0.2">
      <c r="C1492"/>
      <c r="D1492"/>
      <c r="E1492"/>
      <c r="F1492"/>
      <c r="G1492"/>
      <c r="H1492"/>
      <c r="I1492" s="532"/>
      <c r="V1492"/>
      <c r="W1492"/>
      <c r="Z1492"/>
      <c r="AA1492"/>
      <c r="AC1492"/>
      <c r="AD1492"/>
      <c r="AE1492"/>
      <c r="AI1492" s="960"/>
      <c r="AM1492"/>
    </row>
    <row r="1493" spans="3:39" x14ac:dyDescent="0.2">
      <c r="C1493"/>
      <c r="D1493"/>
      <c r="E1493"/>
      <c r="F1493"/>
      <c r="G1493"/>
      <c r="H1493"/>
      <c r="I1493" s="532"/>
      <c r="V1493"/>
      <c r="W1493"/>
      <c r="Z1493"/>
      <c r="AA1493"/>
      <c r="AC1493"/>
      <c r="AD1493"/>
      <c r="AE1493"/>
      <c r="AI1493" s="960"/>
      <c r="AM1493"/>
    </row>
    <row r="1494" spans="3:39" x14ac:dyDescent="0.2">
      <c r="C1494"/>
      <c r="D1494"/>
      <c r="E1494"/>
      <c r="F1494"/>
      <c r="G1494"/>
      <c r="H1494"/>
      <c r="I1494" s="532"/>
      <c r="V1494"/>
      <c r="W1494"/>
      <c r="Z1494"/>
      <c r="AA1494"/>
      <c r="AC1494"/>
      <c r="AD1494"/>
      <c r="AE1494"/>
      <c r="AI1494" s="960"/>
      <c r="AM1494"/>
    </row>
    <row r="1495" spans="3:39" x14ac:dyDescent="0.2">
      <c r="C1495"/>
      <c r="D1495"/>
      <c r="E1495"/>
      <c r="F1495"/>
      <c r="G1495"/>
      <c r="H1495"/>
      <c r="I1495" s="532"/>
      <c r="V1495"/>
      <c r="W1495"/>
      <c r="Z1495"/>
      <c r="AA1495"/>
      <c r="AC1495"/>
      <c r="AD1495"/>
      <c r="AE1495"/>
      <c r="AI1495" s="960"/>
      <c r="AM1495"/>
    </row>
    <row r="1496" spans="3:39" x14ac:dyDescent="0.2">
      <c r="C1496"/>
      <c r="D1496"/>
      <c r="E1496"/>
      <c r="F1496"/>
      <c r="G1496"/>
      <c r="H1496"/>
      <c r="I1496" s="532"/>
      <c r="V1496"/>
      <c r="W1496"/>
      <c r="Z1496"/>
      <c r="AA1496"/>
      <c r="AC1496"/>
      <c r="AD1496"/>
      <c r="AE1496"/>
      <c r="AI1496" s="960"/>
      <c r="AM1496"/>
    </row>
    <row r="1497" spans="3:39" x14ac:dyDescent="0.2">
      <c r="C1497"/>
      <c r="D1497"/>
      <c r="E1497"/>
      <c r="F1497"/>
      <c r="G1497"/>
      <c r="H1497"/>
      <c r="I1497" s="532"/>
      <c r="V1497"/>
      <c r="W1497"/>
      <c r="Z1497"/>
      <c r="AA1497"/>
      <c r="AC1497"/>
      <c r="AD1497"/>
      <c r="AE1497"/>
      <c r="AI1497" s="960"/>
      <c r="AM1497"/>
    </row>
    <row r="1498" spans="3:39" x14ac:dyDescent="0.2">
      <c r="C1498"/>
      <c r="D1498"/>
      <c r="E1498"/>
      <c r="F1498"/>
      <c r="G1498"/>
      <c r="H1498"/>
      <c r="I1498" s="532"/>
      <c r="V1498"/>
      <c r="W1498"/>
      <c r="Z1498"/>
      <c r="AA1498"/>
      <c r="AC1498"/>
      <c r="AD1498"/>
      <c r="AE1498"/>
      <c r="AI1498" s="960"/>
      <c r="AM1498"/>
    </row>
    <row r="1499" spans="3:39" x14ac:dyDescent="0.2">
      <c r="C1499"/>
      <c r="D1499"/>
      <c r="E1499"/>
      <c r="F1499"/>
      <c r="G1499"/>
      <c r="H1499"/>
      <c r="I1499" s="532"/>
      <c r="V1499"/>
      <c r="W1499"/>
      <c r="Z1499"/>
      <c r="AA1499"/>
      <c r="AC1499"/>
      <c r="AD1499"/>
      <c r="AE1499"/>
      <c r="AI1499" s="960"/>
      <c r="AM1499"/>
    </row>
    <row r="1500" spans="3:39" x14ac:dyDescent="0.2">
      <c r="C1500"/>
      <c r="D1500"/>
      <c r="E1500"/>
      <c r="F1500"/>
      <c r="G1500"/>
      <c r="H1500"/>
      <c r="I1500" s="532"/>
      <c r="V1500"/>
      <c r="W1500"/>
      <c r="Z1500"/>
      <c r="AA1500"/>
      <c r="AC1500"/>
      <c r="AD1500"/>
      <c r="AE1500"/>
      <c r="AI1500" s="960"/>
      <c r="AM1500"/>
    </row>
    <row r="1501" spans="3:39" x14ac:dyDescent="0.2">
      <c r="C1501"/>
      <c r="D1501"/>
      <c r="E1501"/>
      <c r="F1501"/>
      <c r="G1501"/>
      <c r="H1501"/>
      <c r="I1501" s="532"/>
      <c r="V1501"/>
      <c r="W1501"/>
      <c r="Z1501"/>
      <c r="AA1501"/>
      <c r="AC1501"/>
      <c r="AD1501"/>
      <c r="AE1501"/>
      <c r="AI1501" s="960"/>
      <c r="AM1501"/>
    </row>
    <row r="1502" spans="3:39" x14ac:dyDescent="0.2">
      <c r="C1502"/>
      <c r="D1502"/>
      <c r="E1502"/>
      <c r="F1502"/>
      <c r="G1502"/>
      <c r="H1502"/>
      <c r="I1502" s="532"/>
      <c r="V1502"/>
      <c r="W1502"/>
      <c r="Z1502"/>
      <c r="AA1502"/>
      <c r="AC1502"/>
      <c r="AD1502"/>
      <c r="AE1502"/>
      <c r="AI1502" s="960"/>
      <c r="AM1502"/>
    </row>
    <row r="1503" spans="3:39" x14ac:dyDescent="0.2">
      <c r="C1503"/>
      <c r="D1503"/>
      <c r="E1503"/>
      <c r="F1503"/>
      <c r="G1503"/>
      <c r="H1503"/>
      <c r="I1503" s="532"/>
      <c r="V1503"/>
      <c r="W1503"/>
      <c r="Z1503"/>
      <c r="AA1503"/>
      <c r="AC1503"/>
      <c r="AD1503"/>
      <c r="AE1503"/>
      <c r="AI1503" s="960"/>
      <c r="AM1503"/>
    </row>
    <row r="1504" spans="3:39" x14ac:dyDescent="0.2">
      <c r="C1504"/>
      <c r="D1504"/>
      <c r="E1504"/>
      <c r="F1504"/>
      <c r="G1504"/>
      <c r="H1504"/>
      <c r="I1504" s="532"/>
      <c r="V1504"/>
      <c r="W1504"/>
      <c r="Z1504"/>
      <c r="AA1504"/>
      <c r="AC1504"/>
      <c r="AD1504"/>
      <c r="AE1504"/>
      <c r="AI1504" s="960"/>
      <c r="AM1504"/>
    </row>
    <row r="1505" spans="3:39" x14ac:dyDescent="0.2">
      <c r="C1505"/>
      <c r="D1505"/>
      <c r="E1505"/>
      <c r="F1505"/>
      <c r="G1505"/>
      <c r="H1505"/>
      <c r="I1505" s="532"/>
      <c r="V1505"/>
      <c r="W1505"/>
      <c r="Z1505"/>
      <c r="AA1505"/>
      <c r="AC1505"/>
      <c r="AD1505"/>
      <c r="AE1505"/>
      <c r="AI1505" s="960"/>
      <c r="AM1505"/>
    </row>
    <row r="1506" spans="3:39" x14ac:dyDescent="0.2">
      <c r="C1506"/>
      <c r="D1506"/>
      <c r="E1506"/>
      <c r="F1506"/>
      <c r="G1506"/>
      <c r="H1506"/>
      <c r="I1506" s="532"/>
      <c r="V1506"/>
      <c r="W1506"/>
      <c r="Z1506"/>
      <c r="AA1506"/>
      <c r="AC1506"/>
      <c r="AD1506"/>
      <c r="AE1506"/>
      <c r="AI1506" s="960"/>
      <c r="AM1506"/>
    </row>
    <row r="1507" spans="3:39" x14ac:dyDescent="0.2">
      <c r="C1507"/>
      <c r="D1507"/>
      <c r="E1507"/>
      <c r="F1507"/>
      <c r="G1507"/>
      <c r="H1507"/>
      <c r="I1507" s="532"/>
      <c r="V1507"/>
      <c r="W1507"/>
      <c r="Z1507"/>
      <c r="AA1507"/>
      <c r="AC1507"/>
      <c r="AD1507"/>
      <c r="AE1507"/>
      <c r="AI1507" s="960"/>
      <c r="AM1507"/>
    </row>
    <row r="1508" spans="3:39" x14ac:dyDescent="0.2">
      <c r="C1508"/>
      <c r="D1508"/>
      <c r="E1508"/>
      <c r="F1508"/>
      <c r="G1508"/>
      <c r="H1508"/>
      <c r="I1508" s="532"/>
      <c r="V1508"/>
      <c r="W1508"/>
      <c r="Z1508"/>
      <c r="AA1508"/>
      <c r="AC1508"/>
      <c r="AD1508"/>
      <c r="AE1508"/>
      <c r="AI1508" s="960"/>
      <c r="AM1508"/>
    </row>
    <row r="1509" spans="3:39" x14ac:dyDescent="0.2">
      <c r="C1509"/>
      <c r="D1509"/>
      <c r="E1509"/>
      <c r="F1509"/>
      <c r="G1509"/>
      <c r="H1509"/>
      <c r="I1509" s="532"/>
      <c r="V1509"/>
      <c r="W1509"/>
      <c r="Z1509"/>
      <c r="AA1509"/>
      <c r="AC1509"/>
      <c r="AD1509"/>
      <c r="AE1509"/>
      <c r="AI1509" s="960"/>
      <c r="AM1509"/>
    </row>
    <row r="1510" spans="3:39" x14ac:dyDescent="0.2">
      <c r="C1510"/>
      <c r="D1510"/>
      <c r="E1510"/>
      <c r="F1510"/>
      <c r="G1510"/>
      <c r="H1510"/>
      <c r="I1510" s="532"/>
      <c r="V1510"/>
      <c r="W1510"/>
      <c r="Z1510"/>
      <c r="AA1510"/>
      <c r="AC1510"/>
      <c r="AD1510"/>
      <c r="AE1510"/>
      <c r="AI1510" s="960"/>
      <c r="AM1510"/>
    </row>
    <row r="1511" spans="3:39" x14ac:dyDescent="0.2">
      <c r="C1511"/>
      <c r="D1511"/>
      <c r="E1511"/>
      <c r="F1511"/>
      <c r="G1511"/>
      <c r="H1511"/>
      <c r="I1511" s="532"/>
      <c r="V1511"/>
      <c r="W1511"/>
      <c r="Z1511"/>
      <c r="AA1511"/>
      <c r="AC1511"/>
      <c r="AD1511"/>
      <c r="AE1511"/>
      <c r="AI1511" s="960"/>
      <c r="AM1511"/>
    </row>
    <row r="1512" spans="3:39" x14ac:dyDescent="0.2">
      <c r="C1512"/>
      <c r="D1512"/>
      <c r="E1512"/>
      <c r="F1512"/>
      <c r="G1512"/>
      <c r="H1512"/>
      <c r="I1512" s="532"/>
      <c r="V1512"/>
      <c r="W1512"/>
      <c r="Z1512"/>
      <c r="AA1512"/>
      <c r="AC1512"/>
      <c r="AD1512"/>
      <c r="AE1512"/>
      <c r="AI1512" s="960"/>
      <c r="AM1512"/>
    </row>
    <row r="1513" spans="3:39" x14ac:dyDescent="0.2">
      <c r="C1513"/>
      <c r="D1513"/>
      <c r="E1513"/>
      <c r="F1513"/>
      <c r="G1513"/>
      <c r="H1513"/>
      <c r="I1513" s="532"/>
      <c r="V1513"/>
      <c r="W1513"/>
      <c r="Z1513"/>
      <c r="AA1513"/>
      <c r="AC1513"/>
      <c r="AD1513"/>
      <c r="AE1513"/>
      <c r="AI1513" s="960"/>
      <c r="AM1513"/>
    </row>
    <row r="1514" spans="3:39" x14ac:dyDescent="0.2">
      <c r="C1514"/>
      <c r="D1514"/>
      <c r="E1514"/>
      <c r="F1514"/>
      <c r="G1514"/>
      <c r="H1514"/>
      <c r="I1514" s="532"/>
      <c r="V1514"/>
      <c r="W1514"/>
      <c r="Z1514"/>
      <c r="AA1514"/>
      <c r="AC1514"/>
      <c r="AD1514"/>
      <c r="AE1514"/>
      <c r="AI1514" s="960"/>
      <c r="AM1514"/>
    </row>
    <row r="1515" spans="3:39" x14ac:dyDescent="0.2">
      <c r="C1515"/>
      <c r="D1515"/>
      <c r="E1515"/>
      <c r="F1515"/>
      <c r="G1515"/>
      <c r="H1515"/>
      <c r="I1515" s="532"/>
      <c r="V1515"/>
      <c r="W1515"/>
      <c r="Z1515"/>
      <c r="AA1515"/>
      <c r="AC1515"/>
      <c r="AD1515"/>
      <c r="AE1515"/>
      <c r="AI1515" s="960"/>
      <c r="AM1515"/>
    </row>
    <row r="1516" spans="3:39" x14ac:dyDescent="0.2">
      <c r="C1516"/>
      <c r="D1516"/>
      <c r="E1516"/>
      <c r="F1516"/>
      <c r="G1516"/>
      <c r="H1516"/>
      <c r="I1516" s="532"/>
      <c r="V1516"/>
      <c r="W1516"/>
      <c r="Z1516"/>
      <c r="AA1516"/>
      <c r="AC1516"/>
      <c r="AD1516"/>
      <c r="AE1516"/>
      <c r="AI1516" s="960"/>
      <c r="AM1516"/>
    </row>
    <row r="1517" spans="3:39" x14ac:dyDescent="0.2">
      <c r="C1517"/>
      <c r="D1517"/>
      <c r="E1517"/>
      <c r="F1517"/>
      <c r="G1517"/>
      <c r="H1517"/>
      <c r="I1517" s="532"/>
      <c r="V1517"/>
      <c r="W1517"/>
      <c r="Z1517"/>
      <c r="AA1517"/>
      <c r="AC1517"/>
      <c r="AD1517"/>
      <c r="AE1517"/>
      <c r="AI1517" s="960"/>
      <c r="AM1517"/>
    </row>
    <row r="1518" spans="3:39" x14ac:dyDescent="0.2">
      <c r="C1518"/>
      <c r="D1518"/>
      <c r="E1518"/>
      <c r="F1518"/>
      <c r="G1518"/>
      <c r="H1518"/>
      <c r="I1518" s="532"/>
      <c r="V1518"/>
      <c r="W1518"/>
      <c r="Z1518"/>
      <c r="AA1518"/>
      <c r="AC1518"/>
      <c r="AD1518"/>
      <c r="AE1518"/>
      <c r="AI1518" s="960"/>
      <c r="AM1518"/>
    </row>
    <row r="1519" spans="3:39" x14ac:dyDescent="0.2">
      <c r="C1519"/>
      <c r="D1519"/>
      <c r="E1519"/>
      <c r="F1519"/>
      <c r="G1519"/>
      <c r="H1519"/>
      <c r="I1519" s="532"/>
      <c r="V1519"/>
      <c r="W1519"/>
      <c r="Z1519"/>
      <c r="AA1519"/>
      <c r="AC1519"/>
      <c r="AD1519"/>
      <c r="AE1519"/>
      <c r="AI1519" s="960"/>
      <c r="AM1519"/>
    </row>
    <row r="1520" spans="3:39" x14ac:dyDescent="0.2">
      <c r="C1520"/>
      <c r="D1520"/>
      <c r="E1520"/>
      <c r="F1520"/>
      <c r="G1520"/>
      <c r="H1520"/>
      <c r="I1520" s="532"/>
      <c r="V1520"/>
      <c r="W1520"/>
      <c r="Z1520"/>
      <c r="AA1520"/>
      <c r="AC1520"/>
      <c r="AD1520"/>
      <c r="AE1520"/>
      <c r="AI1520" s="960"/>
      <c r="AM1520"/>
    </row>
    <row r="1521" spans="3:39" x14ac:dyDescent="0.2">
      <c r="C1521"/>
      <c r="D1521"/>
      <c r="E1521"/>
      <c r="F1521"/>
      <c r="G1521"/>
      <c r="H1521"/>
      <c r="I1521" s="532"/>
      <c r="V1521"/>
      <c r="W1521"/>
      <c r="Z1521"/>
      <c r="AA1521"/>
      <c r="AC1521"/>
      <c r="AD1521"/>
      <c r="AE1521"/>
      <c r="AI1521" s="960"/>
      <c r="AM1521"/>
    </row>
    <row r="1522" spans="3:39" x14ac:dyDescent="0.2">
      <c r="C1522"/>
      <c r="D1522"/>
      <c r="E1522"/>
      <c r="F1522"/>
      <c r="G1522"/>
      <c r="H1522"/>
      <c r="I1522" s="532"/>
      <c r="V1522"/>
      <c r="W1522"/>
      <c r="Z1522"/>
      <c r="AA1522"/>
      <c r="AC1522"/>
      <c r="AD1522"/>
      <c r="AE1522"/>
      <c r="AI1522" s="960"/>
      <c r="AM1522"/>
    </row>
    <row r="1523" spans="3:39" x14ac:dyDescent="0.2">
      <c r="C1523"/>
      <c r="D1523"/>
      <c r="E1523"/>
      <c r="F1523"/>
      <c r="G1523"/>
      <c r="H1523"/>
      <c r="I1523" s="532"/>
      <c r="V1523"/>
      <c r="W1523"/>
      <c r="Z1523"/>
      <c r="AA1523"/>
      <c r="AC1523"/>
      <c r="AD1523"/>
      <c r="AE1523"/>
      <c r="AI1523" s="960"/>
      <c r="AM1523"/>
    </row>
    <row r="1524" spans="3:39" x14ac:dyDescent="0.2">
      <c r="C1524"/>
      <c r="D1524"/>
      <c r="E1524"/>
      <c r="F1524"/>
      <c r="G1524"/>
      <c r="H1524"/>
      <c r="I1524" s="532"/>
      <c r="V1524"/>
      <c r="W1524"/>
      <c r="Z1524"/>
      <c r="AA1524"/>
      <c r="AC1524"/>
      <c r="AD1524"/>
      <c r="AE1524"/>
      <c r="AI1524" s="960"/>
      <c r="AM1524"/>
    </row>
    <row r="1525" spans="3:39" x14ac:dyDescent="0.2">
      <c r="C1525"/>
      <c r="D1525"/>
      <c r="E1525"/>
      <c r="F1525"/>
      <c r="G1525"/>
      <c r="H1525"/>
      <c r="I1525" s="532"/>
      <c r="V1525"/>
      <c r="W1525"/>
      <c r="Z1525"/>
      <c r="AA1525"/>
      <c r="AC1525"/>
      <c r="AD1525"/>
      <c r="AE1525"/>
      <c r="AI1525" s="960"/>
      <c r="AM1525"/>
    </row>
    <row r="1526" spans="3:39" x14ac:dyDescent="0.2">
      <c r="C1526"/>
      <c r="D1526"/>
      <c r="E1526"/>
      <c r="F1526"/>
      <c r="G1526"/>
      <c r="H1526"/>
      <c r="I1526" s="532"/>
      <c r="V1526"/>
      <c r="W1526"/>
      <c r="Z1526"/>
      <c r="AA1526"/>
      <c r="AC1526"/>
      <c r="AD1526"/>
      <c r="AE1526"/>
      <c r="AI1526" s="960"/>
      <c r="AM1526"/>
    </row>
    <row r="1527" spans="3:39" x14ac:dyDescent="0.2">
      <c r="C1527"/>
      <c r="D1527"/>
      <c r="E1527"/>
      <c r="F1527"/>
      <c r="G1527"/>
      <c r="H1527"/>
      <c r="I1527" s="532"/>
      <c r="V1527"/>
      <c r="W1527"/>
      <c r="Z1527"/>
      <c r="AA1527"/>
      <c r="AC1527"/>
      <c r="AD1527"/>
      <c r="AE1527"/>
      <c r="AI1527" s="960"/>
      <c r="AM1527"/>
    </row>
    <row r="1528" spans="3:39" x14ac:dyDescent="0.2">
      <c r="C1528"/>
      <c r="D1528"/>
      <c r="E1528"/>
      <c r="F1528"/>
      <c r="G1528"/>
      <c r="H1528"/>
      <c r="I1528" s="532"/>
      <c r="V1528"/>
      <c r="W1528"/>
      <c r="Z1528"/>
      <c r="AA1528"/>
      <c r="AC1528"/>
      <c r="AD1528"/>
      <c r="AE1528"/>
      <c r="AI1528" s="960"/>
      <c r="AM1528"/>
    </row>
    <row r="1529" spans="3:39" x14ac:dyDescent="0.2">
      <c r="C1529"/>
      <c r="D1529"/>
      <c r="E1529"/>
      <c r="F1529"/>
      <c r="G1529"/>
      <c r="H1529"/>
      <c r="I1529" s="532"/>
      <c r="V1529"/>
      <c r="W1529"/>
      <c r="Z1529"/>
      <c r="AA1529"/>
      <c r="AC1529"/>
      <c r="AD1529"/>
      <c r="AE1529"/>
      <c r="AI1529" s="960"/>
      <c r="AM1529"/>
    </row>
    <row r="1530" spans="3:39" x14ac:dyDescent="0.2">
      <c r="C1530"/>
      <c r="D1530"/>
      <c r="E1530"/>
      <c r="F1530"/>
      <c r="G1530"/>
      <c r="H1530"/>
      <c r="I1530" s="532"/>
      <c r="V1530"/>
      <c r="W1530"/>
      <c r="Z1530"/>
      <c r="AA1530"/>
      <c r="AC1530"/>
      <c r="AD1530"/>
      <c r="AE1530"/>
      <c r="AI1530" s="960"/>
      <c r="AM1530"/>
    </row>
    <row r="1531" spans="3:39" x14ac:dyDescent="0.2">
      <c r="C1531"/>
      <c r="D1531"/>
      <c r="E1531"/>
      <c r="F1531"/>
      <c r="G1531"/>
      <c r="H1531"/>
      <c r="I1531" s="532"/>
      <c r="V1531"/>
      <c r="W1531"/>
      <c r="Z1531"/>
      <c r="AA1531"/>
      <c r="AC1531"/>
      <c r="AD1531"/>
      <c r="AE1531"/>
      <c r="AI1531" s="960"/>
      <c r="AM1531"/>
    </row>
    <row r="1532" spans="3:39" x14ac:dyDescent="0.2">
      <c r="C1532"/>
      <c r="D1532"/>
      <c r="E1532"/>
      <c r="F1532"/>
      <c r="G1532"/>
      <c r="H1532"/>
      <c r="I1532" s="532"/>
      <c r="V1532"/>
      <c r="W1532"/>
      <c r="Z1532"/>
      <c r="AA1532"/>
      <c r="AC1532"/>
      <c r="AD1532"/>
      <c r="AE1532"/>
      <c r="AI1532" s="960"/>
      <c r="AM1532"/>
    </row>
    <row r="1533" spans="3:39" x14ac:dyDescent="0.2">
      <c r="C1533"/>
      <c r="D1533"/>
      <c r="E1533"/>
      <c r="F1533"/>
      <c r="G1533"/>
      <c r="H1533"/>
      <c r="I1533" s="532"/>
      <c r="V1533"/>
      <c r="W1533"/>
      <c r="Z1533"/>
      <c r="AA1533"/>
      <c r="AC1533"/>
      <c r="AD1533"/>
      <c r="AE1533"/>
      <c r="AI1533" s="960"/>
      <c r="AM1533"/>
    </row>
    <row r="1534" spans="3:39" x14ac:dyDescent="0.2">
      <c r="C1534"/>
      <c r="D1534"/>
      <c r="E1534"/>
      <c r="F1534"/>
      <c r="G1534"/>
      <c r="H1534"/>
      <c r="I1534" s="532"/>
      <c r="V1534"/>
      <c r="W1534"/>
      <c r="Z1534"/>
      <c r="AA1534"/>
      <c r="AC1534"/>
      <c r="AD1534"/>
      <c r="AE1534"/>
      <c r="AI1534" s="960"/>
      <c r="AM1534"/>
    </row>
    <row r="1535" spans="3:39" x14ac:dyDescent="0.2">
      <c r="C1535"/>
      <c r="D1535"/>
      <c r="E1535"/>
      <c r="F1535"/>
      <c r="G1535"/>
      <c r="H1535"/>
      <c r="I1535" s="532"/>
      <c r="V1535"/>
      <c r="W1535"/>
      <c r="Z1535"/>
      <c r="AA1535"/>
      <c r="AC1535"/>
      <c r="AD1535"/>
      <c r="AE1535"/>
      <c r="AI1535" s="960"/>
      <c r="AM1535"/>
    </row>
    <row r="1536" spans="3:39" x14ac:dyDescent="0.2">
      <c r="C1536"/>
      <c r="D1536"/>
      <c r="E1536"/>
      <c r="F1536"/>
      <c r="G1536"/>
      <c r="H1536"/>
      <c r="I1536" s="532"/>
      <c r="V1536"/>
      <c r="W1536"/>
      <c r="Z1536"/>
      <c r="AA1536"/>
      <c r="AC1536"/>
      <c r="AD1536"/>
      <c r="AE1536"/>
      <c r="AI1536" s="960"/>
      <c r="AM1536"/>
    </row>
    <row r="1537" spans="3:39" x14ac:dyDescent="0.2">
      <c r="C1537"/>
      <c r="D1537"/>
      <c r="E1537"/>
      <c r="F1537"/>
      <c r="G1537"/>
      <c r="H1537"/>
      <c r="I1537" s="532"/>
      <c r="V1537"/>
      <c r="W1537"/>
      <c r="Z1537"/>
      <c r="AA1537"/>
      <c r="AC1537"/>
      <c r="AD1537"/>
      <c r="AE1537"/>
      <c r="AI1537" s="960"/>
      <c r="AM1537"/>
    </row>
    <row r="1538" spans="3:39" x14ac:dyDescent="0.2">
      <c r="C1538"/>
      <c r="D1538"/>
      <c r="E1538"/>
      <c r="F1538"/>
      <c r="G1538"/>
      <c r="H1538"/>
      <c r="I1538" s="532"/>
      <c r="V1538"/>
      <c r="W1538"/>
      <c r="Z1538"/>
      <c r="AA1538"/>
      <c r="AC1538"/>
      <c r="AD1538"/>
      <c r="AE1538"/>
      <c r="AI1538" s="960"/>
      <c r="AM1538"/>
    </row>
    <row r="1539" spans="3:39" x14ac:dyDescent="0.2">
      <c r="C1539"/>
      <c r="D1539"/>
      <c r="E1539"/>
      <c r="F1539"/>
      <c r="G1539"/>
      <c r="H1539"/>
      <c r="I1539" s="532"/>
      <c r="V1539"/>
      <c r="W1539"/>
      <c r="Z1539"/>
      <c r="AA1539"/>
      <c r="AC1539"/>
      <c r="AD1539"/>
      <c r="AE1539"/>
      <c r="AI1539" s="960"/>
      <c r="AM1539"/>
    </row>
    <row r="1540" spans="3:39" x14ac:dyDescent="0.2">
      <c r="C1540"/>
      <c r="D1540"/>
      <c r="E1540"/>
      <c r="F1540"/>
      <c r="G1540"/>
      <c r="H1540"/>
      <c r="I1540" s="532"/>
      <c r="V1540"/>
      <c r="W1540"/>
      <c r="Z1540"/>
      <c r="AA1540"/>
      <c r="AC1540"/>
      <c r="AD1540"/>
      <c r="AE1540"/>
      <c r="AI1540" s="960"/>
      <c r="AM1540"/>
    </row>
    <row r="1541" spans="3:39" x14ac:dyDescent="0.2">
      <c r="C1541"/>
      <c r="D1541"/>
      <c r="E1541"/>
      <c r="F1541"/>
      <c r="G1541"/>
      <c r="H1541"/>
      <c r="I1541" s="532"/>
      <c r="V1541"/>
      <c r="W1541"/>
      <c r="Z1541"/>
      <c r="AA1541"/>
      <c r="AC1541"/>
      <c r="AD1541"/>
      <c r="AE1541"/>
      <c r="AI1541" s="960"/>
      <c r="AM1541"/>
    </row>
    <row r="1542" spans="3:39" x14ac:dyDescent="0.2">
      <c r="C1542"/>
      <c r="D1542"/>
      <c r="E1542"/>
      <c r="F1542"/>
      <c r="G1542"/>
      <c r="H1542"/>
      <c r="I1542" s="532"/>
      <c r="V1542"/>
      <c r="W1542"/>
      <c r="Z1542"/>
      <c r="AA1542"/>
      <c r="AC1542"/>
      <c r="AD1542"/>
      <c r="AE1542"/>
      <c r="AI1542" s="960"/>
      <c r="AM1542"/>
    </row>
    <row r="1543" spans="3:39" x14ac:dyDescent="0.2">
      <c r="C1543"/>
      <c r="D1543"/>
      <c r="E1543"/>
      <c r="F1543"/>
      <c r="G1543"/>
      <c r="H1543"/>
      <c r="I1543" s="532"/>
      <c r="V1543"/>
      <c r="W1543"/>
      <c r="Z1543"/>
      <c r="AA1543"/>
      <c r="AC1543"/>
      <c r="AD1543"/>
      <c r="AE1543"/>
      <c r="AI1543" s="960"/>
      <c r="AM1543"/>
    </row>
    <row r="1544" spans="3:39" x14ac:dyDescent="0.2">
      <c r="C1544"/>
      <c r="D1544"/>
      <c r="E1544"/>
      <c r="F1544"/>
      <c r="G1544"/>
      <c r="H1544"/>
      <c r="I1544" s="532"/>
      <c r="V1544"/>
      <c r="W1544"/>
      <c r="Z1544"/>
      <c r="AA1544"/>
      <c r="AC1544"/>
      <c r="AD1544"/>
      <c r="AE1544"/>
      <c r="AI1544" s="960"/>
      <c r="AM1544"/>
    </row>
    <row r="1545" spans="3:39" x14ac:dyDescent="0.2">
      <c r="C1545"/>
      <c r="D1545"/>
      <c r="E1545"/>
      <c r="F1545"/>
      <c r="G1545"/>
      <c r="H1545"/>
      <c r="I1545" s="532"/>
      <c r="V1545"/>
      <c r="W1545"/>
      <c r="Z1545"/>
      <c r="AA1545"/>
      <c r="AC1545"/>
      <c r="AD1545"/>
      <c r="AE1545"/>
      <c r="AI1545" s="960"/>
      <c r="AM1545"/>
    </row>
    <row r="1546" spans="3:39" x14ac:dyDescent="0.2">
      <c r="C1546"/>
      <c r="D1546"/>
      <c r="E1546"/>
      <c r="F1546"/>
      <c r="G1546"/>
      <c r="H1546"/>
      <c r="I1546" s="532"/>
      <c r="V1546"/>
      <c r="W1546"/>
      <c r="Z1546"/>
      <c r="AA1546"/>
      <c r="AC1546"/>
      <c r="AD1546"/>
      <c r="AE1546"/>
      <c r="AI1546" s="960"/>
      <c r="AM1546"/>
    </row>
    <row r="1547" spans="3:39" x14ac:dyDescent="0.2">
      <c r="C1547"/>
      <c r="D1547"/>
      <c r="E1547"/>
      <c r="F1547"/>
      <c r="G1547"/>
      <c r="H1547"/>
      <c r="I1547" s="532"/>
      <c r="V1547"/>
      <c r="W1547"/>
      <c r="Z1547"/>
      <c r="AA1547"/>
      <c r="AC1547"/>
      <c r="AD1547"/>
      <c r="AE1547"/>
      <c r="AI1547" s="960"/>
      <c r="AM1547"/>
    </row>
    <row r="1548" spans="3:39" x14ac:dyDescent="0.2">
      <c r="C1548"/>
      <c r="D1548"/>
      <c r="E1548"/>
      <c r="F1548"/>
      <c r="G1548"/>
      <c r="H1548"/>
      <c r="I1548" s="532"/>
      <c r="V1548"/>
      <c r="W1548"/>
      <c r="Z1548"/>
      <c r="AA1548"/>
      <c r="AC1548"/>
      <c r="AD1548"/>
      <c r="AE1548"/>
      <c r="AI1548" s="960"/>
      <c r="AM1548"/>
    </row>
    <row r="1549" spans="3:39" x14ac:dyDescent="0.2">
      <c r="C1549"/>
      <c r="D1549"/>
      <c r="E1549"/>
      <c r="F1549"/>
      <c r="G1549"/>
      <c r="H1549"/>
      <c r="I1549" s="532"/>
      <c r="V1549"/>
      <c r="W1549"/>
      <c r="Z1549"/>
      <c r="AA1549"/>
      <c r="AC1549"/>
      <c r="AD1549"/>
      <c r="AE1549"/>
      <c r="AI1549" s="960"/>
      <c r="AM1549"/>
    </row>
    <row r="1550" spans="3:39" x14ac:dyDescent="0.2">
      <c r="C1550"/>
      <c r="D1550"/>
      <c r="E1550"/>
      <c r="F1550"/>
      <c r="G1550"/>
      <c r="H1550"/>
      <c r="I1550" s="532"/>
      <c r="V1550"/>
      <c r="W1550"/>
      <c r="Z1550"/>
      <c r="AA1550"/>
      <c r="AC1550"/>
      <c r="AD1550"/>
      <c r="AE1550"/>
      <c r="AI1550" s="960"/>
      <c r="AM1550"/>
    </row>
    <row r="1551" spans="3:39" x14ac:dyDescent="0.2">
      <c r="C1551"/>
      <c r="D1551"/>
      <c r="E1551"/>
      <c r="F1551"/>
      <c r="G1551"/>
      <c r="H1551"/>
      <c r="I1551" s="532"/>
      <c r="V1551"/>
      <c r="W1551"/>
      <c r="Z1551"/>
      <c r="AA1551"/>
      <c r="AC1551"/>
      <c r="AD1551"/>
      <c r="AE1551"/>
      <c r="AI1551" s="960"/>
      <c r="AM1551"/>
    </row>
    <row r="1552" spans="3:39" x14ac:dyDescent="0.2">
      <c r="C1552"/>
      <c r="D1552"/>
      <c r="E1552"/>
      <c r="F1552"/>
      <c r="G1552"/>
      <c r="H1552"/>
      <c r="I1552" s="532"/>
      <c r="V1552"/>
      <c r="W1552"/>
      <c r="Z1552"/>
      <c r="AA1552"/>
      <c r="AC1552"/>
      <c r="AD1552"/>
      <c r="AE1552"/>
      <c r="AI1552" s="960"/>
      <c r="AM1552"/>
    </row>
    <row r="1553" spans="3:39" x14ac:dyDescent="0.2">
      <c r="C1553"/>
      <c r="D1553"/>
      <c r="E1553"/>
      <c r="F1553"/>
      <c r="G1553"/>
      <c r="H1553"/>
      <c r="I1553" s="532"/>
      <c r="V1553"/>
      <c r="W1553"/>
      <c r="Z1553"/>
      <c r="AA1553"/>
      <c r="AC1553"/>
      <c r="AD1553"/>
      <c r="AE1553"/>
      <c r="AI1553" s="960"/>
      <c r="AM1553"/>
    </row>
    <row r="1554" spans="3:39" x14ac:dyDescent="0.2">
      <c r="C1554"/>
      <c r="D1554"/>
      <c r="E1554"/>
      <c r="F1554"/>
      <c r="G1554"/>
      <c r="H1554"/>
      <c r="I1554" s="532"/>
      <c r="V1554"/>
      <c r="W1554"/>
      <c r="Z1554"/>
      <c r="AA1554"/>
      <c r="AC1554"/>
      <c r="AD1554"/>
      <c r="AE1554"/>
      <c r="AI1554" s="960"/>
      <c r="AM1554"/>
    </row>
    <row r="1555" spans="3:39" x14ac:dyDescent="0.2">
      <c r="C1555"/>
      <c r="D1555"/>
      <c r="E1555"/>
      <c r="F1555"/>
      <c r="G1555"/>
      <c r="H1555"/>
      <c r="I1555" s="532"/>
      <c r="V1555"/>
      <c r="W1555"/>
      <c r="Z1555"/>
      <c r="AA1555"/>
      <c r="AC1555"/>
      <c r="AD1555"/>
      <c r="AE1555"/>
      <c r="AI1555" s="960"/>
      <c r="AM1555"/>
    </row>
    <row r="1556" spans="3:39" x14ac:dyDescent="0.2">
      <c r="C1556"/>
      <c r="D1556"/>
      <c r="E1556"/>
      <c r="F1556"/>
      <c r="G1556"/>
      <c r="H1556"/>
      <c r="I1556" s="532"/>
      <c r="V1556"/>
      <c r="W1556"/>
      <c r="Z1556"/>
      <c r="AA1556"/>
      <c r="AC1556"/>
      <c r="AD1556"/>
      <c r="AE1556"/>
      <c r="AI1556" s="960"/>
      <c r="AM1556"/>
    </row>
    <row r="1557" spans="3:39" x14ac:dyDescent="0.2">
      <c r="C1557"/>
      <c r="D1557"/>
      <c r="E1557"/>
      <c r="F1557"/>
      <c r="G1557"/>
      <c r="H1557"/>
      <c r="I1557" s="532"/>
      <c r="V1557"/>
      <c r="W1557"/>
      <c r="Z1557"/>
      <c r="AA1557"/>
      <c r="AC1557"/>
      <c r="AD1557"/>
      <c r="AE1557"/>
      <c r="AI1557" s="960"/>
      <c r="AM1557"/>
    </row>
    <row r="1558" spans="3:39" x14ac:dyDescent="0.2">
      <c r="C1558"/>
      <c r="D1558"/>
      <c r="E1558"/>
      <c r="F1558"/>
      <c r="G1558"/>
      <c r="H1558"/>
      <c r="I1558" s="532"/>
      <c r="V1558"/>
      <c r="W1558"/>
      <c r="Z1558"/>
      <c r="AA1558"/>
      <c r="AC1558"/>
      <c r="AD1558"/>
      <c r="AE1558"/>
      <c r="AI1558" s="960"/>
      <c r="AM1558"/>
    </row>
    <row r="1559" spans="3:39" x14ac:dyDescent="0.2">
      <c r="C1559"/>
      <c r="D1559"/>
      <c r="E1559"/>
      <c r="F1559"/>
      <c r="G1559"/>
      <c r="H1559"/>
      <c r="I1559" s="532"/>
      <c r="V1559"/>
      <c r="W1559"/>
      <c r="Z1559"/>
      <c r="AA1559"/>
      <c r="AC1559"/>
      <c r="AD1559"/>
      <c r="AE1559"/>
      <c r="AI1559" s="960"/>
      <c r="AM1559"/>
    </row>
    <row r="1560" spans="3:39" x14ac:dyDescent="0.2">
      <c r="C1560"/>
      <c r="D1560"/>
      <c r="E1560"/>
      <c r="F1560"/>
      <c r="G1560"/>
      <c r="H1560"/>
      <c r="I1560" s="532"/>
      <c r="V1560"/>
      <c r="W1560"/>
      <c r="Z1560"/>
      <c r="AA1560"/>
      <c r="AC1560"/>
      <c r="AD1560"/>
      <c r="AE1560"/>
      <c r="AI1560" s="960"/>
      <c r="AM1560"/>
    </row>
    <row r="1561" spans="3:39" x14ac:dyDescent="0.2">
      <c r="C1561"/>
      <c r="D1561"/>
      <c r="E1561"/>
      <c r="F1561"/>
      <c r="G1561"/>
      <c r="H1561"/>
      <c r="I1561" s="532"/>
      <c r="V1561"/>
      <c r="W1561"/>
      <c r="Z1561"/>
      <c r="AA1561"/>
      <c r="AC1561"/>
      <c r="AD1561"/>
      <c r="AE1561"/>
      <c r="AI1561" s="960"/>
      <c r="AM1561"/>
    </row>
    <row r="1562" spans="3:39" x14ac:dyDescent="0.2">
      <c r="C1562"/>
      <c r="D1562"/>
      <c r="E1562"/>
      <c r="F1562"/>
      <c r="G1562"/>
      <c r="H1562"/>
      <c r="I1562" s="532"/>
      <c r="V1562"/>
      <c r="W1562"/>
      <c r="Z1562"/>
      <c r="AA1562"/>
      <c r="AC1562"/>
      <c r="AD1562"/>
      <c r="AE1562"/>
      <c r="AI1562" s="960"/>
      <c r="AM1562"/>
    </row>
    <row r="1563" spans="3:39" x14ac:dyDescent="0.2">
      <c r="C1563"/>
      <c r="D1563"/>
      <c r="E1563"/>
      <c r="F1563"/>
      <c r="G1563"/>
      <c r="H1563"/>
      <c r="I1563" s="532"/>
      <c r="V1563"/>
      <c r="W1563"/>
      <c r="Z1563"/>
      <c r="AA1563"/>
      <c r="AC1563"/>
      <c r="AD1563"/>
      <c r="AE1563"/>
      <c r="AI1563" s="960"/>
      <c r="AM1563"/>
    </row>
    <row r="1564" spans="3:39" x14ac:dyDescent="0.2">
      <c r="C1564"/>
      <c r="D1564"/>
      <c r="E1564"/>
      <c r="F1564"/>
      <c r="G1564"/>
      <c r="H1564"/>
      <c r="I1564" s="532"/>
      <c r="V1564"/>
      <c r="W1564"/>
      <c r="Z1564"/>
      <c r="AA1564"/>
      <c r="AC1564"/>
      <c r="AD1564"/>
      <c r="AE1564"/>
      <c r="AI1564" s="960"/>
      <c r="AM1564"/>
    </row>
    <row r="1565" spans="3:39" x14ac:dyDescent="0.2">
      <c r="C1565"/>
      <c r="D1565"/>
      <c r="E1565"/>
      <c r="F1565"/>
      <c r="G1565"/>
      <c r="H1565"/>
      <c r="I1565" s="532"/>
      <c r="V1565"/>
      <c r="W1565"/>
      <c r="Z1565"/>
      <c r="AA1565"/>
      <c r="AC1565"/>
      <c r="AD1565"/>
      <c r="AE1565"/>
      <c r="AI1565" s="960"/>
      <c r="AM1565"/>
    </row>
    <row r="1566" spans="3:39" x14ac:dyDescent="0.2">
      <c r="C1566"/>
      <c r="D1566"/>
      <c r="E1566"/>
      <c r="F1566"/>
      <c r="G1566"/>
      <c r="H1566"/>
      <c r="I1566" s="532"/>
      <c r="V1566"/>
      <c r="W1566"/>
      <c r="Z1566"/>
      <c r="AA1566"/>
      <c r="AC1566"/>
      <c r="AD1566"/>
      <c r="AE1566"/>
      <c r="AI1566" s="960"/>
      <c r="AM1566"/>
    </row>
    <row r="1567" spans="3:39" x14ac:dyDescent="0.2">
      <c r="C1567"/>
      <c r="D1567"/>
      <c r="E1567"/>
      <c r="F1567"/>
      <c r="G1567"/>
      <c r="H1567"/>
      <c r="I1567" s="532"/>
      <c r="V1567"/>
      <c r="W1567"/>
      <c r="Z1567"/>
      <c r="AA1567"/>
      <c r="AC1567"/>
      <c r="AD1567"/>
      <c r="AE1567"/>
      <c r="AI1567" s="960"/>
      <c r="AM1567"/>
    </row>
    <row r="1568" spans="3:39" x14ac:dyDescent="0.2">
      <c r="C1568"/>
      <c r="D1568"/>
      <c r="E1568"/>
      <c r="F1568"/>
      <c r="G1568"/>
      <c r="H1568"/>
      <c r="I1568" s="532"/>
      <c r="V1568"/>
      <c r="W1568"/>
      <c r="Z1568"/>
      <c r="AA1568"/>
      <c r="AC1568"/>
      <c r="AD1568"/>
      <c r="AE1568"/>
      <c r="AI1568" s="960"/>
      <c r="AM1568"/>
    </row>
    <row r="1569" spans="3:39" x14ac:dyDescent="0.2">
      <c r="C1569"/>
      <c r="D1569"/>
      <c r="E1569"/>
      <c r="F1569"/>
      <c r="G1569"/>
      <c r="H1569"/>
      <c r="I1569" s="532"/>
      <c r="V1569"/>
      <c r="W1569"/>
      <c r="Z1569"/>
      <c r="AA1569"/>
      <c r="AC1569"/>
      <c r="AD1569"/>
      <c r="AE1569"/>
      <c r="AI1569" s="960"/>
      <c r="AM1569"/>
    </row>
    <row r="1570" spans="3:39" x14ac:dyDescent="0.2">
      <c r="C1570"/>
      <c r="D1570"/>
      <c r="E1570"/>
      <c r="F1570"/>
      <c r="G1570"/>
      <c r="H1570"/>
      <c r="I1570" s="532"/>
      <c r="V1570"/>
      <c r="W1570"/>
      <c r="Z1570"/>
      <c r="AA1570"/>
      <c r="AC1570"/>
      <c r="AD1570"/>
      <c r="AE1570"/>
      <c r="AI1570" s="960"/>
      <c r="AM1570"/>
    </row>
    <row r="1571" spans="3:39" x14ac:dyDescent="0.2">
      <c r="C1571"/>
      <c r="D1571"/>
      <c r="E1571"/>
      <c r="F1571"/>
      <c r="G1571"/>
      <c r="H1571"/>
      <c r="I1571" s="532"/>
      <c r="V1571"/>
      <c r="W1571"/>
      <c r="Z1571"/>
      <c r="AA1571"/>
      <c r="AC1571"/>
      <c r="AD1571"/>
      <c r="AE1571"/>
      <c r="AI1571" s="960"/>
      <c r="AM1571"/>
    </row>
    <row r="1572" spans="3:39" x14ac:dyDescent="0.2">
      <c r="C1572"/>
      <c r="D1572"/>
      <c r="E1572"/>
      <c r="F1572"/>
      <c r="G1572"/>
      <c r="H1572"/>
      <c r="I1572" s="532"/>
      <c r="V1572"/>
      <c r="W1572"/>
      <c r="Z1572"/>
      <c r="AA1572"/>
      <c r="AC1572"/>
      <c r="AD1572"/>
      <c r="AE1572"/>
      <c r="AI1572" s="960"/>
      <c r="AM1572"/>
    </row>
    <row r="1573" spans="3:39" x14ac:dyDescent="0.2">
      <c r="C1573"/>
      <c r="D1573"/>
      <c r="E1573"/>
      <c r="F1573"/>
      <c r="G1573"/>
      <c r="H1573"/>
      <c r="I1573" s="532"/>
      <c r="V1573"/>
      <c r="W1573"/>
      <c r="Z1573"/>
      <c r="AA1573"/>
      <c r="AC1573"/>
      <c r="AD1573"/>
      <c r="AE1573"/>
      <c r="AI1573" s="960"/>
      <c r="AM1573"/>
    </row>
    <row r="1574" spans="3:39" x14ac:dyDescent="0.2">
      <c r="C1574"/>
      <c r="D1574"/>
      <c r="E1574"/>
      <c r="F1574"/>
      <c r="G1574"/>
      <c r="H1574"/>
      <c r="I1574" s="532"/>
      <c r="V1574"/>
      <c r="W1574"/>
      <c r="Z1574"/>
      <c r="AA1574"/>
      <c r="AC1574"/>
      <c r="AD1574"/>
      <c r="AE1574"/>
      <c r="AI1574" s="960"/>
      <c r="AM1574"/>
    </row>
    <row r="1575" spans="3:39" x14ac:dyDescent="0.2">
      <c r="C1575"/>
      <c r="D1575"/>
      <c r="E1575"/>
      <c r="F1575"/>
      <c r="G1575"/>
      <c r="H1575"/>
      <c r="I1575" s="532"/>
      <c r="V1575"/>
      <c r="W1575"/>
      <c r="Z1575"/>
      <c r="AA1575"/>
      <c r="AC1575"/>
      <c r="AD1575"/>
      <c r="AE1575"/>
      <c r="AI1575" s="960"/>
      <c r="AM1575"/>
    </row>
    <row r="1576" spans="3:39" x14ac:dyDescent="0.2">
      <c r="C1576"/>
      <c r="D1576"/>
      <c r="E1576"/>
      <c r="F1576"/>
      <c r="G1576"/>
      <c r="H1576"/>
      <c r="I1576" s="532"/>
      <c r="V1576"/>
      <c r="W1576"/>
      <c r="Z1576"/>
      <c r="AA1576"/>
      <c r="AC1576"/>
      <c r="AD1576"/>
      <c r="AE1576"/>
      <c r="AI1576" s="960"/>
      <c r="AM1576"/>
    </row>
    <row r="1577" spans="3:39" x14ac:dyDescent="0.2">
      <c r="C1577"/>
      <c r="D1577"/>
      <c r="E1577"/>
      <c r="F1577"/>
      <c r="G1577"/>
      <c r="H1577"/>
      <c r="I1577" s="532"/>
      <c r="V1577"/>
      <c r="W1577"/>
      <c r="Z1577"/>
      <c r="AA1577"/>
      <c r="AC1577"/>
      <c r="AD1577"/>
      <c r="AE1577"/>
      <c r="AI1577" s="960"/>
      <c r="AM1577"/>
    </row>
    <row r="1578" spans="3:39" x14ac:dyDescent="0.2">
      <c r="C1578"/>
      <c r="D1578"/>
      <c r="E1578"/>
      <c r="F1578"/>
      <c r="G1578"/>
      <c r="H1578"/>
      <c r="I1578" s="532"/>
      <c r="V1578"/>
      <c r="W1578"/>
      <c r="Z1578"/>
      <c r="AA1578"/>
      <c r="AC1578"/>
      <c r="AD1578"/>
      <c r="AE1578"/>
      <c r="AI1578" s="960"/>
      <c r="AM1578"/>
    </row>
    <row r="1579" spans="3:39" x14ac:dyDescent="0.2">
      <c r="C1579"/>
      <c r="D1579"/>
      <c r="E1579"/>
      <c r="F1579"/>
      <c r="G1579"/>
      <c r="H1579"/>
      <c r="I1579" s="532"/>
      <c r="V1579"/>
      <c r="W1579"/>
      <c r="Z1579"/>
      <c r="AA1579"/>
      <c r="AC1579"/>
      <c r="AD1579"/>
      <c r="AE1579"/>
      <c r="AI1579" s="960"/>
      <c r="AM1579"/>
    </row>
    <row r="1580" spans="3:39" x14ac:dyDescent="0.2">
      <c r="C1580"/>
      <c r="D1580"/>
      <c r="E1580"/>
      <c r="F1580"/>
      <c r="G1580"/>
      <c r="H1580"/>
      <c r="I1580" s="532"/>
      <c r="V1580"/>
      <c r="W1580"/>
      <c r="Z1580"/>
      <c r="AA1580"/>
      <c r="AC1580"/>
      <c r="AD1580"/>
      <c r="AE1580"/>
      <c r="AI1580" s="960"/>
      <c r="AM1580"/>
    </row>
    <row r="1581" spans="3:39" x14ac:dyDescent="0.2">
      <c r="C1581"/>
      <c r="D1581"/>
      <c r="E1581"/>
      <c r="F1581"/>
      <c r="G1581"/>
      <c r="H1581"/>
      <c r="I1581" s="532"/>
      <c r="V1581"/>
      <c r="W1581"/>
      <c r="Z1581"/>
      <c r="AA1581"/>
      <c r="AC1581"/>
      <c r="AD1581"/>
      <c r="AE1581"/>
      <c r="AI1581" s="960"/>
      <c r="AM1581"/>
    </row>
    <row r="1582" spans="3:39" x14ac:dyDescent="0.2">
      <c r="C1582"/>
      <c r="D1582"/>
      <c r="E1582"/>
      <c r="F1582"/>
      <c r="G1582"/>
      <c r="H1582"/>
      <c r="I1582" s="532"/>
      <c r="V1582"/>
      <c r="W1582"/>
      <c r="Z1582"/>
      <c r="AA1582"/>
      <c r="AC1582"/>
      <c r="AD1582"/>
      <c r="AE1582"/>
      <c r="AI1582" s="960"/>
      <c r="AM1582"/>
    </row>
    <row r="1583" spans="3:39" x14ac:dyDescent="0.2">
      <c r="C1583"/>
      <c r="D1583"/>
      <c r="E1583"/>
      <c r="F1583"/>
      <c r="G1583"/>
      <c r="H1583"/>
      <c r="I1583" s="532"/>
      <c r="V1583"/>
      <c r="W1583"/>
      <c r="Z1583"/>
      <c r="AA1583"/>
      <c r="AC1583"/>
      <c r="AD1583"/>
      <c r="AE1583"/>
      <c r="AI1583" s="960"/>
      <c r="AM1583"/>
    </row>
    <row r="1584" spans="3:39" x14ac:dyDescent="0.2">
      <c r="C1584"/>
      <c r="D1584"/>
      <c r="E1584"/>
      <c r="F1584"/>
      <c r="G1584"/>
      <c r="H1584"/>
      <c r="I1584" s="532"/>
      <c r="V1584"/>
      <c r="W1584"/>
      <c r="Z1584"/>
      <c r="AA1584"/>
      <c r="AC1584"/>
      <c r="AD1584"/>
      <c r="AE1584"/>
      <c r="AI1584" s="960"/>
      <c r="AM1584"/>
    </row>
    <row r="1585" spans="3:39" x14ac:dyDescent="0.2">
      <c r="C1585"/>
      <c r="D1585"/>
      <c r="E1585"/>
      <c r="F1585"/>
      <c r="G1585"/>
      <c r="H1585"/>
      <c r="I1585" s="532"/>
      <c r="V1585"/>
      <c r="W1585"/>
      <c r="Z1585"/>
      <c r="AA1585"/>
      <c r="AC1585"/>
      <c r="AD1585"/>
      <c r="AE1585"/>
      <c r="AI1585" s="960"/>
      <c r="AM1585"/>
    </row>
    <row r="1586" spans="3:39" x14ac:dyDescent="0.2">
      <c r="C1586"/>
      <c r="D1586"/>
      <c r="E1586"/>
      <c r="F1586"/>
      <c r="G1586"/>
      <c r="H1586"/>
      <c r="I1586" s="532"/>
      <c r="V1586"/>
      <c r="W1586"/>
      <c r="Z1586"/>
      <c r="AA1586"/>
      <c r="AC1586"/>
      <c r="AD1586"/>
      <c r="AE1586"/>
      <c r="AI1586" s="960"/>
      <c r="AM1586"/>
    </row>
    <row r="1587" spans="3:39" x14ac:dyDescent="0.2">
      <c r="C1587"/>
      <c r="D1587"/>
      <c r="E1587"/>
      <c r="F1587"/>
      <c r="G1587"/>
      <c r="H1587"/>
      <c r="I1587" s="532"/>
      <c r="V1587"/>
      <c r="W1587"/>
      <c r="Z1587"/>
      <c r="AA1587"/>
      <c r="AC1587"/>
      <c r="AD1587"/>
      <c r="AE1587"/>
      <c r="AI1587" s="960"/>
      <c r="AM1587"/>
    </row>
    <row r="1588" spans="3:39" x14ac:dyDescent="0.2">
      <c r="C1588"/>
      <c r="D1588"/>
      <c r="E1588"/>
      <c r="F1588"/>
      <c r="G1588"/>
      <c r="H1588"/>
      <c r="I1588" s="532"/>
      <c r="V1588"/>
      <c r="W1588"/>
      <c r="Z1588"/>
      <c r="AA1588"/>
      <c r="AC1588"/>
      <c r="AD1588"/>
      <c r="AE1588"/>
      <c r="AI1588" s="960"/>
      <c r="AM1588"/>
    </row>
    <row r="1589" spans="3:39" x14ac:dyDescent="0.2">
      <c r="C1589"/>
      <c r="D1589"/>
      <c r="E1589"/>
      <c r="F1589"/>
      <c r="G1589"/>
      <c r="H1589"/>
      <c r="I1589" s="532"/>
      <c r="V1589"/>
      <c r="W1589"/>
      <c r="Z1589"/>
      <c r="AA1589"/>
      <c r="AC1589"/>
      <c r="AD1589"/>
      <c r="AE1589"/>
      <c r="AI1589" s="960"/>
      <c r="AM1589"/>
    </row>
    <row r="1590" spans="3:39" x14ac:dyDescent="0.2">
      <c r="C1590"/>
      <c r="D1590"/>
      <c r="E1590"/>
      <c r="F1590"/>
      <c r="G1590"/>
      <c r="H1590"/>
      <c r="I1590" s="532"/>
      <c r="V1590"/>
      <c r="W1590"/>
      <c r="Z1590"/>
      <c r="AA1590"/>
      <c r="AC1590"/>
      <c r="AD1590"/>
      <c r="AE1590"/>
      <c r="AI1590" s="960"/>
      <c r="AM1590"/>
    </row>
    <row r="1591" spans="3:39" x14ac:dyDescent="0.2">
      <c r="C1591"/>
      <c r="D1591"/>
      <c r="E1591"/>
      <c r="F1591"/>
      <c r="G1591"/>
      <c r="H1591"/>
      <c r="I1591" s="532"/>
      <c r="V1591"/>
      <c r="W1591"/>
      <c r="Z1591"/>
      <c r="AA1591"/>
      <c r="AC1591"/>
      <c r="AD1591"/>
      <c r="AE1591"/>
      <c r="AI1591" s="960"/>
      <c r="AM1591"/>
    </row>
    <row r="1592" spans="3:39" x14ac:dyDescent="0.2">
      <c r="C1592"/>
      <c r="D1592"/>
      <c r="E1592"/>
      <c r="F1592"/>
      <c r="G1592"/>
      <c r="H1592"/>
      <c r="I1592" s="532"/>
      <c r="V1592"/>
      <c r="W1592"/>
      <c r="Z1592"/>
      <c r="AA1592"/>
      <c r="AC1592"/>
      <c r="AD1592"/>
      <c r="AE1592"/>
      <c r="AI1592" s="960"/>
      <c r="AM1592"/>
    </row>
    <row r="1593" spans="3:39" x14ac:dyDescent="0.2">
      <c r="C1593"/>
      <c r="D1593"/>
      <c r="E1593"/>
      <c r="F1593"/>
      <c r="G1593"/>
      <c r="H1593"/>
      <c r="I1593" s="532"/>
      <c r="V1593"/>
      <c r="W1593"/>
      <c r="Z1593"/>
      <c r="AA1593"/>
      <c r="AC1593"/>
      <c r="AD1593"/>
      <c r="AE1593"/>
      <c r="AI1593" s="960"/>
      <c r="AM1593"/>
    </row>
    <row r="1594" spans="3:39" x14ac:dyDescent="0.2">
      <c r="C1594"/>
      <c r="D1594"/>
      <c r="E1594"/>
      <c r="F1594"/>
      <c r="G1594"/>
      <c r="H1594"/>
      <c r="I1594" s="532"/>
      <c r="V1594"/>
      <c r="W1594"/>
      <c r="Z1594"/>
      <c r="AA1594"/>
      <c r="AC1594"/>
      <c r="AD1594"/>
      <c r="AE1594"/>
      <c r="AI1594" s="960"/>
      <c r="AM1594"/>
    </row>
    <row r="1595" spans="3:39" x14ac:dyDescent="0.2">
      <c r="C1595"/>
      <c r="D1595"/>
      <c r="E1595"/>
      <c r="F1595"/>
      <c r="G1595"/>
      <c r="H1595"/>
      <c r="I1595" s="532"/>
      <c r="V1595"/>
      <c r="W1595"/>
      <c r="Z1595"/>
      <c r="AA1595"/>
      <c r="AC1595"/>
      <c r="AD1595"/>
      <c r="AE1595"/>
      <c r="AI1595" s="960"/>
      <c r="AM1595"/>
    </row>
    <row r="1596" spans="3:39" x14ac:dyDescent="0.2">
      <c r="C1596"/>
      <c r="D1596"/>
      <c r="E1596"/>
      <c r="F1596"/>
      <c r="G1596"/>
      <c r="H1596"/>
      <c r="I1596" s="532"/>
      <c r="V1596"/>
      <c r="W1596"/>
      <c r="Z1596"/>
      <c r="AA1596"/>
      <c r="AC1596"/>
      <c r="AD1596"/>
      <c r="AE1596"/>
      <c r="AI1596" s="960"/>
      <c r="AM1596"/>
    </row>
    <row r="1597" spans="3:39" x14ac:dyDescent="0.2">
      <c r="C1597"/>
      <c r="D1597"/>
      <c r="E1597"/>
      <c r="F1597"/>
      <c r="G1597"/>
      <c r="H1597"/>
      <c r="I1597" s="532"/>
      <c r="V1597"/>
      <c r="W1597"/>
      <c r="Z1597"/>
      <c r="AA1597"/>
      <c r="AC1597"/>
      <c r="AD1597"/>
      <c r="AE1597"/>
      <c r="AI1597" s="960"/>
      <c r="AM1597"/>
    </row>
    <row r="1598" spans="3:39" x14ac:dyDescent="0.2">
      <c r="C1598"/>
      <c r="D1598"/>
      <c r="E1598"/>
      <c r="F1598"/>
      <c r="G1598"/>
      <c r="H1598"/>
      <c r="I1598" s="532"/>
      <c r="V1598"/>
      <c r="W1598"/>
      <c r="Z1598"/>
      <c r="AA1598"/>
      <c r="AC1598"/>
      <c r="AD1598"/>
      <c r="AE1598"/>
      <c r="AI1598" s="960"/>
      <c r="AM1598"/>
    </row>
    <row r="1599" spans="3:39" x14ac:dyDescent="0.2">
      <c r="C1599"/>
      <c r="D1599"/>
      <c r="E1599"/>
      <c r="F1599"/>
      <c r="G1599"/>
      <c r="H1599"/>
      <c r="I1599" s="532"/>
      <c r="V1599"/>
      <c r="W1599"/>
      <c r="Z1599"/>
      <c r="AA1599"/>
      <c r="AC1599"/>
      <c r="AD1599"/>
      <c r="AE1599"/>
      <c r="AI1599" s="960"/>
      <c r="AM1599"/>
    </row>
    <row r="1600" spans="3:39" x14ac:dyDescent="0.2">
      <c r="C1600"/>
      <c r="D1600"/>
      <c r="E1600"/>
      <c r="F1600"/>
      <c r="G1600"/>
      <c r="H1600"/>
      <c r="I1600" s="532"/>
      <c r="V1600"/>
      <c r="W1600"/>
      <c r="Z1600"/>
      <c r="AA1600"/>
      <c r="AC1600"/>
      <c r="AD1600"/>
      <c r="AE1600"/>
      <c r="AI1600" s="960"/>
      <c r="AM1600"/>
    </row>
    <row r="1601" spans="3:39" x14ac:dyDescent="0.2">
      <c r="C1601"/>
      <c r="D1601"/>
      <c r="E1601"/>
      <c r="F1601"/>
      <c r="G1601"/>
      <c r="H1601"/>
      <c r="I1601" s="532"/>
      <c r="V1601"/>
      <c r="W1601"/>
      <c r="Z1601"/>
      <c r="AA1601"/>
      <c r="AC1601"/>
      <c r="AD1601"/>
      <c r="AE1601"/>
      <c r="AI1601" s="960"/>
      <c r="AM1601"/>
    </row>
    <row r="1602" spans="3:39" x14ac:dyDescent="0.2">
      <c r="C1602"/>
      <c r="D1602"/>
      <c r="E1602"/>
      <c r="F1602"/>
      <c r="G1602"/>
      <c r="H1602"/>
      <c r="I1602" s="532"/>
      <c r="V1602"/>
      <c r="W1602"/>
      <c r="Z1602"/>
      <c r="AA1602"/>
      <c r="AC1602"/>
      <c r="AD1602"/>
      <c r="AE1602"/>
      <c r="AI1602" s="960"/>
      <c r="AM1602"/>
    </row>
    <row r="1603" spans="3:39" x14ac:dyDescent="0.2">
      <c r="C1603"/>
      <c r="D1603"/>
      <c r="E1603"/>
      <c r="F1603"/>
      <c r="G1603"/>
      <c r="H1603"/>
      <c r="I1603" s="532"/>
      <c r="V1603"/>
      <c r="W1603"/>
      <c r="Z1603"/>
      <c r="AA1603"/>
      <c r="AC1603"/>
      <c r="AD1603"/>
      <c r="AE1603"/>
      <c r="AI1603" s="960"/>
      <c r="AM1603"/>
    </row>
    <row r="1604" spans="3:39" x14ac:dyDescent="0.2">
      <c r="C1604"/>
      <c r="D1604"/>
      <c r="E1604"/>
      <c r="F1604"/>
      <c r="G1604"/>
      <c r="H1604"/>
      <c r="I1604" s="532"/>
      <c r="V1604"/>
      <c r="W1604"/>
      <c r="Z1604"/>
      <c r="AA1604"/>
      <c r="AC1604"/>
      <c r="AD1604"/>
      <c r="AE1604"/>
      <c r="AI1604" s="960"/>
      <c r="AM1604"/>
    </row>
    <row r="1605" spans="3:39" x14ac:dyDescent="0.2">
      <c r="C1605"/>
      <c r="D1605"/>
      <c r="E1605"/>
      <c r="F1605"/>
      <c r="G1605"/>
      <c r="H1605"/>
      <c r="I1605" s="532"/>
      <c r="V1605"/>
      <c r="W1605"/>
      <c r="Z1605"/>
      <c r="AA1605"/>
      <c r="AC1605"/>
      <c r="AD1605"/>
      <c r="AE1605"/>
      <c r="AI1605" s="960"/>
      <c r="AM1605"/>
    </row>
    <row r="1606" spans="3:39" x14ac:dyDescent="0.2">
      <c r="C1606"/>
      <c r="D1606"/>
      <c r="E1606"/>
      <c r="F1606"/>
      <c r="G1606"/>
      <c r="H1606"/>
      <c r="I1606" s="532"/>
      <c r="V1606"/>
      <c r="W1606"/>
      <c r="Z1606"/>
      <c r="AA1606"/>
      <c r="AC1606"/>
      <c r="AD1606"/>
      <c r="AE1606"/>
      <c r="AI1606" s="960"/>
      <c r="AM1606"/>
    </row>
    <row r="1607" spans="3:39" x14ac:dyDescent="0.2">
      <c r="C1607"/>
      <c r="D1607"/>
      <c r="E1607"/>
      <c r="F1607"/>
      <c r="G1607"/>
      <c r="H1607"/>
      <c r="I1607" s="532"/>
      <c r="V1607"/>
      <c r="W1607"/>
      <c r="Z1607"/>
      <c r="AA1607"/>
      <c r="AC1607"/>
      <c r="AD1607"/>
      <c r="AE1607"/>
      <c r="AI1607" s="960"/>
      <c r="AM1607"/>
    </row>
    <row r="1608" spans="3:39" x14ac:dyDescent="0.2">
      <c r="C1608"/>
      <c r="D1608"/>
      <c r="E1608"/>
      <c r="F1608"/>
      <c r="G1608"/>
      <c r="H1608"/>
      <c r="I1608" s="532"/>
      <c r="V1608"/>
      <c r="W1608"/>
      <c r="Z1608"/>
      <c r="AA1608"/>
      <c r="AC1608"/>
      <c r="AD1608"/>
      <c r="AE1608"/>
      <c r="AI1608" s="960"/>
      <c r="AM1608"/>
    </row>
    <row r="1609" spans="3:39" x14ac:dyDescent="0.2">
      <c r="C1609"/>
      <c r="D1609"/>
      <c r="E1609"/>
      <c r="F1609"/>
      <c r="G1609"/>
      <c r="H1609"/>
      <c r="I1609" s="532"/>
      <c r="V1609"/>
      <c r="W1609"/>
      <c r="Z1609"/>
      <c r="AA1609"/>
      <c r="AC1609"/>
      <c r="AD1609"/>
      <c r="AE1609"/>
      <c r="AI1609" s="960"/>
      <c r="AM1609"/>
    </row>
    <row r="1610" spans="3:39" x14ac:dyDescent="0.2">
      <c r="C1610"/>
      <c r="D1610"/>
      <c r="E1610"/>
      <c r="F1610"/>
      <c r="G1610"/>
      <c r="H1610"/>
      <c r="I1610" s="532"/>
      <c r="V1610"/>
      <c r="W1610"/>
      <c r="Z1610"/>
      <c r="AA1610"/>
      <c r="AC1610"/>
      <c r="AD1610"/>
      <c r="AE1610"/>
      <c r="AI1610" s="960"/>
      <c r="AM1610"/>
    </row>
    <row r="1611" spans="3:39" x14ac:dyDescent="0.2">
      <c r="C1611"/>
      <c r="D1611"/>
      <c r="E1611"/>
      <c r="F1611"/>
      <c r="G1611"/>
      <c r="H1611"/>
      <c r="I1611" s="532"/>
      <c r="V1611"/>
      <c r="W1611"/>
      <c r="Z1611"/>
      <c r="AA1611"/>
      <c r="AC1611"/>
      <c r="AD1611"/>
      <c r="AE1611"/>
      <c r="AI1611" s="960"/>
      <c r="AM1611"/>
    </row>
    <row r="1612" spans="3:39" x14ac:dyDescent="0.2">
      <c r="C1612"/>
      <c r="D1612"/>
      <c r="E1612"/>
      <c r="F1612"/>
      <c r="G1612"/>
      <c r="H1612"/>
      <c r="I1612" s="532"/>
      <c r="V1612"/>
      <c r="W1612"/>
      <c r="Z1612"/>
      <c r="AA1612"/>
      <c r="AC1612"/>
      <c r="AD1612"/>
      <c r="AE1612"/>
      <c r="AI1612" s="960"/>
      <c r="AM1612"/>
    </row>
    <row r="1613" spans="3:39" x14ac:dyDescent="0.2">
      <c r="C1613"/>
      <c r="D1613"/>
      <c r="E1613"/>
      <c r="F1613"/>
      <c r="G1613"/>
      <c r="H1613"/>
      <c r="I1613" s="532"/>
      <c r="V1613"/>
      <c r="W1613"/>
      <c r="Z1613"/>
      <c r="AA1613"/>
      <c r="AC1613"/>
      <c r="AD1613"/>
      <c r="AE1613"/>
      <c r="AI1613" s="960"/>
      <c r="AM1613"/>
    </row>
    <row r="1614" spans="3:39" x14ac:dyDescent="0.2">
      <c r="C1614"/>
      <c r="D1614"/>
      <c r="E1614"/>
      <c r="F1614"/>
      <c r="G1614"/>
      <c r="H1614"/>
      <c r="I1614" s="532"/>
      <c r="V1614"/>
      <c r="W1614"/>
      <c r="Z1614"/>
      <c r="AA1614"/>
      <c r="AC1614"/>
      <c r="AD1614"/>
      <c r="AE1614"/>
      <c r="AI1614" s="960"/>
      <c r="AM1614"/>
    </row>
    <row r="1615" spans="3:39" x14ac:dyDescent="0.2">
      <c r="C1615"/>
      <c r="D1615"/>
      <c r="E1615"/>
      <c r="F1615"/>
      <c r="G1615"/>
      <c r="H1615"/>
      <c r="I1615" s="532"/>
      <c r="V1615"/>
      <c r="W1615"/>
      <c r="Z1615"/>
      <c r="AA1615"/>
      <c r="AC1615"/>
      <c r="AD1615"/>
      <c r="AE1615"/>
      <c r="AI1615" s="960"/>
      <c r="AM1615"/>
    </row>
    <row r="1616" spans="3:39" x14ac:dyDescent="0.2">
      <c r="C1616"/>
      <c r="D1616"/>
      <c r="E1616"/>
      <c r="F1616"/>
      <c r="G1616"/>
      <c r="H1616"/>
      <c r="I1616" s="532"/>
      <c r="V1616"/>
      <c r="W1616"/>
      <c r="Z1616"/>
      <c r="AA1616"/>
      <c r="AC1616"/>
      <c r="AD1616"/>
      <c r="AE1616"/>
      <c r="AI1616" s="960"/>
      <c r="AM1616"/>
    </row>
    <row r="1617" spans="3:39" x14ac:dyDescent="0.2">
      <c r="C1617"/>
      <c r="D1617"/>
      <c r="E1617"/>
      <c r="F1617"/>
      <c r="G1617"/>
      <c r="H1617"/>
      <c r="I1617" s="532"/>
      <c r="V1617"/>
      <c r="W1617"/>
      <c r="Z1617"/>
      <c r="AA1617"/>
      <c r="AC1617"/>
      <c r="AD1617"/>
      <c r="AE1617"/>
      <c r="AI1617" s="960"/>
      <c r="AM1617"/>
    </row>
    <row r="1618" spans="3:39" x14ac:dyDescent="0.2">
      <c r="C1618"/>
      <c r="D1618"/>
      <c r="E1618"/>
      <c r="F1618"/>
      <c r="G1618"/>
      <c r="H1618"/>
      <c r="I1618" s="532"/>
      <c r="V1618"/>
      <c r="W1618"/>
      <c r="Z1618"/>
      <c r="AA1618"/>
      <c r="AC1618"/>
      <c r="AD1618"/>
      <c r="AE1618"/>
      <c r="AI1618" s="960"/>
      <c r="AM1618"/>
    </row>
    <row r="1619" spans="3:39" x14ac:dyDescent="0.2">
      <c r="C1619"/>
      <c r="D1619"/>
      <c r="E1619"/>
      <c r="F1619"/>
      <c r="G1619"/>
      <c r="H1619"/>
      <c r="I1619" s="532"/>
      <c r="V1619"/>
      <c r="W1619"/>
      <c r="Z1619"/>
      <c r="AA1619"/>
      <c r="AC1619"/>
      <c r="AD1619"/>
      <c r="AE1619"/>
      <c r="AI1619" s="960"/>
      <c r="AM1619"/>
    </row>
    <row r="1620" spans="3:39" x14ac:dyDescent="0.2">
      <c r="C1620"/>
      <c r="D1620"/>
      <c r="E1620"/>
      <c r="F1620"/>
      <c r="G1620"/>
      <c r="H1620"/>
      <c r="I1620" s="532"/>
      <c r="V1620"/>
      <c r="W1620"/>
      <c r="Z1620"/>
      <c r="AA1620"/>
      <c r="AC1620"/>
      <c r="AD1620"/>
      <c r="AE1620"/>
      <c r="AI1620" s="960"/>
      <c r="AM1620"/>
    </row>
    <row r="1621" spans="3:39" x14ac:dyDescent="0.2">
      <c r="C1621"/>
      <c r="D1621"/>
      <c r="E1621"/>
      <c r="F1621"/>
      <c r="G1621"/>
      <c r="H1621"/>
      <c r="I1621" s="532"/>
      <c r="V1621"/>
      <c r="W1621"/>
      <c r="Z1621"/>
      <c r="AA1621"/>
      <c r="AC1621"/>
      <c r="AD1621"/>
      <c r="AE1621"/>
      <c r="AI1621" s="960"/>
      <c r="AM1621"/>
    </row>
    <row r="1622" spans="3:39" x14ac:dyDescent="0.2">
      <c r="C1622"/>
      <c r="D1622"/>
      <c r="E1622"/>
      <c r="F1622"/>
      <c r="G1622"/>
      <c r="H1622"/>
      <c r="I1622" s="532"/>
      <c r="V1622"/>
      <c r="W1622"/>
      <c r="Z1622"/>
      <c r="AA1622"/>
      <c r="AC1622"/>
      <c r="AD1622"/>
      <c r="AE1622"/>
      <c r="AI1622" s="960"/>
      <c r="AM1622"/>
    </row>
    <row r="1623" spans="3:39" x14ac:dyDescent="0.2">
      <c r="C1623"/>
      <c r="D1623"/>
      <c r="E1623"/>
      <c r="F1623"/>
      <c r="G1623"/>
      <c r="H1623"/>
      <c r="I1623" s="532"/>
      <c r="V1623"/>
      <c r="W1623"/>
      <c r="Z1623"/>
      <c r="AA1623"/>
      <c r="AC1623"/>
      <c r="AD1623"/>
      <c r="AE1623"/>
      <c r="AI1623" s="960"/>
      <c r="AM1623"/>
    </row>
    <row r="1624" spans="3:39" x14ac:dyDescent="0.2">
      <c r="C1624"/>
      <c r="D1624"/>
      <c r="E1624"/>
      <c r="F1624"/>
      <c r="G1624"/>
      <c r="H1624"/>
      <c r="I1624" s="532"/>
      <c r="V1624"/>
      <c r="W1624"/>
      <c r="Z1624"/>
      <c r="AA1624"/>
      <c r="AC1624"/>
      <c r="AD1624"/>
      <c r="AE1624"/>
      <c r="AI1624" s="960"/>
      <c r="AM1624"/>
    </row>
    <row r="1625" spans="3:39" x14ac:dyDescent="0.2">
      <c r="C1625"/>
      <c r="D1625"/>
      <c r="E1625"/>
      <c r="F1625"/>
      <c r="G1625"/>
      <c r="H1625"/>
      <c r="I1625" s="532"/>
      <c r="V1625"/>
      <c r="W1625"/>
      <c r="Z1625"/>
      <c r="AA1625"/>
      <c r="AC1625"/>
      <c r="AD1625"/>
      <c r="AE1625"/>
      <c r="AI1625" s="960"/>
      <c r="AM1625"/>
    </row>
    <row r="1626" spans="3:39" x14ac:dyDescent="0.2">
      <c r="C1626"/>
      <c r="D1626"/>
      <c r="E1626"/>
      <c r="F1626"/>
      <c r="G1626"/>
      <c r="H1626"/>
      <c r="I1626" s="532"/>
      <c r="V1626"/>
      <c r="W1626"/>
      <c r="Z1626"/>
      <c r="AA1626"/>
      <c r="AC1626"/>
      <c r="AD1626"/>
      <c r="AE1626"/>
      <c r="AI1626" s="960"/>
      <c r="AM1626"/>
    </row>
    <row r="1627" spans="3:39" x14ac:dyDescent="0.2">
      <c r="C1627"/>
      <c r="D1627"/>
      <c r="E1627"/>
      <c r="F1627"/>
      <c r="G1627"/>
      <c r="H1627"/>
      <c r="I1627" s="532"/>
      <c r="V1627"/>
      <c r="W1627"/>
      <c r="Z1627"/>
      <c r="AA1627"/>
      <c r="AC1627"/>
      <c r="AD1627"/>
      <c r="AE1627"/>
      <c r="AI1627" s="960"/>
      <c r="AM1627"/>
    </row>
    <row r="1628" spans="3:39" x14ac:dyDescent="0.2">
      <c r="C1628"/>
      <c r="D1628"/>
      <c r="E1628"/>
      <c r="F1628"/>
      <c r="G1628"/>
      <c r="H1628"/>
      <c r="I1628" s="532"/>
      <c r="V1628"/>
      <c r="W1628"/>
      <c r="Z1628"/>
      <c r="AA1628"/>
      <c r="AC1628"/>
      <c r="AD1628"/>
      <c r="AE1628"/>
      <c r="AI1628" s="960"/>
      <c r="AM1628"/>
    </row>
    <row r="1629" spans="3:39" x14ac:dyDescent="0.2">
      <c r="C1629"/>
      <c r="D1629"/>
      <c r="E1629"/>
      <c r="F1629"/>
      <c r="G1629"/>
      <c r="H1629"/>
      <c r="I1629" s="532"/>
      <c r="V1629"/>
      <c r="W1629"/>
      <c r="Z1629"/>
      <c r="AA1629"/>
      <c r="AC1629"/>
      <c r="AD1629"/>
      <c r="AE1629"/>
      <c r="AI1629" s="960"/>
      <c r="AM1629"/>
    </row>
    <row r="1630" spans="3:39" x14ac:dyDescent="0.2">
      <c r="C1630"/>
      <c r="D1630"/>
      <c r="E1630"/>
      <c r="F1630"/>
      <c r="G1630"/>
      <c r="H1630"/>
      <c r="I1630" s="532"/>
      <c r="V1630"/>
      <c r="W1630"/>
      <c r="Z1630"/>
      <c r="AA1630"/>
      <c r="AC1630"/>
      <c r="AD1630"/>
      <c r="AE1630"/>
      <c r="AI1630" s="960"/>
      <c r="AM1630"/>
    </row>
    <row r="1631" spans="3:39" x14ac:dyDescent="0.2">
      <c r="C1631"/>
      <c r="D1631"/>
      <c r="E1631"/>
      <c r="F1631"/>
      <c r="G1631"/>
      <c r="H1631"/>
      <c r="I1631" s="532"/>
      <c r="V1631"/>
      <c r="W1631"/>
      <c r="Z1631"/>
      <c r="AA1631"/>
      <c r="AC1631"/>
      <c r="AD1631"/>
      <c r="AE1631"/>
      <c r="AI1631" s="960"/>
      <c r="AM1631"/>
    </row>
    <row r="1632" spans="3:39" x14ac:dyDescent="0.2">
      <c r="C1632"/>
      <c r="D1632"/>
      <c r="E1632"/>
      <c r="F1632"/>
      <c r="G1632"/>
      <c r="H1632"/>
      <c r="I1632" s="532"/>
      <c r="V1632"/>
      <c r="W1632"/>
      <c r="Z1632"/>
      <c r="AA1632"/>
      <c r="AC1632"/>
      <c r="AD1632"/>
      <c r="AE1632"/>
      <c r="AI1632" s="960"/>
      <c r="AM1632"/>
    </row>
    <row r="1633" spans="3:39" x14ac:dyDescent="0.2">
      <c r="C1633"/>
      <c r="D1633"/>
      <c r="E1633"/>
      <c r="F1633"/>
      <c r="G1633"/>
      <c r="H1633"/>
      <c r="I1633" s="532"/>
      <c r="V1633"/>
      <c r="W1633"/>
      <c r="Z1633"/>
      <c r="AA1633"/>
      <c r="AC1633"/>
      <c r="AD1633"/>
      <c r="AE1633"/>
      <c r="AI1633" s="960"/>
      <c r="AM1633"/>
    </row>
    <row r="1634" spans="3:39" x14ac:dyDescent="0.2">
      <c r="C1634"/>
      <c r="D1634"/>
      <c r="E1634"/>
      <c r="F1634"/>
      <c r="G1634"/>
      <c r="H1634"/>
      <c r="I1634" s="532"/>
      <c r="V1634"/>
      <c r="W1634"/>
      <c r="Z1634"/>
      <c r="AA1634"/>
      <c r="AC1634"/>
      <c r="AD1634"/>
      <c r="AE1634"/>
      <c r="AI1634" s="960"/>
      <c r="AM1634"/>
    </row>
    <row r="1635" spans="3:39" x14ac:dyDescent="0.2">
      <c r="C1635"/>
      <c r="D1635"/>
      <c r="E1635"/>
      <c r="F1635"/>
      <c r="G1635"/>
      <c r="H1635"/>
      <c r="I1635" s="532"/>
      <c r="V1635"/>
      <c r="W1635"/>
      <c r="Z1635"/>
      <c r="AA1635"/>
      <c r="AC1635"/>
      <c r="AD1635"/>
      <c r="AE1635"/>
      <c r="AI1635" s="960"/>
      <c r="AM1635"/>
    </row>
    <row r="1636" spans="3:39" x14ac:dyDescent="0.2">
      <c r="C1636"/>
      <c r="D1636"/>
      <c r="E1636"/>
      <c r="F1636"/>
      <c r="G1636"/>
      <c r="H1636"/>
      <c r="I1636" s="532"/>
      <c r="V1636"/>
      <c r="W1636"/>
      <c r="Z1636"/>
      <c r="AA1636"/>
      <c r="AC1636"/>
      <c r="AD1636"/>
      <c r="AE1636"/>
      <c r="AI1636" s="960"/>
      <c r="AM1636"/>
    </row>
    <row r="1637" spans="3:39" x14ac:dyDescent="0.2">
      <c r="C1637"/>
      <c r="D1637"/>
      <c r="E1637"/>
      <c r="F1637"/>
      <c r="G1637"/>
      <c r="H1637"/>
      <c r="I1637" s="532"/>
      <c r="V1637"/>
      <c r="W1637"/>
      <c r="Z1637"/>
      <c r="AA1637"/>
      <c r="AC1637"/>
      <c r="AD1637"/>
      <c r="AE1637"/>
      <c r="AI1637" s="960"/>
      <c r="AM1637"/>
    </row>
    <row r="1638" spans="3:39" x14ac:dyDescent="0.2">
      <c r="C1638"/>
      <c r="D1638"/>
      <c r="E1638"/>
      <c r="F1638"/>
      <c r="G1638"/>
      <c r="H1638"/>
      <c r="I1638" s="532"/>
      <c r="V1638"/>
      <c r="W1638"/>
      <c r="Z1638"/>
      <c r="AA1638"/>
      <c r="AC1638"/>
      <c r="AD1638"/>
      <c r="AE1638"/>
      <c r="AI1638" s="960"/>
      <c r="AM1638"/>
    </row>
    <row r="1639" spans="3:39" x14ac:dyDescent="0.2">
      <c r="C1639"/>
      <c r="D1639"/>
      <c r="E1639"/>
      <c r="F1639"/>
      <c r="G1639"/>
      <c r="H1639"/>
      <c r="I1639" s="532"/>
      <c r="V1639"/>
      <c r="W1639"/>
      <c r="Z1639"/>
      <c r="AA1639"/>
      <c r="AC1639"/>
      <c r="AD1639"/>
      <c r="AE1639"/>
      <c r="AI1639" s="960"/>
      <c r="AM1639"/>
    </row>
    <row r="1640" spans="3:39" x14ac:dyDescent="0.2">
      <c r="C1640"/>
      <c r="D1640"/>
      <c r="E1640"/>
      <c r="F1640"/>
      <c r="G1640"/>
      <c r="H1640"/>
      <c r="I1640" s="532"/>
      <c r="V1640"/>
      <c r="W1640"/>
      <c r="Z1640"/>
      <c r="AA1640"/>
      <c r="AC1640"/>
      <c r="AD1640"/>
      <c r="AE1640"/>
      <c r="AI1640" s="960"/>
      <c r="AM1640"/>
    </row>
    <row r="1641" spans="3:39" x14ac:dyDescent="0.2">
      <c r="C1641"/>
      <c r="D1641"/>
      <c r="E1641"/>
      <c r="F1641"/>
      <c r="G1641"/>
      <c r="H1641"/>
      <c r="I1641" s="532"/>
      <c r="V1641"/>
      <c r="W1641"/>
      <c r="Z1641"/>
      <c r="AA1641"/>
      <c r="AC1641"/>
      <c r="AD1641"/>
      <c r="AE1641"/>
      <c r="AI1641" s="960"/>
      <c r="AM1641"/>
    </row>
    <row r="1642" spans="3:39" x14ac:dyDescent="0.2">
      <c r="C1642"/>
      <c r="D1642"/>
      <c r="E1642"/>
      <c r="F1642"/>
      <c r="G1642"/>
      <c r="H1642"/>
      <c r="I1642" s="532"/>
      <c r="V1642"/>
      <c r="W1642"/>
      <c r="Z1642"/>
      <c r="AA1642"/>
      <c r="AC1642"/>
      <c r="AD1642"/>
      <c r="AE1642"/>
      <c r="AI1642" s="960"/>
      <c r="AM1642"/>
    </row>
    <row r="1643" spans="3:39" x14ac:dyDescent="0.2">
      <c r="C1643"/>
      <c r="D1643"/>
      <c r="E1643"/>
      <c r="F1643"/>
      <c r="G1643"/>
      <c r="H1643"/>
      <c r="I1643" s="532"/>
      <c r="V1643"/>
      <c r="W1643"/>
      <c r="Z1643"/>
      <c r="AA1643"/>
      <c r="AC1643"/>
      <c r="AD1643"/>
      <c r="AE1643"/>
      <c r="AI1643" s="960"/>
      <c r="AM1643"/>
    </row>
    <row r="1644" spans="3:39" x14ac:dyDescent="0.2">
      <c r="C1644"/>
      <c r="D1644"/>
      <c r="E1644"/>
      <c r="F1644"/>
      <c r="G1644"/>
      <c r="H1644"/>
      <c r="I1644" s="532"/>
      <c r="V1644"/>
      <c r="W1644"/>
      <c r="Z1644"/>
      <c r="AA1644"/>
      <c r="AC1644"/>
      <c r="AD1644"/>
      <c r="AE1644"/>
      <c r="AI1644" s="960"/>
      <c r="AM1644"/>
    </row>
    <row r="1645" spans="3:39" x14ac:dyDescent="0.2">
      <c r="C1645"/>
      <c r="D1645"/>
      <c r="E1645"/>
      <c r="F1645"/>
      <c r="G1645"/>
      <c r="H1645"/>
      <c r="I1645" s="532"/>
      <c r="V1645"/>
      <c r="W1645"/>
      <c r="Z1645"/>
      <c r="AA1645"/>
      <c r="AC1645"/>
      <c r="AD1645"/>
      <c r="AE1645"/>
      <c r="AI1645" s="960"/>
      <c r="AM1645"/>
    </row>
    <row r="1646" spans="3:39" x14ac:dyDescent="0.2">
      <c r="C1646"/>
      <c r="D1646"/>
      <c r="E1646"/>
      <c r="F1646"/>
      <c r="G1646"/>
      <c r="H1646"/>
      <c r="I1646" s="532"/>
      <c r="V1646"/>
      <c r="W1646"/>
      <c r="Z1646"/>
      <c r="AA1646"/>
      <c r="AC1646"/>
      <c r="AD1646"/>
      <c r="AE1646"/>
      <c r="AI1646" s="960"/>
      <c r="AM1646"/>
    </row>
    <row r="1647" spans="3:39" x14ac:dyDescent="0.2">
      <c r="C1647"/>
      <c r="D1647"/>
      <c r="E1647"/>
      <c r="F1647"/>
      <c r="G1647"/>
      <c r="H1647"/>
      <c r="I1647" s="532"/>
      <c r="V1647"/>
      <c r="W1647"/>
      <c r="Z1647"/>
      <c r="AA1647"/>
      <c r="AC1647"/>
      <c r="AD1647"/>
      <c r="AE1647"/>
      <c r="AI1647" s="960"/>
      <c r="AM1647"/>
    </row>
    <row r="1648" spans="3:39" x14ac:dyDescent="0.2">
      <c r="C1648"/>
      <c r="D1648"/>
      <c r="E1648"/>
      <c r="F1648"/>
      <c r="G1648"/>
      <c r="H1648"/>
      <c r="I1648" s="532"/>
      <c r="V1648"/>
      <c r="W1648"/>
      <c r="Z1648"/>
      <c r="AA1648"/>
      <c r="AC1648"/>
      <c r="AD1648"/>
      <c r="AE1648"/>
      <c r="AI1648" s="960"/>
      <c r="AM1648"/>
    </row>
    <row r="1649" spans="3:39" x14ac:dyDescent="0.2">
      <c r="C1649"/>
      <c r="D1649"/>
      <c r="E1649"/>
      <c r="F1649"/>
      <c r="G1649"/>
      <c r="H1649"/>
      <c r="I1649" s="532"/>
      <c r="V1649"/>
      <c r="W1649"/>
      <c r="Z1649"/>
      <c r="AA1649"/>
      <c r="AC1649"/>
      <c r="AD1649"/>
      <c r="AE1649"/>
      <c r="AI1649" s="960"/>
      <c r="AM1649"/>
    </row>
    <row r="1650" spans="3:39" x14ac:dyDescent="0.2">
      <c r="C1650"/>
      <c r="D1650"/>
      <c r="E1650"/>
      <c r="F1650"/>
      <c r="G1650"/>
      <c r="H1650"/>
      <c r="I1650" s="532"/>
      <c r="V1650"/>
      <c r="W1650"/>
      <c r="Z1650"/>
      <c r="AA1650"/>
      <c r="AC1650"/>
      <c r="AD1650"/>
      <c r="AE1650"/>
      <c r="AI1650" s="960"/>
      <c r="AM1650"/>
    </row>
    <row r="1651" spans="3:39" x14ac:dyDescent="0.2">
      <c r="C1651"/>
      <c r="D1651"/>
      <c r="E1651"/>
      <c r="F1651"/>
      <c r="G1651"/>
      <c r="H1651"/>
      <c r="I1651" s="532"/>
      <c r="V1651"/>
      <c r="W1651"/>
      <c r="Z1651"/>
      <c r="AA1651"/>
      <c r="AC1651"/>
      <c r="AD1651"/>
      <c r="AE1651"/>
      <c r="AI1651" s="960"/>
      <c r="AM1651"/>
    </row>
    <row r="1652" spans="3:39" x14ac:dyDescent="0.2">
      <c r="C1652"/>
      <c r="D1652"/>
      <c r="E1652"/>
      <c r="F1652"/>
      <c r="G1652"/>
      <c r="H1652"/>
      <c r="I1652" s="532"/>
      <c r="V1652"/>
      <c r="W1652"/>
      <c r="Z1652"/>
      <c r="AA1652"/>
      <c r="AC1652"/>
      <c r="AD1652"/>
      <c r="AE1652"/>
      <c r="AI1652" s="960"/>
      <c r="AM1652"/>
    </row>
    <row r="1653" spans="3:39" x14ac:dyDescent="0.2">
      <c r="C1653"/>
      <c r="D1653"/>
      <c r="E1653"/>
      <c r="F1653"/>
      <c r="G1653"/>
      <c r="H1653"/>
      <c r="I1653" s="532"/>
      <c r="V1653"/>
      <c r="W1653"/>
      <c r="Z1653"/>
      <c r="AA1653"/>
      <c r="AC1653"/>
      <c r="AD1653"/>
      <c r="AE1653"/>
      <c r="AI1653" s="960"/>
      <c r="AM1653"/>
    </row>
    <row r="1654" spans="3:39" x14ac:dyDescent="0.2">
      <c r="C1654"/>
      <c r="D1654"/>
      <c r="E1654"/>
      <c r="F1654"/>
      <c r="G1654"/>
      <c r="H1654"/>
      <c r="I1654" s="532"/>
      <c r="V1654"/>
      <c r="W1654"/>
      <c r="Z1654"/>
      <c r="AA1654"/>
      <c r="AC1654"/>
      <c r="AD1654"/>
      <c r="AE1654"/>
      <c r="AI1654" s="960"/>
      <c r="AM1654"/>
    </row>
    <row r="1655" spans="3:39" x14ac:dyDescent="0.2">
      <c r="C1655"/>
      <c r="D1655"/>
      <c r="E1655"/>
      <c r="F1655"/>
      <c r="G1655"/>
      <c r="H1655"/>
      <c r="I1655" s="532"/>
      <c r="V1655"/>
      <c r="W1655"/>
      <c r="Z1655"/>
      <c r="AA1655"/>
      <c r="AC1655"/>
      <c r="AD1655"/>
      <c r="AE1655"/>
      <c r="AI1655" s="960"/>
      <c r="AM1655"/>
    </row>
    <row r="1656" spans="3:39" x14ac:dyDescent="0.2">
      <c r="C1656"/>
      <c r="D1656"/>
      <c r="E1656"/>
      <c r="F1656"/>
      <c r="G1656"/>
      <c r="H1656"/>
      <c r="I1656" s="532"/>
      <c r="V1656"/>
      <c r="W1656"/>
      <c r="Z1656"/>
      <c r="AA1656"/>
      <c r="AC1656"/>
      <c r="AD1656"/>
      <c r="AE1656"/>
      <c r="AI1656" s="960"/>
      <c r="AM1656"/>
    </row>
    <row r="1657" spans="3:39" x14ac:dyDescent="0.2">
      <c r="C1657"/>
      <c r="D1657"/>
      <c r="E1657"/>
      <c r="F1657"/>
      <c r="G1657"/>
      <c r="H1657"/>
      <c r="I1657" s="532"/>
      <c r="V1657"/>
      <c r="W1657"/>
      <c r="Z1657"/>
      <c r="AA1657"/>
      <c r="AC1657"/>
      <c r="AD1657"/>
      <c r="AE1657"/>
      <c r="AI1657" s="960"/>
      <c r="AM1657"/>
    </row>
    <row r="1658" spans="3:39" x14ac:dyDescent="0.2">
      <c r="C1658"/>
      <c r="D1658"/>
      <c r="E1658"/>
      <c r="F1658"/>
      <c r="G1658"/>
      <c r="H1658"/>
      <c r="I1658" s="532"/>
      <c r="V1658"/>
      <c r="W1658"/>
      <c r="Z1658"/>
      <c r="AA1658"/>
      <c r="AC1658"/>
      <c r="AD1658"/>
      <c r="AE1658"/>
      <c r="AI1658" s="960"/>
      <c r="AM1658"/>
    </row>
    <row r="1659" spans="3:39" x14ac:dyDescent="0.2">
      <c r="C1659"/>
      <c r="D1659"/>
      <c r="E1659"/>
      <c r="F1659"/>
      <c r="G1659"/>
      <c r="H1659"/>
      <c r="I1659" s="532"/>
      <c r="V1659"/>
      <c r="W1659"/>
      <c r="Z1659"/>
      <c r="AA1659"/>
      <c r="AC1659"/>
      <c r="AD1659"/>
      <c r="AE1659"/>
      <c r="AI1659" s="960"/>
      <c r="AM1659"/>
    </row>
    <row r="1660" spans="3:39" x14ac:dyDescent="0.2">
      <c r="C1660"/>
      <c r="D1660"/>
      <c r="E1660"/>
      <c r="F1660"/>
      <c r="G1660"/>
      <c r="H1660"/>
      <c r="I1660" s="532"/>
      <c r="V1660"/>
      <c r="W1660"/>
      <c r="Z1660"/>
      <c r="AA1660"/>
      <c r="AC1660"/>
      <c r="AD1660"/>
      <c r="AE1660"/>
      <c r="AI1660" s="960"/>
      <c r="AM1660"/>
    </row>
    <row r="1661" spans="3:39" x14ac:dyDescent="0.2">
      <c r="C1661"/>
      <c r="D1661"/>
      <c r="E1661"/>
      <c r="F1661"/>
      <c r="G1661"/>
      <c r="H1661"/>
      <c r="I1661" s="532"/>
      <c r="V1661"/>
      <c r="W1661"/>
      <c r="Z1661"/>
      <c r="AA1661"/>
      <c r="AC1661"/>
      <c r="AD1661"/>
      <c r="AE1661"/>
      <c r="AI1661" s="960"/>
      <c r="AM1661"/>
    </row>
    <row r="1662" spans="3:39" x14ac:dyDescent="0.2">
      <c r="C1662"/>
      <c r="D1662"/>
      <c r="E1662"/>
      <c r="F1662"/>
      <c r="G1662"/>
      <c r="H1662"/>
      <c r="I1662" s="532"/>
      <c r="V1662"/>
      <c r="W1662"/>
      <c r="Z1662"/>
      <c r="AA1662"/>
      <c r="AC1662"/>
      <c r="AD1662"/>
      <c r="AE1662"/>
      <c r="AI1662" s="960"/>
      <c r="AM1662"/>
    </row>
    <row r="1663" spans="3:39" x14ac:dyDescent="0.2">
      <c r="C1663"/>
      <c r="D1663"/>
      <c r="E1663"/>
      <c r="F1663"/>
      <c r="G1663"/>
      <c r="H1663"/>
      <c r="I1663" s="532"/>
      <c r="V1663"/>
      <c r="W1663"/>
      <c r="Z1663"/>
      <c r="AA1663"/>
      <c r="AC1663"/>
      <c r="AD1663"/>
      <c r="AE1663"/>
      <c r="AI1663" s="960"/>
      <c r="AM1663"/>
    </row>
    <row r="1664" spans="3:39" x14ac:dyDescent="0.2">
      <c r="C1664"/>
      <c r="D1664"/>
      <c r="E1664"/>
      <c r="F1664"/>
      <c r="G1664"/>
      <c r="H1664"/>
      <c r="I1664" s="532"/>
      <c r="V1664"/>
      <c r="W1664"/>
      <c r="Z1664"/>
      <c r="AA1664"/>
      <c r="AC1664"/>
      <c r="AD1664"/>
      <c r="AE1664"/>
      <c r="AI1664" s="960"/>
      <c r="AM1664"/>
    </row>
    <row r="1665" spans="3:39" x14ac:dyDescent="0.2">
      <c r="C1665"/>
      <c r="D1665"/>
      <c r="E1665"/>
      <c r="F1665"/>
      <c r="G1665"/>
      <c r="H1665"/>
      <c r="I1665" s="532"/>
      <c r="V1665"/>
      <c r="W1665"/>
      <c r="Z1665"/>
      <c r="AA1665"/>
      <c r="AC1665"/>
      <c r="AD1665"/>
      <c r="AE1665"/>
      <c r="AI1665" s="960"/>
      <c r="AM1665"/>
    </row>
    <row r="1666" spans="3:39" x14ac:dyDescent="0.2">
      <c r="C1666"/>
      <c r="D1666"/>
      <c r="E1666"/>
      <c r="F1666"/>
      <c r="G1666"/>
      <c r="H1666"/>
      <c r="I1666" s="532"/>
      <c r="V1666"/>
      <c r="W1666"/>
      <c r="Z1666"/>
      <c r="AA1666"/>
      <c r="AC1666"/>
      <c r="AD1666"/>
      <c r="AE1666"/>
      <c r="AI1666" s="960"/>
      <c r="AM1666"/>
    </row>
    <row r="1667" spans="3:39" x14ac:dyDescent="0.2">
      <c r="C1667"/>
      <c r="D1667"/>
      <c r="E1667"/>
      <c r="F1667"/>
      <c r="G1667"/>
      <c r="H1667"/>
      <c r="I1667" s="532"/>
      <c r="V1667"/>
      <c r="W1667"/>
      <c r="Z1667"/>
      <c r="AA1667"/>
      <c r="AC1667"/>
      <c r="AD1667"/>
      <c r="AE1667"/>
      <c r="AI1667" s="960"/>
      <c r="AM1667"/>
    </row>
    <row r="1668" spans="3:39" x14ac:dyDescent="0.2">
      <c r="C1668"/>
      <c r="D1668"/>
      <c r="E1668"/>
      <c r="F1668"/>
      <c r="G1668"/>
      <c r="H1668"/>
      <c r="I1668" s="532"/>
      <c r="V1668"/>
      <c r="W1668"/>
      <c r="Z1668"/>
      <c r="AA1668"/>
      <c r="AC1668"/>
      <c r="AD1668"/>
      <c r="AE1668"/>
      <c r="AI1668" s="960"/>
      <c r="AM1668"/>
    </row>
    <row r="1669" spans="3:39" x14ac:dyDescent="0.2">
      <c r="C1669"/>
      <c r="D1669"/>
      <c r="E1669"/>
      <c r="F1669"/>
      <c r="G1669"/>
      <c r="H1669"/>
      <c r="I1669" s="532"/>
      <c r="V1669"/>
      <c r="W1669"/>
      <c r="Z1669"/>
      <c r="AA1669"/>
      <c r="AC1669"/>
      <c r="AD1669"/>
      <c r="AE1669"/>
      <c r="AI1669" s="960"/>
      <c r="AM1669"/>
    </row>
    <row r="1670" spans="3:39" x14ac:dyDescent="0.2">
      <c r="C1670"/>
      <c r="D1670"/>
      <c r="E1670"/>
      <c r="F1670"/>
      <c r="G1670"/>
      <c r="H1670"/>
      <c r="I1670" s="532"/>
      <c r="V1670"/>
      <c r="W1670"/>
      <c r="Z1670"/>
      <c r="AA1670"/>
      <c r="AC1670"/>
      <c r="AD1670"/>
      <c r="AE1670"/>
      <c r="AI1670" s="960"/>
      <c r="AM1670"/>
    </row>
    <row r="1671" spans="3:39" x14ac:dyDescent="0.2">
      <c r="C1671"/>
      <c r="D1671"/>
      <c r="E1671"/>
      <c r="F1671"/>
      <c r="G1671"/>
      <c r="H1671"/>
      <c r="I1671" s="532"/>
      <c r="V1671"/>
      <c r="W1671"/>
      <c r="Z1671"/>
      <c r="AA1671"/>
      <c r="AC1671"/>
      <c r="AD1671"/>
      <c r="AE1671"/>
      <c r="AI1671" s="960"/>
      <c r="AM1671"/>
    </row>
    <row r="1672" spans="3:39" x14ac:dyDescent="0.2">
      <c r="C1672"/>
      <c r="D1672"/>
      <c r="E1672"/>
      <c r="F1672"/>
      <c r="G1672"/>
      <c r="H1672"/>
      <c r="I1672" s="532"/>
      <c r="V1672"/>
      <c r="W1672"/>
      <c r="Z1672"/>
      <c r="AA1672"/>
      <c r="AC1672"/>
      <c r="AD1672"/>
      <c r="AE1672"/>
      <c r="AI1672" s="960"/>
      <c r="AM1672"/>
    </row>
    <row r="1673" spans="3:39" x14ac:dyDescent="0.2">
      <c r="C1673"/>
      <c r="D1673"/>
      <c r="E1673"/>
      <c r="F1673"/>
      <c r="G1673"/>
      <c r="H1673"/>
      <c r="I1673" s="532"/>
      <c r="V1673"/>
      <c r="W1673"/>
      <c r="Z1673"/>
      <c r="AA1673"/>
      <c r="AC1673"/>
      <c r="AD1673"/>
      <c r="AE1673"/>
      <c r="AI1673" s="960"/>
      <c r="AM1673"/>
    </row>
    <row r="1674" spans="3:39" x14ac:dyDescent="0.2">
      <c r="C1674"/>
      <c r="D1674"/>
      <c r="E1674"/>
      <c r="F1674"/>
      <c r="G1674"/>
      <c r="H1674"/>
      <c r="I1674" s="532"/>
      <c r="V1674"/>
      <c r="W1674"/>
      <c r="Z1674"/>
      <c r="AA1674"/>
      <c r="AC1674"/>
      <c r="AD1674"/>
      <c r="AE1674"/>
      <c r="AI1674" s="960"/>
      <c r="AM1674"/>
    </row>
    <row r="1675" spans="3:39" x14ac:dyDescent="0.2">
      <c r="C1675"/>
      <c r="D1675"/>
      <c r="E1675"/>
      <c r="F1675"/>
      <c r="G1675"/>
      <c r="H1675"/>
      <c r="I1675" s="532"/>
      <c r="V1675"/>
      <c r="W1675"/>
      <c r="Z1675"/>
      <c r="AA1675"/>
      <c r="AC1675"/>
      <c r="AD1675"/>
      <c r="AE1675"/>
      <c r="AI1675" s="960"/>
      <c r="AM1675"/>
    </row>
    <row r="1676" spans="3:39" x14ac:dyDescent="0.2">
      <c r="C1676"/>
      <c r="D1676"/>
      <c r="E1676"/>
      <c r="F1676"/>
      <c r="G1676"/>
      <c r="H1676"/>
      <c r="I1676" s="532"/>
      <c r="V1676"/>
      <c r="W1676"/>
      <c r="Z1676"/>
      <c r="AA1676"/>
      <c r="AC1676"/>
      <c r="AD1676"/>
      <c r="AE1676"/>
      <c r="AI1676" s="960"/>
      <c r="AM1676"/>
    </row>
    <row r="1677" spans="3:39" x14ac:dyDescent="0.2">
      <c r="C1677"/>
      <c r="D1677"/>
      <c r="E1677"/>
      <c r="F1677"/>
      <c r="G1677"/>
      <c r="H1677"/>
      <c r="I1677" s="532"/>
      <c r="V1677"/>
      <c r="W1677"/>
      <c r="Z1677"/>
      <c r="AA1677"/>
      <c r="AC1677"/>
      <c r="AD1677"/>
      <c r="AE1677"/>
      <c r="AI1677" s="960"/>
      <c r="AM1677"/>
    </row>
    <row r="1678" spans="3:39" x14ac:dyDescent="0.2">
      <c r="C1678"/>
      <c r="D1678"/>
      <c r="E1678"/>
      <c r="F1678"/>
      <c r="G1678"/>
      <c r="H1678"/>
      <c r="I1678" s="532"/>
      <c r="V1678"/>
      <c r="W1678"/>
      <c r="Z1678"/>
      <c r="AA1678"/>
      <c r="AC1678"/>
      <c r="AD1678"/>
      <c r="AE1678"/>
      <c r="AI1678" s="960"/>
      <c r="AM1678"/>
    </row>
    <row r="1679" spans="3:39" x14ac:dyDescent="0.2">
      <c r="C1679"/>
      <c r="D1679"/>
      <c r="E1679"/>
      <c r="F1679"/>
      <c r="G1679"/>
      <c r="H1679"/>
      <c r="I1679" s="532"/>
      <c r="V1679"/>
      <c r="W1679"/>
      <c r="Z1679"/>
      <c r="AA1679"/>
      <c r="AC1679"/>
      <c r="AD1679"/>
      <c r="AE1679"/>
      <c r="AI1679" s="960"/>
      <c r="AM1679"/>
    </row>
    <row r="1680" spans="3:39" x14ac:dyDescent="0.2">
      <c r="C1680"/>
      <c r="D1680"/>
      <c r="E1680"/>
      <c r="F1680"/>
      <c r="G1680"/>
      <c r="H1680"/>
      <c r="I1680" s="532"/>
      <c r="V1680"/>
      <c r="W1680"/>
      <c r="Z1680"/>
      <c r="AA1680"/>
      <c r="AC1680"/>
      <c r="AD1680"/>
      <c r="AE1680"/>
      <c r="AI1680" s="960"/>
      <c r="AM1680"/>
    </row>
    <row r="1681" spans="3:39" x14ac:dyDescent="0.2">
      <c r="C1681"/>
      <c r="D1681"/>
      <c r="E1681"/>
      <c r="F1681"/>
      <c r="G1681"/>
      <c r="H1681"/>
      <c r="I1681" s="532"/>
      <c r="V1681"/>
      <c r="W1681"/>
      <c r="Z1681"/>
      <c r="AA1681"/>
      <c r="AC1681"/>
      <c r="AD1681"/>
      <c r="AE1681"/>
      <c r="AI1681" s="960"/>
      <c r="AM1681"/>
    </row>
    <row r="1682" spans="3:39" x14ac:dyDescent="0.2">
      <c r="C1682"/>
      <c r="D1682"/>
      <c r="E1682"/>
      <c r="F1682"/>
      <c r="G1682"/>
      <c r="H1682"/>
      <c r="I1682" s="532"/>
      <c r="V1682"/>
      <c r="W1682"/>
      <c r="Z1682"/>
      <c r="AA1682"/>
      <c r="AC1682"/>
      <c r="AD1682"/>
      <c r="AE1682"/>
      <c r="AI1682" s="960"/>
      <c r="AM1682"/>
    </row>
    <row r="1683" spans="3:39" x14ac:dyDescent="0.2">
      <c r="C1683"/>
      <c r="D1683"/>
      <c r="E1683"/>
      <c r="F1683"/>
      <c r="G1683"/>
      <c r="H1683"/>
      <c r="I1683" s="532"/>
      <c r="V1683"/>
      <c r="W1683"/>
      <c r="Z1683"/>
      <c r="AA1683"/>
      <c r="AC1683"/>
      <c r="AD1683"/>
      <c r="AE1683"/>
      <c r="AI1683" s="960"/>
      <c r="AM1683"/>
    </row>
    <row r="1684" spans="3:39" x14ac:dyDescent="0.2">
      <c r="C1684"/>
      <c r="D1684"/>
      <c r="E1684"/>
      <c r="F1684"/>
      <c r="G1684"/>
      <c r="H1684"/>
      <c r="I1684" s="532"/>
      <c r="V1684"/>
      <c r="W1684"/>
      <c r="Z1684"/>
      <c r="AA1684"/>
      <c r="AC1684"/>
      <c r="AD1684"/>
      <c r="AE1684"/>
      <c r="AI1684" s="960"/>
      <c r="AM1684"/>
    </row>
    <row r="1685" spans="3:39" x14ac:dyDescent="0.2">
      <c r="C1685"/>
      <c r="D1685"/>
      <c r="E1685"/>
      <c r="F1685"/>
      <c r="G1685"/>
      <c r="H1685"/>
      <c r="I1685" s="532"/>
      <c r="V1685"/>
      <c r="W1685"/>
      <c r="Z1685"/>
      <c r="AA1685"/>
      <c r="AC1685"/>
      <c r="AD1685"/>
      <c r="AE1685"/>
      <c r="AI1685" s="960"/>
      <c r="AM1685"/>
    </row>
    <row r="1686" spans="3:39" x14ac:dyDescent="0.2">
      <c r="C1686"/>
      <c r="D1686"/>
      <c r="E1686"/>
      <c r="F1686"/>
      <c r="G1686"/>
      <c r="H1686"/>
      <c r="I1686" s="532"/>
      <c r="V1686"/>
      <c r="W1686"/>
      <c r="Z1686"/>
      <c r="AA1686"/>
      <c r="AC1686"/>
      <c r="AD1686"/>
      <c r="AE1686"/>
      <c r="AI1686" s="960"/>
      <c r="AM1686"/>
    </row>
    <row r="1687" spans="3:39" x14ac:dyDescent="0.2">
      <c r="C1687"/>
      <c r="D1687"/>
      <c r="E1687"/>
      <c r="F1687"/>
      <c r="G1687"/>
      <c r="H1687"/>
      <c r="I1687" s="532"/>
      <c r="V1687"/>
      <c r="W1687"/>
      <c r="Z1687"/>
      <c r="AA1687"/>
      <c r="AC1687"/>
      <c r="AD1687"/>
      <c r="AE1687"/>
      <c r="AI1687" s="960"/>
      <c r="AM1687"/>
    </row>
    <row r="1688" spans="3:39" x14ac:dyDescent="0.2">
      <c r="C1688"/>
      <c r="D1688"/>
      <c r="E1688"/>
      <c r="F1688"/>
      <c r="G1688"/>
      <c r="H1688"/>
      <c r="I1688" s="532"/>
      <c r="V1688"/>
      <c r="W1688"/>
      <c r="Z1688"/>
      <c r="AA1688"/>
      <c r="AC1688"/>
      <c r="AD1688"/>
      <c r="AE1688"/>
      <c r="AI1688" s="960"/>
      <c r="AM1688"/>
    </row>
    <row r="1689" spans="3:39" x14ac:dyDescent="0.2">
      <c r="C1689"/>
      <c r="D1689"/>
      <c r="E1689"/>
      <c r="F1689"/>
      <c r="G1689"/>
      <c r="H1689"/>
      <c r="I1689" s="532"/>
      <c r="V1689"/>
      <c r="W1689"/>
      <c r="Z1689"/>
      <c r="AA1689"/>
      <c r="AC1689"/>
      <c r="AD1689"/>
      <c r="AE1689"/>
      <c r="AI1689" s="960"/>
      <c r="AM1689"/>
    </row>
    <row r="1690" spans="3:39" x14ac:dyDescent="0.2">
      <c r="C1690"/>
      <c r="D1690"/>
      <c r="E1690"/>
      <c r="F1690"/>
      <c r="G1690"/>
      <c r="H1690"/>
      <c r="I1690" s="532"/>
      <c r="V1690"/>
      <c r="W1690"/>
      <c r="Z1690"/>
      <c r="AA1690"/>
      <c r="AC1690"/>
      <c r="AD1690"/>
      <c r="AE1690"/>
      <c r="AI1690" s="960"/>
      <c r="AM1690"/>
    </row>
    <row r="1691" spans="3:39" x14ac:dyDescent="0.2">
      <c r="C1691"/>
      <c r="D1691"/>
      <c r="E1691"/>
      <c r="F1691"/>
      <c r="G1691"/>
      <c r="H1691"/>
      <c r="I1691" s="532"/>
      <c r="V1691"/>
      <c r="W1691"/>
      <c r="Z1691"/>
      <c r="AA1691"/>
      <c r="AC1691"/>
      <c r="AD1691"/>
      <c r="AE1691"/>
      <c r="AI1691" s="960"/>
      <c r="AM1691"/>
    </row>
    <row r="1692" spans="3:39" x14ac:dyDescent="0.2">
      <c r="C1692"/>
      <c r="D1692"/>
      <c r="E1692"/>
      <c r="F1692"/>
      <c r="G1692"/>
      <c r="H1692"/>
      <c r="I1692" s="532"/>
      <c r="V1692"/>
      <c r="W1692"/>
      <c r="Z1692"/>
      <c r="AA1692"/>
      <c r="AC1692"/>
      <c r="AD1692"/>
      <c r="AE1692"/>
      <c r="AI1692" s="960"/>
      <c r="AM1692"/>
    </row>
    <row r="1693" spans="3:39" x14ac:dyDescent="0.2">
      <c r="C1693"/>
      <c r="D1693"/>
      <c r="E1693"/>
      <c r="F1693"/>
      <c r="G1693"/>
      <c r="H1693"/>
      <c r="I1693" s="532"/>
      <c r="V1693"/>
      <c r="W1693"/>
      <c r="Z1693"/>
      <c r="AA1693"/>
      <c r="AC1693"/>
      <c r="AD1693"/>
      <c r="AE1693"/>
      <c r="AI1693" s="960"/>
      <c r="AM1693"/>
    </row>
    <row r="1694" spans="3:39" x14ac:dyDescent="0.2">
      <c r="C1694"/>
      <c r="D1694"/>
      <c r="E1694"/>
      <c r="F1694"/>
      <c r="G1694"/>
      <c r="H1694"/>
      <c r="I1694" s="532"/>
      <c r="V1694"/>
      <c r="W1694"/>
      <c r="Z1694"/>
      <c r="AA1694"/>
      <c r="AC1694"/>
      <c r="AD1694"/>
      <c r="AE1694"/>
      <c r="AI1694" s="960"/>
      <c r="AM1694"/>
    </row>
    <row r="1695" spans="3:39" x14ac:dyDescent="0.2">
      <c r="C1695"/>
      <c r="D1695"/>
      <c r="E1695"/>
      <c r="F1695"/>
      <c r="G1695"/>
      <c r="H1695"/>
      <c r="I1695" s="532"/>
      <c r="V1695"/>
      <c r="W1695"/>
      <c r="Z1695"/>
      <c r="AA1695"/>
      <c r="AC1695"/>
      <c r="AD1695"/>
      <c r="AE1695"/>
      <c r="AI1695" s="960"/>
      <c r="AM1695"/>
    </row>
    <row r="1696" spans="3:39" x14ac:dyDescent="0.2">
      <c r="C1696"/>
      <c r="D1696"/>
      <c r="E1696"/>
      <c r="F1696"/>
      <c r="G1696"/>
      <c r="H1696"/>
      <c r="I1696" s="532"/>
      <c r="V1696"/>
      <c r="W1696"/>
      <c r="Z1696"/>
      <c r="AA1696"/>
      <c r="AC1696"/>
      <c r="AD1696"/>
      <c r="AE1696"/>
      <c r="AI1696" s="960"/>
      <c r="AM1696"/>
    </row>
    <row r="1697" spans="3:39" x14ac:dyDescent="0.2">
      <c r="C1697"/>
      <c r="D1697"/>
      <c r="E1697"/>
      <c r="F1697"/>
      <c r="G1697"/>
      <c r="H1697"/>
      <c r="I1697" s="532"/>
      <c r="V1697"/>
      <c r="W1697"/>
      <c r="Z1697"/>
      <c r="AA1697"/>
      <c r="AC1697"/>
      <c r="AD1697"/>
      <c r="AE1697"/>
      <c r="AI1697" s="960"/>
      <c r="AM1697"/>
    </row>
    <row r="1698" spans="3:39" x14ac:dyDescent="0.2">
      <c r="C1698"/>
      <c r="D1698"/>
      <c r="E1698"/>
      <c r="F1698"/>
      <c r="G1698"/>
      <c r="H1698"/>
      <c r="I1698" s="532"/>
      <c r="V1698"/>
      <c r="W1698"/>
      <c r="Z1698"/>
      <c r="AA1698"/>
      <c r="AC1698"/>
      <c r="AD1698"/>
      <c r="AE1698"/>
      <c r="AI1698" s="960"/>
      <c r="AM1698"/>
    </row>
    <row r="1699" spans="3:39" x14ac:dyDescent="0.2">
      <c r="C1699"/>
      <c r="D1699"/>
      <c r="E1699"/>
      <c r="F1699"/>
      <c r="G1699"/>
      <c r="H1699"/>
      <c r="I1699" s="532"/>
      <c r="V1699"/>
      <c r="W1699"/>
      <c r="Z1699"/>
      <c r="AA1699"/>
      <c r="AC1699"/>
      <c r="AD1699"/>
      <c r="AE1699"/>
      <c r="AI1699" s="960"/>
      <c r="AM1699"/>
    </row>
    <row r="1700" spans="3:39" x14ac:dyDescent="0.2">
      <c r="C1700"/>
      <c r="D1700"/>
      <c r="E1700"/>
      <c r="F1700"/>
      <c r="G1700"/>
      <c r="H1700"/>
      <c r="I1700" s="532"/>
      <c r="V1700"/>
      <c r="W1700"/>
      <c r="Z1700"/>
      <c r="AA1700"/>
      <c r="AC1700"/>
      <c r="AD1700"/>
      <c r="AE1700"/>
      <c r="AI1700" s="960"/>
      <c r="AM1700"/>
    </row>
    <row r="1701" spans="3:39" x14ac:dyDescent="0.2">
      <c r="C1701"/>
      <c r="D1701"/>
      <c r="E1701"/>
      <c r="F1701"/>
      <c r="G1701"/>
      <c r="H1701"/>
      <c r="I1701" s="532"/>
      <c r="V1701"/>
      <c r="W1701"/>
      <c r="Z1701"/>
      <c r="AA1701"/>
      <c r="AC1701"/>
      <c r="AD1701"/>
      <c r="AE1701"/>
      <c r="AI1701" s="960"/>
      <c r="AM1701"/>
    </row>
    <row r="1702" spans="3:39" x14ac:dyDescent="0.2">
      <c r="C1702"/>
      <c r="D1702"/>
      <c r="E1702"/>
      <c r="F1702"/>
      <c r="G1702"/>
      <c r="H1702"/>
      <c r="I1702" s="532"/>
      <c r="V1702"/>
      <c r="W1702"/>
      <c r="Z1702"/>
      <c r="AA1702"/>
      <c r="AC1702"/>
      <c r="AD1702"/>
      <c r="AE1702"/>
      <c r="AI1702" s="960"/>
      <c r="AM1702"/>
    </row>
    <row r="1703" spans="3:39" x14ac:dyDescent="0.2">
      <c r="C1703"/>
      <c r="D1703"/>
      <c r="E1703"/>
      <c r="F1703"/>
      <c r="G1703"/>
      <c r="H1703"/>
      <c r="I1703" s="532"/>
      <c r="V1703"/>
      <c r="W1703"/>
      <c r="Z1703"/>
      <c r="AA1703"/>
      <c r="AC1703"/>
      <c r="AD1703"/>
      <c r="AE1703"/>
      <c r="AI1703" s="960"/>
      <c r="AM1703"/>
    </row>
    <row r="1704" spans="3:39" x14ac:dyDescent="0.2">
      <c r="C1704"/>
      <c r="D1704"/>
      <c r="E1704"/>
      <c r="F1704"/>
      <c r="G1704"/>
      <c r="H1704"/>
      <c r="I1704" s="532"/>
      <c r="V1704"/>
      <c r="W1704"/>
      <c r="Z1704"/>
      <c r="AA1704"/>
      <c r="AC1704"/>
      <c r="AD1704"/>
      <c r="AE1704"/>
      <c r="AI1704" s="960"/>
      <c r="AM1704"/>
    </row>
    <row r="1705" spans="3:39" x14ac:dyDescent="0.2">
      <c r="C1705"/>
      <c r="D1705"/>
      <c r="E1705"/>
      <c r="F1705"/>
      <c r="G1705"/>
      <c r="H1705"/>
      <c r="I1705" s="532"/>
      <c r="V1705"/>
      <c r="W1705"/>
      <c r="Z1705"/>
      <c r="AA1705"/>
      <c r="AC1705"/>
      <c r="AD1705"/>
      <c r="AE1705"/>
      <c r="AI1705" s="960"/>
      <c r="AM1705"/>
    </row>
    <row r="1706" spans="3:39" x14ac:dyDescent="0.2">
      <c r="C1706"/>
      <c r="D1706"/>
      <c r="E1706"/>
      <c r="F1706"/>
      <c r="G1706"/>
      <c r="H1706"/>
      <c r="I1706" s="532"/>
      <c r="V1706"/>
      <c r="W1706"/>
      <c r="Z1706"/>
      <c r="AA1706"/>
      <c r="AC1706"/>
      <c r="AD1706"/>
      <c r="AE1706"/>
      <c r="AI1706" s="960"/>
      <c r="AM1706"/>
    </row>
    <row r="1707" spans="3:39" x14ac:dyDescent="0.2">
      <c r="C1707"/>
      <c r="D1707"/>
      <c r="E1707"/>
      <c r="F1707"/>
      <c r="G1707"/>
      <c r="H1707"/>
      <c r="I1707" s="532"/>
      <c r="V1707"/>
      <c r="W1707"/>
      <c r="Z1707"/>
      <c r="AA1707"/>
      <c r="AC1707"/>
      <c r="AD1707"/>
      <c r="AE1707"/>
      <c r="AI1707" s="960"/>
      <c r="AM1707"/>
    </row>
    <row r="1708" spans="3:39" x14ac:dyDescent="0.2">
      <c r="C1708"/>
      <c r="D1708"/>
      <c r="E1708"/>
      <c r="F1708"/>
      <c r="G1708"/>
      <c r="H1708"/>
      <c r="I1708" s="532"/>
      <c r="V1708"/>
      <c r="W1708"/>
      <c r="Z1708"/>
      <c r="AA1708"/>
      <c r="AC1708"/>
      <c r="AD1708"/>
      <c r="AE1708"/>
      <c r="AI1708" s="960"/>
      <c r="AM1708"/>
    </row>
    <row r="1709" spans="3:39" x14ac:dyDescent="0.2">
      <c r="C1709"/>
      <c r="D1709"/>
      <c r="E1709"/>
      <c r="F1709"/>
      <c r="G1709"/>
      <c r="H1709"/>
      <c r="I1709" s="532"/>
      <c r="V1709"/>
      <c r="W1709"/>
      <c r="Z1709"/>
      <c r="AA1709"/>
      <c r="AC1709"/>
      <c r="AD1709"/>
      <c r="AE1709"/>
      <c r="AI1709" s="960"/>
      <c r="AM1709"/>
    </row>
    <row r="1710" spans="3:39" x14ac:dyDescent="0.2">
      <c r="C1710"/>
      <c r="D1710"/>
      <c r="E1710"/>
      <c r="F1710"/>
      <c r="G1710"/>
      <c r="H1710"/>
      <c r="I1710" s="532"/>
      <c r="V1710"/>
      <c r="W1710"/>
      <c r="Z1710"/>
      <c r="AA1710"/>
      <c r="AC1710"/>
      <c r="AD1710"/>
      <c r="AE1710"/>
      <c r="AI1710" s="960"/>
      <c r="AM1710"/>
    </row>
    <row r="1711" spans="3:39" x14ac:dyDescent="0.2">
      <c r="C1711"/>
      <c r="D1711"/>
      <c r="E1711"/>
      <c r="F1711"/>
      <c r="G1711"/>
      <c r="H1711"/>
      <c r="I1711" s="532"/>
      <c r="V1711"/>
      <c r="W1711"/>
      <c r="Z1711"/>
      <c r="AA1711"/>
      <c r="AC1711"/>
      <c r="AD1711"/>
      <c r="AE1711"/>
      <c r="AI1711" s="960"/>
      <c r="AM1711"/>
    </row>
    <row r="1712" spans="3:39" x14ac:dyDescent="0.2">
      <c r="C1712"/>
      <c r="D1712"/>
      <c r="E1712"/>
      <c r="F1712"/>
      <c r="G1712"/>
      <c r="H1712"/>
      <c r="I1712" s="532"/>
      <c r="V1712"/>
      <c r="W1712"/>
      <c r="Z1712"/>
      <c r="AA1712"/>
      <c r="AC1712"/>
      <c r="AD1712"/>
      <c r="AE1712"/>
      <c r="AI1712" s="960"/>
      <c r="AM1712"/>
    </row>
    <row r="1713" spans="3:39" x14ac:dyDescent="0.2">
      <c r="C1713"/>
      <c r="D1713"/>
      <c r="E1713"/>
      <c r="F1713"/>
      <c r="G1713"/>
      <c r="H1713"/>
      <c r="I1713" s="532"/>
      <c r="V1713"/>
      <c r="W1713"/>
      <c r="Z1713"/>
      <c r="AA1713"/>
      <c r="AC1713"/>
      <c r="AD1713"/>
      <c r="AE1713"/>
      <c r="AI1713" s="960"/>
      <c r="AM1713"/>
    </row>
    <row r="1714" spans="3:39" x14ac:dyDescent="0.2">
      <c r="C1714"/>
      <c r="D1714"/>
      <c r="E1714"/>
      <c r="F1714"/>
      <c r="G1714"/>
      <c r="H1714"/>
      <c r="I1714" s="532"/>
      <c r="V1714"/>
      <c r="W1714"/>
      <c r="Z1714"/>
      <c r="AA1714"/>
      <c r="AC1714"/>
      <c r="AD1714"/>
      <c r="AE1714"/>
      <c r="AI1714" s="960"/>
      <c r="AM1714"/>
    </row>
    <row r="1715" spans="3:39" x14ac:dyDescent="0.2">
      <c r="C1715"/>
      <c r="D1715"/>
      <c r="E1715"/>
      <c r="F1715"/>
      <c r="G1715"/>
      <c r="H1715"/>
      <c r="I1715" s="532"/>
      <c r="V1715"/>
      <c r="W1715"/>
      <c r="Z1715"/>
      <c r="AA1715"/>
      <c r="AC1715"/>
      <c r="AD1715"/>
      <c r="AE1715"/>
      <c r="AI1715" s="960"/>
      <c r="AM1715"/>
    </row>
    <row r="1716" spans="3:39" x14ac:dyDescent="0.2">
      <c r="C1716"/>
      <c r="D1716"/>
      <c r="E1716"/>
      <c r="F1716"/>
      <c r="G1716"/>
      <c r="H1716"/>
      <c r="I1716" s="532"/>
      <c r="V1716"/>
      <c r="W1716"/>
      <c r="Z1716"/>
      <c r="AA1716"/>
      <c r="AC1716"/>
      <c r="AD1716"/>
      <c r="AE1716"/>
      <c r="AI1716" s="960"/>
      <c r="AM1716"/>
    </row>
    <row r="1717" spans="3:39" x14ac:dyDescent="0.2">
      <c r="C1717"/>
      <c r="D1717"/>
      <c r="E1717"/>
      <c r="F1717"/>
      <c r="G1717"/>
      <c r="H1717"/>
      <c r="I1717" s="532"/>
      <c r="V1717"/>
      <c r="W1717"/>
      <c r="Z1717"/>
      <c r="AA1717"/>
      <c r="AC1717"/>
      <c r="AD1717"/>
      <c r="AE1717"/>
      <c r="AI1717" s="960"/>
      <c r="AM1717"/>
    </row>
    <row r="1718" spans="3:39" x14ac:dyDescent="0.2">
      <c r="C1718"/>
      <c r="D1718"/>
      <c r="E1718"/>
      <c r="F1718"/>
      <c r="G1718"/>
      <c r="H1718"/>
      <c r="I1718" s="532"/>
      <c r="V1718"/>
      <c r="W1718"/>
      <c r="Z1718"/>
      <c r="AA1718"/>
      <c r="AC1718"/>
      <c r="AD1718"/>
      <c r="AE1718"/>
      <c r="AI1718" s="960"/>
      <c r="AM1718"/>
    </row>
    <row r="1719" spans="3:39" x14ac:dyDescent="0.2">
      <c r="C1719"/>
      <c r="D1719"/>
      <c r="E1719"/>
      <c r="F1719"/>
      <c r="G1719"/>
      <c r="H1719"/>
      <c r="I1719" s="532"/>
      <c r="V1719"/>
      <c r="W1719"/>
      <c r="Z1719"/>
      <c r="AA1719"/>
      <c r="AC1719"/>
      <c r="AD1719"/>
      <c r="AE1719"/>
      <c r="AI1719" s="960"/>
      <c r="AM1719"/>
    </row>
    <row r="1720" spans="3:39" x14ac:dyDescent="0.2">
      <c r="C1720"/>
      <c r="D1720"/>
      <c r="E1720"/>
      <c r="F1720"/>
      <c r="G1720"/>
      <c r="H1720"/>
      <c r="I1720" s="532"/>
      <c r="V1720"/>
      <c r="W1720"/>
      <c r="Z1720"/>
      <c r="AA1720"/>
      <c r="AC1720"/>
      <c r="AD1720"/>
      <c r="AE1720"/>
      <c r="AI1720" s="960"/>
      <c r="AM1720"/>
    </row>
    <row r="1721" spans="3:39" x14ac:dyDescent="0.2">
      <c r="C1721"/>
      <c r="D1721"/>
      <c r="E1721"/>
      <c r="F1721"/>
      <c r="G1721"/>
      <c r="H1721"/>
      <c r="I1721" s="532"/>
      <c r="V1721"/>
      <c r="W1721"/>
      <c r="Z1721"/>
      <c r="AA1721"/>
      <c r="AC1721"/>
      <c r="AD1721"/>
      <c r="AE1721"/>
      <c r="AI1721" s="960"/>
      <c r="AM1721"/>
    </row>
    <row r="1722" spans="3:39" x14ac:dyDescent="0.2">
      <c r="C1722"/>
      <c r="D1722"/>
      <c r="E1722"/>
      <c r="F1722"/>
      <c r="G1722"/>
      <c r="H1722"/>
      <c r="I1722" s="532"/>
      <c r="V1722"/>
      <c r="W1722"/>
      <c r="Z1722"/>
      <c r="AA1722"/>
      <c r="AC1722"/>
      <c r="AD1722"/>
      <c r="AE1722"/>
      <c r="AI1722" s="960"/>
      <c r="AM1722"/>
    </row>
    <row r="1723" spans="3:39" x14ac:dyDescent="0.2">
      <c r="C1723"/>
      <c r="D1723"/>
      <c r="E1723"/>
      <c r="F1723"/>
      <c r="G1723"/>
      <c r="H1723"/>
      <c r="I1723" s="532"/>
      <c r="V1723"/>
      <c r="W1723"/>
      <c r="Z1723"/>
      <c r="AA1723"/>
      <c r="AC1723"/>
      <c r="AD1723"/>
      <c r="AE1723"/>
      <c r="AI1723" s="960"/>
      <c r="AM1723"/>
    </row>
    <row r="1724" spans="3:39" x14ac:dyDescent="0.2">
      <c r="C1724"/>
      <c r="D1724"/>
      <c r="E1724"/>
      <c r="F1724"/>
      <c r="G1724"/>
      <c r="H1724"/>
      <c r="I1724" s="532"/>
      <c r="V1724"/>
      <c r="W1724"/>
      <c r="Z1724"/>
      <c r="AA1724"/>
      <c r="AC1724"/>
      <c r="AD1724"/>
      <c r="AE1724"/>
      <c r="AI1724" s="960"/>
      <c r="AM1724"/>
    </row>
    <row r="1725" spans="3:39" x14ac:dyDescent="0.2">
      <c r="C1725"/>
      <c r="D1725"/>
      <c r="E1725"/>
      <c r="F1725"/>
      <c r="G1725"/>
      <c r="H1725"/>
      <c r="I1725" s="532"/>
      <c r="V1725"/>
      <c r="W1725"/>
      <c r="Z1725"/>
      <c r="AA1725"/>
      <c r="AC1725"/>
      <c r="AD1725"/>
      <c r="AE1725"/>
      <c r="AI1725" s="960"/>
      <c r="AM1725"/>
    </row>
    <row r="1726" spans="3:39" x14ac:dyDescent="0.2">
      <c r="C1726"/>
      <c r="D1726"/>
      <c r="E1726"/>
      <c r="F1726"/>
      <c r="G1726"/>
      <c r="H1726"/>
      <c r="I1726" s="532"/>
      <c r="V1726"/>
      <c r="W1726"/>
      <c r="Z1726"/>
      <c r="AA1726"/>
      <c r="AC1726"/>
      <c r="AD1726"/>
      <c r="AE1726"/>
      <c r="AI1726" s="960"/>
      <c r="AM1726"/>
    </row>
    <row r="1727" spans="3:39" x14ac:dyDescent="0.2">
      <c r="C1727"/>
      <c r="D1727"/>
      <c r="E1727"/>
      <c r="F1727"/>
      <c r="G1727"/>
      <c r="H1727"/>
      <c r="I1727" s="532"/>
      <c r="V1727"/>
      <c r="W1727"/>
      <c r="Z1727"/>
      <c r="AA1727"/>
      <c r="AC1727"/>
      <c r="AD1727"/>
      <c r="AE1727"/>
      <c r="AI1727" s="960"/>
      <c r="AM1727"/>
    </row>
    <row r="1728" spans="3:39" x14ac:dyDescent="0.2">
      <c r="C1728"/>
      <c r="D1728"/>
      <c r="E1728"/>
      <c r="F1728"/>
      <c r="G1728"/>
      <c r="H1728"/>
      <c r="I1728" s="532"/>
      <c r="V1728"/>
      <c r="W1728"/>
      <c r="Z1728"/>
      <c r="AA1728"/>
      <c r="AC1728"/>
      <c r="AD1728"/>
      <c r="AE1728"/>
      <c r="AI1728" s="960"/>
      <c r="AM1728"/>
    </row>
    <row r="1729" spans="3:39" x14ac:dyDescent="0.2">
      <c r="C1729"/>
      <c r="D1729"/>
      <c r="E1729"/>
      <c r="F1729"/>
      <c r="G1729"/>
      <c r="H1729"/>
      <c r="I1729" s="532"/>
      <c r="V1729"/>
      <c r="W1729"/>
      <c r="Z1729"/>
      <c r="AA1729"/>
      <c r="AC1729"/>
      <c r="AD1729"/>
      <c r="AE1729"/>
      <c r="AI1729" s="960"/>
      <c r="AM1729"/>
    </row>
    <row r="1730" spans="3:39" x14ac:dyDescent="0.2">
      <c r="C1730"/>
      <c r="D1730"/>
      <c r="E1730"/>
      <c r="F1730"/>
      <c r="G1730"/>
      <c r="H1730"/>
      <c r="I1730" s="532"/>
      <c r="V1730"/>
      <c r="W1730"/>
      <c r="Z1730"/>
      <c r="AA1730"/>
      <c r="AC1730"/>
      <c r="AD1730"/>
      <c r="AE1730"/>
      <c r="AI1730" s="960"/>
      <c r="AM1730"/>
    </row>
    <row r="1731" spans="3:39" x14ac:dyDescent="0.2">
      <c r="C1731"/>
      <c r="D1731"/>
      <c r="E1731"/>
      <c r="F1731"/>
      <c r="G1731"/>
      <c r="H1731"/>
      <c r="I1731" s="532"/>
      <c r="V1731"/>
      <c r="W1731"/>
      <c r="Z1731"/>
      <c r="AA1731"/>
      <c r="AC1731"/>
      <c r="AD1731"/>
      <c r="AE1731"/>
      <c r="AI1731" s="960"/>
      <c r="AM1731"/>
    </row>
    <row r="1732" spans="3:39" x14ac:dyDescent="0.2">
      <c r="C1732"/>
      <c r="D1732"/>
      <c r="E1732"/>
      <c r="F1732"/>
      <c r="G1732"/>
      <c r="H1732"/>
      <c r="I1732" s="532"/>
      <c r="V1732"/>
      <c r="W1732"/>
      <c r="Z1732"/>
      <c r="AA1732"/>
      <c r="AC1732"/>
      <c r="AD1732"/>
      <c r="AE1732"/>
      <c r="AI1732" s="960"/>
      <c r="AM1732"/>
    </row>
    <row r="1733" spans="3:39" x14ac:dyDescent="0.2">
      <c r="C1733"/>
      <c r="D1733"/>
      <c r="E1733"/>
      <c r="F1733"/>
      <c r="G1733"/>
      <c r="H1733"/>
      <c r="I1733" s="532"/>
      <c r="V1733"/>
      <c r="W1733"/>
      <c r="Z1733"/>
      <c r="AA1733"/>
      <c r="AC1733"/>
      <c r="AD1733"/>
      <c r="AE1733"/>
      <c r="AI1733" s="960"/>
      <c r="AM1733"/>
    </row>
    <row r="1734" spans="3:39" x14ac:dyDescent="0.2">
      <c r="C1734"/>
      <c r="D1734"/>
      <c r="E1734"/>
      <c r="F1734"/>
      <c r="G1734"/>
      <c r="H1734"/>
      <c r="I1734" s="532"/>
      <c r="V1734"/>
      <c r="W1734"/>
      <c r="Z1734"/>
      <c r="AA1734"/>
      <c r="AC1734"/>
      <c r="AD1734"/>
      <c r="AE1734"/>
      <c r="AI1734" s="960"/>
      <c r="AM1734"/>
    </row>
    <row r="1735" spans="3:39" x14ac:dyDescent="0.2">
      <c r="C1735"/>
      <c r="D1735"/>
      <c r="E1735"/>
      <c r="F1735"/>
      <c r="G1735"/>
      <c r="H1735"/>
      <c r="I1735" s="532"/>
      <c r="V1735"/>
      <c r="W1735"/>
      <c r="Z1735"/>
      <c r="AA1735"/>
      <c r="AC1735"/>
      <c r="AD1735"/>
      <c r="AE1735"/>
      <c r="AI1735" s="960"/>
      <c r="AM1735"/>
    </row>
    <row r="1736" spans="3:39" x14ac:dyDescent="0.2">
      <c r="C1736"/>
      <c r="D1736"/>
      <c r="E1736"/>
      <c r="F1736"/>
      <c r="G1736"/>
      <c r="H1736"/>
      <c r="I1736" s="532"/>
      <c r="V1736"/>
      <c r="W1736"/>
      <c r="Z1736"/>
      <c r="AA1736"/>
      <c r="AC1736"/>
      <c r="AD1736"/>
      <c r="AE1736"/>
      <c r="AI1736" s="960"/>
      <c r="AM1736"/>
    </row>
    <row r="1737" spans="3:39" x14ac:dyDescent="0.2">
      <c r="C1737"/>
      <c r="D1737"/>
      <c r="E1737"/>
      <c r="F1737"/>
      <c r="G1737"/>
      <c r="H1737"/>
      <c r="I1737" s="532"/>
      <c r="V1737"/>
      <c r="W1737"/>
      <c r="Z1737"/>
      <c r="AA1737"/>
      <c r="AC1737"/>
      <c r="AD1737"/>
      <c r="AE1737"/>
      <c r="AI1737" s="960"/>
      <c r="AM1737"/>
    </row>
    <row r="1738" spans="3:39" x14ac:dyDescent="0.2">
      <c r="C1738"/>
      <c r="D1738"/>
      <c r="E1738"/>
      <c r="F1738"/>
      <c r="G1738"/>
      <c r="H1738"/>
      <c r="I1738" s="532"/>
      <c r="V1738"/>
      <c r="W1738"/>
      <c r="Z1738"/>
      <c r="AA1738"/>
      <c r="AC1738"/>
      <c r="AD1738"/>
      <c r="AE1738"/>
      <c r="AI1738" s="960"/>
      <c r="AM1738"/>
    </row>
    <row r="1739" spans="3:39" x14ac:dyDescent="0.2">
      <c r="C1739"/>
      <c r="D1739"/>
      <c r="E1739"/>
      <c r="F1739"/>
      <c r="G1739"/>
      <c r="H1739"/>
      <c r="I1739" s="532"/>
      <c r="V1739"/>
      <c r="W1739"/>
      <c r="Z1739"/>
      <c r="AA1739"/>
      <c r="AC1739"/>
      <c r="AD1739"/>
      <c r="AE1739"/>
      <c r="AI1739" s="960"/>
      <c r="AM1739"/>
    </row>
    <row r="1740" spans="3:39" x14ac:dyDescent="0.2">
      <c r="C1740"/>
      <c r="D1740"/>
      <c r="E1740"/>
      <c r="F1740"/>
      <c r="G1740"/>
      <c r="H1740"/>
      <c r="I1740" s="532"/>
      <c r="V1740"/>
      <c r="W1740"/>
      <c r="Z1740"/>
      <c r="AA1740"/>
      <c r="AC1740"/>
      <c r="AD1740"/>
      <c r="AE1740"/>
      <c r="AI1740" s="960"/>
      <c r="AM1740"/>
    </row>
    <row r="1741" spans="3:39" x14ac:dyDescent="0.2">
      <c r="C1741"/>
      <c r="D1741"/>
      <c r="E1741"/>
      <c r="F1741"/>
      <c r="G1741"/>
      <c r="H1741"/>
      <c r="I1741" s="532"/>
      <c r="V1741"/>
      <c r="W1741"/>
      <c r="Z1741"/>
      <c r="AA1741"/>
      <c r="AC1741"/>
      <c r="AD1741"/>
      <c r="AE1741"/>
      <c r="AI1741" s="960"/>
      <c r="AM1741"/>
    </row>
    <row r="1742" spans="3:39" x14ac:dyDescent="0.2">
      <c r="C1742"/>
      <c r="D1742"/>
      <c r="E1742"/>
      <c r="F1742"/>
      <c r="G1742"/>
      <c r="H1742"/>
      <c r="I1742" s="532"/>
      <c r="V1742"/>
      <c r="W1742"/>
      <c r="Z1742"/>
      <c r="AA1742"/>
      <c r="AC1742"/>
      <c r="AD1742"/>
      <c r="AE1742"/>
      <c r="AI1742" s="960"/>
      <c r="AM1742"/>
    </row>
    <row r="1743" spans="3:39" x14ac:dyDescent="0.2">
      <c r="C1743"/>
      <c r="D1743"/>
      <c r="E1743"/>
      <c r="F1743"/>
      <c r="G1743"/>
      <c r="H1743"/>
      <c r="I1743" s="532"/>
      <c r="V1743"/>
      <c r="W1743"/>
      <c r="Z1743"/>
      <c r="AA1743"/>
      <c r="AC1743"/>
      <c r="AD1743"/>
      <c r="AE1743"/>
      <c r="AI1743" s="960"/>
      <c r="AM1743"/>
    </row>
    <row r="1744" spans="3:39" x14ac:dyDescent="0.2">
      <c r="C1744"/>
      <c r="D1744"/>
      <c r="E1744"/>
      <c r="F1744"/>
      <c r="G1744"/>
      <c r="H1744"/>
      <c r="I1744" s="532"/>
      <c r="V1744"/>
      <c r="W1744"/>
      <c r="Z1744"/>
      <c r="AA1744"/>
      <c r="AC1744"/>
      <c r="AD1744"/>
      <c r="AE1744"/>
      <c r="AI1744" s="960"/>
      <c r="AM1744"/>
    </row>
    <row r="1745" spans="3:39" x14ac:dyDescent="0.2">
      <c r="C1745"/>
      <c r="D1745"/>
      <c r="E1745"/>
      <c r="F1745"/>
      <c r="G1745"/>
      <c r="H1745"/>
      <c r="I1745" s="532"/>
      <c r="V1745"/>
      <c r="W1745"/>
      <c r="Z1745"/>
      <c r="AA1745"/>
      <c r="AC1745"/>
      <c r="AD1745"/>
      <c r="AE1745"/>
      <c r="AI1745" s="960"/>
      <c r="AM1745"/>
    </row>
    <row r="1746" spans="3:39" x14ac:dyDescent="0.2">
      <c r="C1746"/>
      <c r="D1746"/>
      <c r="E1746"/>
      <c r="F1746"/>
      <c r="G1746"/>
      <c r="H1746"/>
      <c r="I1746" s="532"/>
      <c r="V1746"/>
      <c r="W1746"/>
      <c r="Z1746"/>
      <c r="AA1746"/>
      <c r="AC1746"/>
      <c r="AD1746"/>
      <c r="AE1746"/>
      <c r="AI1746" s="960"/>
      <c r="AM1746"/>
    </row>
    <row r="1747" spans="3:39" x14ac:dyDescent="0.2">
      <c r="C1747"/>
      <c r="D1747"/>
      <c r="E1747"/>
      <c r="F1747"/>
      <c r="G1747"/>
      <c r="H1747"/>
      <c r="I1747" s="532"/>
      <c r="V1747"/>
      <c r="W1747"/>
      <c r="Z1747"/>
      <c r="AA1747"/>
      <c r="AC1747"/>
      <c r="AD1747"/>
      <c r="AE1747"/>
      <c r="AI1747" s="960"/>
      <c r="AM1747"/>
    </row>
    <row r="1748" spans="3:39" x14ac:dyDescent="0.2">
      <c r="C1748"/>
      <c r="D1748"/>
      <c r="E1748"/>
      <c r="F1748"/>
      <c r="G1748"/>
      <c r="H1748"/>
      <c r="I1748" s="532"/>
      <c r="V1748"/>
      <c r="W1748"/>
      <c r="Z1748"/>
      <c r="AA1748"/>
      <c r="AC1748"/>
      <c r="AD1748"/>
      <c r="AE1748"/>
      <c r="AI1748" s="960"/>
      <c r="AM1748"/>
    </row>
    <row r="1749" spans="3:39" x14ac:dyDescent="0.2">
      <c r="C1749"/>
      <c r="D1749"/>
      <c r="E1749"/>
      <c r="F1749"/>
      <c r="G1749"/>
      <c r="H1749"/>
      <c r="I1749" s="532"/>
      <c r="V1749"/>
      <c r="W1749"/>
      <c r="Z1749"/>
      <c r="AA1749"/>
      <c r="AC1749"/>
      <c r="AD1749"/>
      <c r="AE1749"/>
      <c r="AI1749" s="960"/>
      <c r="AM1749"/>
    </row>
    <row r="1750" spans="3:39" x14ac:dyDescent="0.2">
      <c r="C1750"/>
      <c r="D1750"/>
      <c r="E1750"/>
      <c r="F1750"/>
      <c r="G1750"/>
      <c r="H1750"/>
      <c r="I1750" s="532"/>
      <c r="V1750"/>
      <c r="W1750"/>
      <c r="Z1750"/>
      <c r="AA1750"/>
      <c r="AC1750"/>
      <c r="AD1750"/>
      <c r="AE1750"/>
      <c r="AI1750" s="960"/>
      <c r="AM1750"/>
    </row>
    <row r="1751" spans="3:39" x14ac:dyDescent="0.2">
      <c r="C1751"/>
      <c r="D1751"/>
      <c r="E1751"/>
      <c r="F1751"/>
      <c r="G1751"/>
      <c r="H1751"/>
      <c r="I1751" s="532"/>
      <c r="V1751"/>
      <c r="W1751"/>
      <c r="Z1751"/>
      <c r="AA1751"/>
      <c r="AC1751"/>
      <c r="AD1751"/>
      <c r="AE1751"/>
      <c r="AI1751" s="960"/>
      <c r="AM1751"/>
    </row>
    <row r="1752" spans="3:39" x14ac:dyDescent="0.2">
      <c r="C1752"/>
      <c r="D1752"/>
      <c r="E1752"/>
      <c r="F1752"/>
      <c r="G1752"/>
      <c r="H1752"/>
      <c r="I1752" s="532"/>
      <c r="V1752"/>
      <c r="W1752"/>
      <c r="Z1752"/>
      <c r="AA1752"/>
      <c r="AC1752"/>
      <c r="AD1752"/>
      <c r="AE1752"/>
      <c r="AI1752" s="960"/>
      <c r="AM1752"/>
    </row>
    <row r="1753" spans="3:39" x14ac:dyDescent="0.2">
      <c r="C1753"/>
      <c r="D1753"/>
      <c r="E1753"/>
      <c r="F1753"/>
      <c r="G1753"/>
      <c r="H1753"/>
      <c r="I1753" s="532"/>
      <c r="V1753"/>
      <c r="W1753"/>
      <c r="Z1753"/>
      <c r="AA1753"/>
      <c r="AC1753"/>
      <c r="AD1753"/>
      <c r="AE1753"/>
      <c r="AI1753" s="960"/>
      <c r="AM1753"/>
    </row>
    <row r="1754" spans="3:39" x14ac:dyDescent="0.2">
      <c r="C1754"/>
      <c r="D1754"/>
      <c r="E1754"/>
      <c r="F1754"/>
      <c r="G1754"/>
      <c r="H1754"/>
      <c r="I1754" s="532"/>
      <c r="V1754"/>
      <c r="W1754"/>
      <c r="Z1754"/>
      <c r="AA1754"/>
      <c r="AC1754"/>
      <c r="AD1754"/>
      <c r="AE1754"/>
      <c r="AI1754" s="960"/>
      <c r="AM1754"/>
    </row>
    <row r="1755" spans="3:39" x14ac:dyDescent="0.2">
      <c r="C1755"/>
      <c r="D1755"/>
      <c r="E1755"/>
      <c r="F1755"/>
      <c r="G1755"/>
      <c r="H1755"/>
      <c r="I1755" s="532"/>
      <c r="V1755"/>
      <c r="W1755"/>
      <c r="Z1755"/>
      <c r="AA1755"/>
      <c r="AC1755"/>
      <c r="AD1755"/>
      <c r="AE1755"/>
      <c r="AI1755" s="960"/>
      <c r="AM1755"/>
    </row>
    <row r="1756" spans="3:39" x14ac:dyDescent="0.2">
      <c r="C1756"/>
      <c r="D1756"/>
      <c r="E1756"/>
      <c r="F1756"/>
      <c r="G1756"/>
      <c r="H1756"/>
      <c r="I1756" s="532"/>
      <c r="V1756"/>
      <c r="W1756"/>
      <c r="Z1756"/>
      <c r="AA1756"/>
      <c r="AC1756"/>
      <c r="AD1756"/>
      <c r="AE1756"/>
      <c r="AI1756" s="960"/>
      <c r="AM1756"/>
    </row>
    <row r="1757" spans="3:39" x14ac:dyDescent="0.2">
      <c r="C1757"/>
      <c r="D1757"/>
      <c r="E1757"/>
      <c r="F1757"/>
      <c r="G1757"/>
      <c r="H1757"/>
      <c r="I1757" s="532"/>
      <c r="V1757"/>
      <c r="W1757"/>
      <c r="Z1757"/>
      <c r="AA1757"/>
      <c r="AC1757"/>
      <c r="AD1757"/>
      <c r="AE1757"/>
      <c r="AI1757" s="960"/>
      <c r="AM1757"/>
    </row>
    <row r="1758" spans="3:39" x14ac:dyDescent="0.2">
      <c r="C1758"/>
      <c r="D1758"/>
      <c r="E1758"/>
      <c r="F1758"/>
      <c r="G1758"/>
      <c r="H1758"/>
      <c r="I1758" s="532"/>
      <c r="V1758"/>
      <c r="W1758"/>
      <c r="Z1758"/>
      <c r="AA1758"/>
      <c r="AC1758"/>
      <c r="AD1758"/>
      <c r="AE1758"/>
      <c r="AI1758" s="960"/>
      <c r="AM1758"/>
    </row>
    <row r="1759" spans="3:39" x14ac:dyDescent="0.2">
      <c r="C1759"/>
      <c r="D1759"/>
      <c r="E1759"/>
      <c r="F1759"/>
      <c r="G1759"/>
      <c r="H1759"/>
      <c r="I1759" s="532"/>
      <c r="V1759"/>
      <c r="W1759"/>
      <c r="Z1759"/>
      <c r="AA1759"/>
      <c r="AC1759"/>
      <c r="AD1759"/>
      <c r="AE1759"/>
      <c r="AI1759" s="960"/>
      <c r="AM1759"/>
    </row>
    <row r="1760" spans="3:39" x14ac:dyDescent="0.2">
      <c r="C1760"/>
      <c r="D1760"/>
      <c r="E1760"/>
      <c r="F1760"/>
      <c r="G1760"/>
      <c r="H1760"/>
      <c r="I1760" s="532"/>
      <c r="V1760"/>
      <c r="W1760"/>
      <c r="Z1760"/>
      <c r="AA1760"/>
      <c r="AC1760"/>
      <c r="AD1760"/>
      <c r="AE1760"/>
      <c r="AI1760" s="960"/>
      <c r="AM1760"/>
    </row>
    <row r="1761" spans="3:39" x14ac:dyDescent="0.2">
      <c r="C1761"/>
      <c r="D1761"/>
      <c r="E1761"/>
      <c r="F1761"/>
      <c r="G1761"/>
      <c r="H1761"/>
      <c r="I1761" s="532"/>
      <c r="V1761"/>
      <c r="W1761"/>
      <c r="Z1761"/>
      <c r="AA1761"/>
      <c r="AC1761"/>
      <c r="AD1761"/>
      <c r="AE1761"/>
      <c r="AI1761" s="960"/>
      <c r="AM1761"/>
    </row>
    <row r="1762" spans="3:39" x14ac:dyDescent="0.2">
      <c r="C1762"/>
      <c r="D1762"/>
      <c r="E1762"/>
      <c r="F1762"/>
      <c r="G1762"/>
      <c r="H1762"/>
      <c r="I1762" s="532"/>
      <c r="V1762"/>
      <c r="W1762"/>
      <c r="Z1762"/>
      <c r="AA1762"/>
      <c r="AC1762"/>
      <c r="AD1762"/>
      <c r="AE1762"/>
      <c r="AI1762" s="960"/>
      <c r="AM1762"/>
    </row>
    <row r="1763" spans="3:39" x14ac:dyDescent="0.2">
      <c r="C1763"/>
      <c r="D1763"/>
      <c r="E1763"/>
      <c r="F1763"/>
      <c r="G1763"/>
      <c r="H1763"/>
      <c r="I1763" s="532"/>
      <c r="V1763"/>
      <c r="W1763"/>
      <c r="Z1763"/>
      <c r="AA1763"/>
      <c r="AC1763"/>
      <c r="AD1763"/>
      <c r="AE1763"/>
      <c r="AI1763" s="960"/>
      <c r="AM1763"/>
    </row>
    <row r="1764" spans="3:39" x14ac:dyDescent="0.2">
      <c r="C1764"/>
      <c r="D1764"/>
      <c r="E1764"/>
      <c r="F1764"/>
      <c r="G1764"/>
      <c r="H1764"/>
      <c r="I1764" s="532"/>
      <c r="V1764"/>
      <c r="W1764"/>
      <c r="Z1764"/>
      <c r="AA1764"/>
      <c r="AC1764"/>
      <c r="AD1764"/>
      <c r="AE1764"/>
      <c r="AI1764" s="960"/>
      <c r="AM1764"/>
    </row>
    <row r="1765" spans="3:39" x14ac:dyDescent="0.2">
      <c r="C1765"/>
      <c r="D1765"/>
      <c r="E1765"/>
      <c r="F1765"/>
      <c r="G1765"/>
      <c r="H1765"/>
      <c r="I1765" s="532"/>
      <c r="V1765"/>
      <c r="W1765"/>
      <c r="Z1765"/>
      <c r="AA1765"/>
      <c r="AC1765"/>
      <c r="AD1765"/>
      <c r="AE1765"/>
      <c r="AI1765" s="960"/>
      <c r="AM1765"/>
    </row>
    <row r="1766" spans="3:39" x14ac:dyDescent="0.2">
      <c r="C1766"/>
      <c r="D1766"/>
      <c r="E1766"/>
      <c r="F1766"/>
      <c r="G1766"/>
      <c r="H1766"/>
      <c r="I1766" s="532"/>
      <c r="V1766"/>
      <c r="W1766"/>
      <c r="Z1766"/>
      <c r="AA1766"/>
      <c r="AC1766"/>
      <c r="AD1766"/>
      <c r="AE1766"/>
      <c r="AI1766" s="960"/>
      <c r="AM1766"/>
    </row>
    <row r="1767" spans="3:39" x14ac:dyDescent="0.2">
      <c r="C1767"/>
      <c r="D1767"/>
      <c r="E1767"/>
      <c r="F1767"/>
      <c r="G1767"/>
      <c r="H1767"/>
      <c r="I1767" s="532"/>
      <c r="V1767"/>
      <c r="W1767"/>
      <c r="Z1767"/>
      <c r="AA1767"/>
      <c r="AC1767"/>
      <c r="AD1767"/>
      <c r="AE1767"/>
      <c r="AI1767" s="960"/>
      <c r="AM1767"/>
    </row>
    <row r="1768" spans="3:39" x14ac:dyDescent="0.2">
      <c r="C1768"/>
      <c r="D1768"/>
      <c r="E1768"/>
      <c r="F1768"/>
      <c r="G1768"/>
      <c r="H1768"/>
      <c r="I1768" s="532"/>
      <c r="V1768"/>
      <c r="W1768"/>
      <c r="Z1768"/>
      <c r="AA1768"/>
      <c r="AC1768"/>
      <c r="AD1768"/>
      <c r="AE1768"/>
      <c r="AI1768" s="960"/>
      <c r="AM1768"/>
    </row>
    <row r="1769" spans="3:39" x14ac:dyDescent="0.2">
      <c r="C1769"/>
      <c r="D1769"/>
      <c r="E1769"/>
      <c r="F1769"/>
      <c r="G1769"/>
      <c r="H1769"/>
      <c r="I1769" s="532"/>
      <c r="V1769"/>
      <c r="W1769"/>
      <c r="Z1769"/>
      <c r="AA1769"/>
      <c r="AC1769"/>
      <c r="AD1769"/>
      <c r="AE1769"/>
      <c r="AI1769" s="960"/>
      <c r="AM1769"/>
    </row>
    <row r="1770" spans="3:39" x14ac:dyDescent="0.2">
      <c r="C1770"/>
      <c r="D1770"/>
      <c r="E1770"/>
      <c r="F1770"/>
      <c r="G1770"/>
      <c r="H1770"/>
      <c r="I1770" s="532"/>
      <c r="V1770"/>
      <c r="W1770"/>
      <c r="Z1770"/>
      <c r="AA1770"/>
      <c r="AC1770"/>
      <c r="AD1770"/>
      <c r="AE1770"/>
      <c r="AI1770" s="960"/>
      <c r="AM1770"/>
    </row>
    <row r="1771" spans="3:39" x14ac:dyDescent="0.2">
      <c r="C1771"/>
      <c r="D1771"/>
      <c r="E1771"/>
      <c r="F1771"/>
      <c r="G1771"/>
      <c r="H1771"/>
      <c r="I1771" s="532"/>
      <c r="V1771"/>
      <c r="W1771"/>
      <c r="Z1771"/>
      <c r="AA1771"/>
      <c r="AC1771"/>
      <c r="AD1771"/>
      <c r="AE1771"/>
      <c r="AI1771" s="960"/>
      <c r="AM1771"/>
    </row>
    <row r="1772" spans="3:39" x14ac:dyDescent="0.2">
      <c r="C1772"/>
      <c r="D1772"/>
      <c r="E1772"/>
      <c r="F1772"/>
      <c r="G1772"/>
      <c r="H1772"/>
      <c r="I1772" s="532"/>
      <c r="V1772"/>
      <c r="W1772"/>
      <c r="Z1772"/>
      <c r="AA1772"/>
      <c r="AC1772"/>
      <c r="AD1772"/>
      <c r="AE1772"/>
      <c r="AI1772" s="960"/>
      <c r="AM1772"/>
    </row>
    <row r="1773" spans="3:39" x14ac:dyDescent="0.2">
      <c r="C1773"/>
      <c r="D1773"/>
      <c r="E1773"/>
      <c r="F1773"/>
      <c r="G1773"/>
      <c r="H1773"/>
      <c r="I1773" s="532"/>
      <c r="V1773"/>
      <c r="W1773"/>
      <c r="Z1773"/>
      <c r="AA1773"/>
      <c r="AC1773"/>
      <c r="AD1773"/>
      <c r="AE1773"/>
      <c r="AI1773" s="960"/>
      <c r="AM1773"/>
    </row>
    <row r="1774" spans="3:39" x14ac:dyDescent="0.2">
      <c r="C1774"/>
      <c r="D1774"/>
      <c r="E1774"/>
      <c r="F1774"/>
      <c r="G1774"/>
      <c r="H1774"/>
      <c r="I1774" s="532"/>
      <c r="V1774"/>
      <c r="W1774"/>
      <c r="Z1774"/>
      <c r="AA1774"/>
      <c r="AC1774"/>
      <c r="AD1774"/>
      <c r="AE1774"/>
      <c r="AI1774" s="960"/>
      <c r="AM1774"/>
    </row>
    <row r="1775" spans="3:39" x14ac:dyDescent="0.2">
      <c r="C1775"/>
      <c r="D1775"/>
      <c r="E1775"/>
      <c r="F1775"/>
      <c r="G1775"/>
      <c r="H1775"/>
      <c r="I1775" s="532"/>
      <c r="V1775"/>
      <c r="W1775"/>
      <c r="Z1775"/>
      <c r="AA1775"/>
      <c r="AC1775"/>
      <c r="AD1775"/>
      <c r="AE1775"/>
      <c r="AI1775" s="960"/>
      <c r="AM1775"/>
    </row>
    <row r="1776" spans="3:39" x14ac:dyDescent="0.2">
      <c r="C1776"/>
      <c r="D1776"/>
      <c r="E1776"/>
      <c r="F1776"/>
      <c r="G1776"/>
      <c r="H1776"/>
      <c r="I1776" s="532"/>
      <c r="V1776"/>
      <c r="W1776"/>
      <c r="Z1776"/>
      <c r="AA1776"/>
      <c r="AC1776"/>
      <c r="AD1776"/>
      <c r="AE1776"/>
      <c r="AI1776" s="960"/>
      <c r="AM1776"/>
    </row>
    <row r="1777" spans="3:39" x14ac:dyDescent="0.2">
      <c r="C1777"/>
      <c r="D1777"/>
      <c r="E1777"/>
      <c r="F1777"/>
      <c r="G1777"/>
      <c r="H1777"/>
      <c r="I1777" s="532"/>
      <c r="V1777"/>
      <c r="W1777"/>
      <c r="Z1777"/>
      <c r="AA1777"/>
      <c r="AC1777"/>
      <c r="AD1777"/>
      <c r="AE1777"/>
      <c r="AI1777" s="960"/>
      <c r="AM1777"/>
    </row>
    <row r="1778" spans="3:39" x14ac:dyDescent="0.2">
      <c r="C1778"/>
      <c r="D1778"/>
      <c r="E1778"/>
      <c r="F1778"/>
      <c r="G1778"/>
      <c r="H1778"/>
      <c r="I1778" s="532"/>
      <c r="V1778"/>
      <c r="W1778"/>
      <c r="Z1778"/>
      <c r="AA1778"/>
      <c r="AC1778"/>
      <c r="AD1778"/>
      <c r="AE1778"/>
      <c r="AI1778" s="960"/>
      <c r="AM1778"/>
    </row>
    <row r="1779" spans="3:39" x14ac:dyDescent="0.2">
      <c r="C1779"/>
      <c r="D1779"/>
      <c r="E1779"/>
      <c r="F1779"/>
      <c r="G1779"/>
      <c r="H1779"/>
      <c r="I1779" s="532"/>
      <c r="V1779"/>
      <c r="W1779"/>
      <c r="Z1779"/>
      <c r="AA1779"/>
      <c r="AC1779"/>
      <c r="AD1779"/>
      <c r="AE1779"/>
      <c r="AI1779" s="960"/>
      <c r="AM1779"/>
    </row>
    <row r="1780" spans="3:39" x14ac:dyDescent="0.2">
      <c r="C1780"/>
      <c r="D1780"/>
      <c r="E1780"/>
      <c r="F1780"/>
      <c r="G1780"/>
      <c r="H1780"/>
      <c r="I1780" s="532"/>
      <c r="V1780"/>
      <c r="W1780"/>
      <c r="Z1780"/>
      <c r="AA1780"/>
      <c r="AC1780"/>
      <c r="AD1780"/>
      <c r="AE1780"/>
      <c r="AI1780" s="960"/>
      <c r="AM1780"/>
    </row>
    <row r="1781" spans="3:39" x14ac:dyDescent="0.2">
      <c r="C1781"/>
      <c r="D1781"/>
      <c r="E1781"/>
      <c r="F1781"/>
      <c r="G1781"/>
      <c r="H1781"/>
      <c r="I1781" s="532"/>
      <c r="V1781"/>
      <c r="W1781"/>
      <c r="Z1781"/>
      <c r="AA1781"/>
      <c r="AC1781"/>
      <c r="AD1781"/>
      <c r="AE1781"/>
      <c r="AI1781" s="960"/>
      <c r="AM1781"/>
    </row>
    <row r="1782" spans="3:39" x14ac:dyDescent="0.2">
      <c r="C1782"/>
      <c r="D1782"/>
      <c r="E1782"/>
      <c r="F1782"/>
      <c r="G1782"/>
      <c r="H1782"/>
      <c r="I1782" s="532"/>
      <c r="V1782"/>
      <c r="W1782"/>
      <c r="Z1782"/>
      <c r="AA1782"/>
      <c r="AC1782"/>
      <c r="AD1782"/>
      <c r="AE1782"/>
      <c r="AI1782" s="960"/>
      <c r="AM1782"/>
    </row>
    <row r="1783" spans="3:39" x14ac:dyDescent="0.2">
      <c r="C1783"/>
      <c r="D1783"/>
      <c r="E1783"/>
      <c r="F1783"/>
      <c r="G1783"/>
      <c r="H1783"/>
      <c r="I1783" s="532"/>
      <c r="V1783"/>
      <c r="W1783"/>
      <c r="Z1783"/>
      <c r="AA1783"/>
      <c r="AC1783"/>
      <c r="AD1783"/>
      <c r="AE1783"/>
      <c r="AI1783" s="960"/>
      <c r="AM1783"/>
    </row>
    <row r="1784" spans="3:39" x14ac:dyDescent="0.2">
      <c r="C1784"/>
      <c r="D1784"/>
      <c r="E1784"/>
      <c r="F1784"/>
      <c r="G1784"/>
      <c r="H1784"/>
      <c r="I1784" s="532"/>
      <c r="V1784"/>
      <c r="W1784"/>
      <c r="Z1784"/>
      <c r="AA1784"/>
      <c r="AC1784"/>
      <c r="AD1784"/>
      <c r="AE1784"/>
      <c r="AI1784" s="960"/>
      <c r="AM1784"/>
    </row>
    <row r="1785" spans="3:39" x14ac:dyDescent="0.2">
      <c r="C1785"/>
      <c r="D1785"/>
      <c r="E1785"/>
      <c r="F1785"/>
      <c r="G1785"/>
      <c r="H1785"/>
      <c r="I1785" s="532"/>
      <c r="V1785"/>
      <c r="W1785"/>
      <c r="Z1785"/>
      <c r="AA1785"/>
      <c r="AC1785"/>
      <c r="AD1785"/>
      <c r="AE1785"/>
      <c r="AI1785" s="960"/>
      <c r="AM1785"/>
    </row>
    <row r="1786" spans="3:39" x14ac:dyDescent="0.2">
      <c r="C1786"/>
      <c r="D1786"/>
      <c r="E1786"/>
      <c r="F1786"/>
      <c r="G1786"/>
      <c r="H1786"/>
      <c r="I1786" s="532"/>
      <c r="V1786"/>
      <c r="W1786"/>
      <c r="Z1786"/>
      <c r="AA1786"/>
      <c r="AC1786"/>
      <c r="AD1786"/>
      <c r="AE1786"/>
      <c r="AI1786" s="960"/>
      <c r="AM1786"/>
    </row>
    <row r="1787" spans="3:39" x14ac:dyDescent="0.2">
      <c r="C1787"/>
      <c r="D1787"/>
      <c r="E1787"/>
      <c r="F1787"/>
      <c r="G1787"/>
      <c r="H1787"/>
      <c r="I1787" s="532"/>
      <c r="V1787"/>
      <c r="W1787"/>
      <c r="Z1787"/>
      <c r="AA1787"/>
      <c r="AC1787"/>
      <c r="AD1787"/>
      <c r="AE1787"/>
      <c r="AI1787" s="960"/>
      <c r="AM1787"/>
    </row>
    <row r="1788" spans="3:39" x14ac:dyDescent="0.2">
      <c r="C1788"/>
      <c r="D1788"/>
      <c r="E1788"/>
      <c r="F1788"/>
      <c r="G1788"/>
      <c r="H1788"/>
      <c r="I1788" s="532"/>
      <c r="V1788"/>
      <c r="W1788"/>
      <c r="Z1788"/>
      <c r="AA1788"/>
      <c r="AC1788"/>
      <c r="AD1788"/>
      <c r="AE1788"/>
      <c r="AI1788" s="960"/>
      <c r="AM1788"/>
    </row>
    <row r="1789" spans="3:39" x14ac:dyDescent="0.2">
      <c r="C1789"/>
      <c r="D1789"/>
      <c r="E1789"/>
      <c r="F1789"/>
      <c r="G1789"/>
      <c r="H1789"/>
      <c r="I1789" s="532"/>
      <c r="V1789"/>
      <c r="W1789"/>
      <c r="Z1789"/>
      <c r="AA1789"/>
      <c r="AC1789"/>
      <c r="AD1789"/>
      <c r="AE1789"/>
      <c r="AI1789" s="960"/>
      <c r="AM1789"/>
    </row>
    <row r="1790" spans="3:39" x14ac:dyDescent="0.2">
      <c r="C1790"/>
      <c r="D1790"/>
      <c r="E1790"/>
      <c r="F1790"/>
      <c r="G1790"/>
      <c r="H1790"/>
      <c r="I1790" s="532"/>
      <c r="V1790"/>
      <c r="W1790"/>
      <c r="Z1790"/>
      <c r="AA1790"/>
      <c r="AC1790"/>
      <c r="AD1790"/>
      <c r="AE1790"/>
      <c r="AI1790" s="960"/>
      <c r="AM1790"/>
    </row>
    <row r="1791" spans="3:39" x14ac:dyDescent="0.2">
      <c r="C1791"/>
      <c r="D1791"/>
      <c r="E1791"/>
      <c r="F1791"/>
      <c r="G1791"/>
      <c r="H1791"/>
      <c r="I1791" s="532"/>
      <c r="V1791"/>
      <c r="W1791"/>
      <c r="Z1791"/>
      <c r="AA1791"/>
      <c r="AC1791"/>
      <c r="AD1791"/>
      <c r="AE1791"/>
      <c r="AI1791" s="960"/>
      <c r="AM1791"/>
    </row>
    <row r="1792" spans="3:39" x14ac:dyDescent="0.2">
      <c r="C1792"/>
      <c r="D1792"/>
      <c r="E1792"/>
      <c r="F1792"/>
      <c r="G1792"/>
      <c r="H1792"/>
      <c r="I1792" s="532"/>
      <c r="V1792"/>
      <c r="W1792"/>
      <c r="Z1792"/>
      <c r="AA1792"/>
      <c r="AC1792"/>
      <c r="AD1792"/>
      <c r="AE1792"/>
      <c r="AI1792" s="960"/>
      <c r="AM1792"/>
    </row>
    <row r="1793" spans="3:39" x14ac:dyDescent="0.2">
      <c r="C1793"/>
      <c r="D1793"/>
      <c r="E1793"/>
      <c r="F1793"/>
      <c r="G1793"/>
      <c r="H1793"/>
      <c r="I1793" s="532"/>
      <c r="V1793"/>
      <c r="W1793"/>
      <c r="Z1793"/>
      <c r="AA1793"/>
      <c r="AC1793"/>
      <c r="AD1793"/>
      <c r="AE1793"/>
      <c r="AI1793" s="960"/>
      <c r="AM1793"/>
    </row>
    <row r="1794" spans="3:39" x14ac:dyDescent="0.2">
      <c r="C1794"/>
      <c r="D1794"/>
      <c r="E1794"/>
      <c r="F1794"/>
      <c r="G1794"/>
      <c r="H1794"/>
      <c r="I1794" s="532"/>
      <c r="V1794"/>
      <c r="W1794"/>
      <c r="Z1794"/>
      <c r="AA1794"/>
      <c r="AC1794"/>
      <c r="AD1794"/>
      <c r="AE1794"/>
      <c r="AI1794" s="960"/>
      <c r="AM1794"/>
    </row>
    <row r="1795" spans="3:39" x14ac:dyDescent="0.2">
      <c r="C1795"/>
      <c r="D1795"/>
      <c r="E1795"/>
      <c r="F1795"/>
      <c r="G1795"/>
      <c r="H1795"/>
      <c r="I1795" s="532"/>
      <c r="V1795"/>
      <c r="W1795"/>
      <c r="Z1795"/>
      <c r="AA1795"/>
      <c r="AC1795"/>
      <c r="AD1795"/>
      <c r="AE1795"/>
      <c r="AI1795" s="960"/>
      <c r="AM1795"/>
    </row>
    <row r="1796" spans="3:39" x14ac:dyDescent="0.2">
      <c r="C1796"/>
      <c r="D1796"/>
      <c r="E1796"/>
      <c r="F1796"/>
      <c r="G1796"/>
      <c r="H1796"/>
      <c r="I1796" s="532"/>
      <c r="V1796"/>
      <c r="W1796"/>
      <c r="Z1796"/>
      <c r="AA1796"/>
      <c r="AC1796"/>
      <c r="AD1796"/>
      <c r="AE1796"/>
      <c r="AI1796" s="960"/>
      <c r="AM1796"/>
    </row>
    <row r="1797" spans="3:39" x14ac:dyDescent="0.2">
      <c r="C1797"/>
      <c r="D1797"/>
      <c r="E1797"/>
      <c r="F1797"/>
      <c r="G1797"/>
      <c r="H1797"/>
      <c r="I1797" s="532"/>
      <c r="V1797"/>
      <c r="W1797"/>
      <c r="Z1797"/>
      <c r="AA1797"/>
      <c r="AC1797"/>
      <c r="AD1797"/>
      <c r="AE1797"/>
      <c r="AI1797" s="960"/>
      <c r="AM1797"/>
    </row>
    <row r="1798" spans="3:39" x14ac:dyDescent="0.2">
      <c r="C1798"/>
      <c r="D1798"/>
      <c r="E1798"/>
      <c r="F1798"/>
      <c r="G1798"/>
      <c r="H1798"/>
      <c r="I1798" s="532"/>
      <c r="V1798"/>
      <c r="W1798"/>
      <c r="Z1798"/>
      <c r="AA1798"/>
      <c r="AC1798"/>
      <c r="AD1798"/>
      <c r="AE1798"/>
      <c r="AI1798" s="960"/>
      <c r="AM1798"/>
    </row>
    <row r="1799" spans="3:39" x14ac:dyDescent="0.2">
      <c r="C1799"/>
      <c r="D1799"/>
      <c r="E1799"/>
      <c r="F1799"/>
      <c r="G1799"/>
      <c r="H1799"/>
      <c r="I1799" s="532"/>
      <c r="V1799"/>
      <c r="W1799"/>
      <c r="Z1799"/>
      <c r="AA1799"/>
      <c r="AC1799"/>
      <c r="AD1799"/>
      <c r="AE1799"/>
      <c r="AI1799" s="960"/>
      <c r="AM1799"/>
    </row>
    <row r="1800" spans="3:39" x14ac:dyDescent="0.2">
      <c r="C1800"/>
      <c r="D1800"/>
      <c r="E1800"/>
      <c r="F1800"/>
      <c r="G1800"/>
      <c r="H1800"/>
      <c r="I1800" s="532"/>
      <c r="V1800"/>
      <c r="W1800"/>
      <c r="Z1800"/>
      <c r="AA1800"/>
      <c r="AC1800"/>
      <c r="AD1800"/>
      <c r="AE1800"/>
      <c r="AI1800" s="960"/>
      <c r="AM1800"/>
    </row>
    <row r="1801" spans="3:39" x14ac:dyDescent="0.2">
      <c r="C1801"/>
      <c r="D1801"/>
      <c r="E1801"/>
      <c r="F1801"/>
      <c r="G1801"/>
      <c r="H1801"/>
      <c r="I1801" s="532"/>
      <c r="V1801"/>
      <c r="W1801"/>
      <c r="Z1801"/>
      <c r="AA1801"/>
      <c r="AC1801"/>
      <c r="AD1801"/>
      <c r="AE1801"/>
      <c r="AI1801" s="960"/>
      <c r="AM1801"/>
    </row>
    <row r="1802" spans="3:39" x14ac:dyDescent="0.2">
      <c r="C1802"/>
      <c r="D1802"/>
      <c r="E1802"/>
      <c r="F1802"/>
      <c r="G1802"/>
      <c r="H1802"/>
      <c r="I1802" s="532"/>
      <c r="V1802"/>
      <c r="W1802"/>
      <c r="Z1802"/>
      <c r="AA1802"/>
      <c r="AC1802"/>
      <c r="AD1802"/>
      <c r="AE1802"/>
      <c r="AI1802" s="960"/>
      <c r="AM1802"/>
    </row>
    <row r="1803" spans="3:39" x14ac:dyDescent="0.2">
      <c r="C1803"/>
      <c r="D1803"/>
      <c r="E1803"/>
      <c r="F1803"/>
      <c r="G1803"/>
      <c r="H1803"/>
      <c r="I1803" s="532"/>
      <c r="V1803"/>
      <c r="W1803"/>
      <c r="Z1803"/>
      <c r="AA1803"/>
      <c r="AC1803"/>
      <c r="AD1803"/>
      <c r="AE1803"/>
      <c r="AI1803" s="960"/>
      <c r="AM1803"/>
    </row>
    <row r="1804" spans="3:39" x14ac:dyDescent="0.2">
      <c r="C1804"/>
      <c r="D1804"/>
      <c r="E1804"/>
      <c r="F1804"/>
      <c r="G1804"/>
      <c r="H1804"/>
      <c r="I1804" s="532"/>
      <c r="V1804"/>
      <c r="W1804"/>
      <c r="Z1804"/>
      <c r="AA1804"/>
      <c r="AC1804"/>
      <c r="AD1804"/>
      <c r="AE1804"/>
      <c r="AI1804" s="960"/>
      <c r="AM1804"/>
    </row>
    <row r="1805" spans="3:39" x14ac:dyDescent="0.2">
      <c r="C1805"/>
      <c r="D1805"/>
      <c r="E1805"/>
      <c r="F1805"/>
      <c r="G1805"/>
      <c r="H1805"/>
      <c r="I1805" s="532"/>
      <c r="V1805"/>
      <c r="W1805"/>
      <c r="Z1805"/>
      <c r="AA1805"/>
      <c r="AC1805"/>
      <c r="AD1805"/>
      <c r="AE1805"/>
      <c r="AI1805" s="960"/>
      <c r="AM1805"/>
    </row>
    <row r="1806" spans="3:39" x14ac:dyDescent="0.2">
      <c r="C1806"/>
      <c r="D1806"/>
      <c r="E1806"/>
      <c r="F1806"/>
      <c r="G1806"/>
      <c r="H1806"/>
      <c r="I1806" s="532"/>
      <c r="V1806"/>
      <c r="W1806"/>
      <c r="Z1806"/>
      <c r="AA1806"/>
      <c r="AC1806"/>
      <c r="AD1806"/>
      <c r="AE1806"/>
      <c r="AI1806" s="960"/>
      <c r="AM1806"/>
    </row>
    <row r="1807" spans="3:39" x14ac:dyDescent="0.2">
      <c r="C1807"/>
      <c r="D1807"/>
      <c r="E1807"/>
      <c r="F1807"/>
      <c r="G1807"/>
      <c r="H1807"/>
      <c r="I1807" s="532"/>
      <c r="V1807"/>
      <c r="W1807"/>
      <c r="Z1807"/>
      <c r="AA1807"/>
      <c r="AC1807"/>
      <c r="AD1807"/>
      <c r="AE1807"/>
      <c r="AI1807" s="960"/>
      <c r="AM1807"/>
    </row>
    <row r="1808" spans="3:39" x14ac:dyDescent="0.2">
      <c r="C1808"/>
      <c r="D1808"/>
      <c r="E1808"/>
      <c r="F1808"/>
      <c r="G1808"/>
      <c r="H1808"/>
      <c r="I1808" s="532"/>
      <c r="V1808"/>
      <c r="W1808"/>
      <c r="Z1808"/>
      <c r="AA1808"/>
      <c r="AC1808"/>
      <c r="AD1808"/>
      <c r="AE1808"/>
      <c r="AI1808" s="960"/>
      <c r="AM1808"/>
    </row>
    <row r="1809" spans="3:39" x14ac:dyDescent="0.2">
      <c r="C1809"/>
      <c r="D1809"/>
      <c r="E1809"/>
      <c r="F1809"/>
      <c r="G1809"/>
      <c r="H1809"/>
      <c r="I1809" s="532"/>
      <c r="V1809"/>
      <c r="W1809"/>
      <c r="Z1809"/>
      <c r="AA1809"/>
      <c r="AC1809"/>
      <c r="AD1809"/>
      <c r="AE1809"/>
      <c r="AI1809" s="960"/>
      <c r="AM1809"/>
    </row>
    <row r="1810" spans="3:39" x14ac:dyDescent="0.2">
      <c r="C1810"/>
      <c r="D1810"/>
      <c r="E1810"/>
      <c r="F1810"/>
      <c r="G1810"/>
      <c r="H1810"/>
      <c r="I1810" s="532"/>
      <c r="V1810"/>
      <c r="W1810"/>
      <c r="Z1810"/>
      <c r="AA1810"/>
      <c r="AC1810"/>
      <c r="AD1810"/>
      <c r="AE1810"/>
      <c r="AI1810" s="960"/>
      <c r="AM1810"/>
    </row>
    <row r="1811" spans="3:39" x14ac:dyDescent="0.2">
      <c r="C1811"/>
      <c r="D1811"/>
      <c r="E1811"/>
      <c r="F1811"/>
      <c r="G1811"/>
      <c r="H1811"/>
      <c r="I1811" s="532"/>
      <c r="V1811"/>
      <c r="W1811"/>
      <c r="Z1811"/>
      <c r="AA1811"/>
      <c r="AC1811"/>
      <c r="AD1811"/>
      <c r="AE1811"/>
      <c r="AI1811" s="960"/>
      <c r="AM1811"/>
    </row>
    <row r="1812" spans="3:39" x14ac:dyDescent="0.2">
      <c r="C1812"/>
      <c r="D1812"/>
      <c r="E1812"/>
      <c r="F1812"/>
      <c r="G1812"/>
      <c r="H1812"/>
      <c r="I1812" s="532"/>
      <c r="V1812"/>
      <c r="W1812"/>
      <c r="Z1812"/>
      <c r="AA1812"/>
      <c r="AC1812"/>
      <c r="AD1812"/>
      <c r="AE1812"/>
      <c r="AI1812" s="960"/>
      <c r="AM1812"/>
    </row>
    <row r="1813" spans="3:39" x14ac:dyDescent="0.2">
      <c r="C1813"/>
      <c r="D1813"/>
      <c r="E1813"/>
      <c r="F1813"/>
      <c r="G1813"/>
      <c r="H1813"/>
      <c r="I1813" s="532"/>
      <c r="V1813"/>
      <c r="W1813"/>
      <c r="Z1813"/>
      <c r="AA1813"/>
      <c r="AC1813"/>
      <c r="AD1813"/>
      <c r="AE1813"/>
      <c r="AI1813" s="960"/>
      <c r="AM1813"/>
    </row>
    <row r="1814" spans="3:39" x14ac:dyDescent="0.2">
      <c r="C1814"/>
      <c r="D1814"/>
      <c r="E1814"/>
      <c r="F1814"/>
      <c r="G1814"/>
      <c r="H1814"/>
      <c r="I1814" s="532"/>
      <c r="V1814"/>
      <c r="W1814"/>
      <c r="Z1814"/>
      <c r="AA1814"/>
      <c r="AC1814"/>
      <c r="AD1814"/>
      <c r="AE1814"/>
      <c r="AI1814" s="960"/>
      <c r="AM1814"/>
    </row>
    <row r="1815" spans="3:39" x14ac:dyDescent="0.2">
      <c r="C1815"/>
      <c r="D1815"/>
      <c r="E1815"/>
      <c r="F1815"/>
      <c r="G1815"/>
      <c r="H1815"/>
      <c r="I1815" s="532"/>
      <c r="V1815"/>
      <c r="W1815"/>
      <c r="Z1815"/>
      <c r="AA1815"/>
      <c r="AC1815"/>
      <c r="AD1815"/>
      <c r="AE1815"/>
      <c r="AI1815" s="960"/>
      <c r="AM1815"/>
    </row>
    <row r="1816" spans="3:39" x14ac:dyDescent="0.2">
      <c r="C1816"/>
      <c r="D1816"/>
      <c r="E1816"/>
      <c r="F1816"/>
      <c r="G1816"/>
      <c r="H1816"/>
      <c r="I1816" s="532"/>
      <c r="V1816"/>
      <c r="W1816"/>
      <c r="Z1816"/>
      <c r="AA1816"/>
      <c r="AC1816"/>
      <c r="AD1816"/>
      <c r="AE1816"/>
      <c r="AI1816" s="960"/>
      <c r="AM1816"/>
    </row>
    <row r="1817" spans="3:39" x14ac:dyDescent="0.2">
      <c r="C1817"/>
      <c r="D1817"/>
      <c r="E1817"/>
      <c r="F1817"/>
      <c r="G1817"/>
      <c r="H1817"/>
      <c r="I1817" s="532"/>
      <c r="V1817"/>
      <c r="W1817"/>
      <c r="Z1817"/>
      <c r="AA1817"/>
      <c r="AC1817"/>
      <c r="AD1817"/>
      <c r="AE1817"/>
      <c r="AI1817" s="960"/>
      <c r="AM1817"/>
    </row>
    <row r="1818" spans="3:39" x14ac:dyDescent="0.2">
      <c r="C1818"/>
      <c r="D1818"/>
      <c r="E1818"/>
      <c r="F1818"/>
      <c r="G1818"/>
      <c r="H1818"/>
      <c r="I1818" s="532"/>
      <c r="V1818"/>
      <c r="W1818"/>
      <c r="Z1818"/>
      <c r="AA1818"/>
      <c r="AC1818"/>
      <c r="AD1818"/>
      <c r="AE1818"/>
      <c r="AI1818" s="960"/>
      <c r="AM1818"/>
    </row>
    <row r="1819" spans="3:39" x14ac:dyDescent="0.2">
      <c r="C1819"/>
      <c r="D1819"/>
      <c r="E1819"/>
      <c r="F1819"/>
      <c r="G1819"/>
      <c r="H1819"/>
      <c r="I1819" s="532"/>
      <c r="V1819"/>
      <c r="W1819"/>
      <c r="Z1819"/>
      <c r="AA1819"/>
      <c r="AC1819"/>
      <c r="AD1819"/>
      <c r="AE1819"/>
      <c r="AI1819" s="960"/>
      <c r="AM1819"/>
    </row>
    <row r="1820" spans="3:39" x14ac:dyDescent="0.2">
      <c r="C1820"/>
      <c r="D1820"/>
      <c r="E1820"/>
      <c r="F1820"/>
      <c r="G1820"/>
      <c r="H1820"/>
      <c r="I1820" s="532"/>
      <c r="V1820"/>
      <c r="W1820"/>
      <c r="Z1820"/>
      <c r="AA1820"/>
      <c r="AC1820"/>
      <c r="AD1820"/>
      <c r="AE1820"/>
      <c r="AI1820" s="960"/>
      <c r="AM1820"/>
    </row>
    <row r="1821" spans="3:39" x14ac:dyDescent="0.2">
      <c r="C1821"/>
      <c r="D1821"/>
      <c r="E1821"/>
      <c r="F1821"/>
      <c r="G1821"/>
      <c r="H1821"/>
      <c r="I1821" s="532"/>
      <c r="V1821"/>
      <c r="W1821"/>
      <c r="Z1821"/>
      <c r="AA1821"/>
      <c r="AC1821"/>
      <c r="AD1821"/>
      <c r="AE1821"/>
      <c r="AI1821" s="960"/>
      <c r="AM1821"/>
    </row>
    <row r="1822" spans="3:39" x14ac:dyDescent="0.2">
      <c r="C1822"/>
      <c r="D1822"/>
      <c r="E1822"/>
      <c r="F1822"/>
      <c r="G1822"/>
      <c r="H1822"/>
      <c r="I1822" s="532"/>
      <c r="V1822"/>
      <c r="W1822"/>
      <c r="Z1822"/>
      <c r="AA1822"/>
      <c r="AC1822"/>
      <c r="AD1822"/>
      <c r="AE1822"/>
      <c r="AI1822" s="960"/>
      <c r="AM1822"/>
    </row>
    <row r="1823" spans="3:39" x14ac:dyDescent="0.2">
      <c r="C1823"/>
      <c r="D1823"/>
      <c r="E1823"/>
      <c r="F1823"/>
      <c r="G1823"/>
      <c r="H1823"/>
      <c r="I1823" s="532"/>
      <c r="V1823"/>
      <c r="W1823"/>
      <c r="Z1823"/>
      <c r="AA1823"/>
      <c r="AC1823"/>
      <c r="AD1823"/>
      <c r="AE1823"/>
      <c r="AI1823" s="960"/>
      <c r="AM1823"/>
    </row>
    <row r="1824" spans="3:39" x14ac:dyDescent="0.2">
      <c r="C1824"/>
      <c r="D1824"/>
      <c r="E1824"/>
      <c r="F1824"/>
      <c r="G1824"/>
      <c r="H1824"/>
      <c r="I1824" s="532"/>
      <c r="V1824"/>
      <c r="W1824"/>
      <c r="Z1824"/>
      <c r="AA1824"/>
      <c r="AC1824"/>
      <c r="AD1824"/>
      <c r="AE1824"/>
      <c r="AI1824" s="960"/>
      <c r="AM1824"/>
    </row>
    <row r="1825" spans="3:39" x14ac:dyDescent="0.2">
      <c r="C1825"/>
      <c r="D1825"/>
      <c r="E1825"/>
      <c r="F1825"/>
      <c r="G1825"/>
      <c r="H1825"/>
      <c r="I1825" s="532"/>
      <c r="V1825"/>
      <c r="W1825"/>
      <c r="Z1825"/>
      <c r="AA1825"/>
      <c r="AC1825"/>
      <c r="AD1825"/>
      <c r="AE1825"/>
      <c r="AI1825" s="960"/>
      <c r="AM1825"/>
    </row>
    <row r="1826" spans="3:39" x14ac:dyDescent="0.2">
      <c r="C1826"/>
      <c r="D1826"/>
      <c r="E1826"/>
      <c r="F1826"/>
      <c r="G1826"/>
      <c r="H1826"/>
      <c r="I1826" s="532"/>
      <c r="V1826"/>
      <c r="W1826"/>
      <c r="Z1826"/>
      <c r="AA1826"/>
      <c r="AC1826"/>
      <c r="AD1826"/>
      <c r="AE1826"/>
      <c r="AI1826" s="960"/>
      <c r="AM1826"/>
    </row>
    <row r="1827" spans="3:39" x14ac:dyDescent="0.2">
      <c r="C1827"/>
      <c r="D1827"/>
      <c r="E1827"/>
      <c r="F1827"/>
      <c r="G1827"/>
      <c r="H1827"/>
      <c r="I1827" s="532"/>
      <c r="V1827"/>
      <c r="W1827"/>
      <c r="Z1827"/>
      <c r="AA1827"/>
      <c r="AC1827"/>
      <c r="AD1827"/>
      <c r="AE1827"/>
      <c r="AI1827" s="960"/>
      <c r="AM1827"/>
    </row>
    <row r="1828" spans="3:39" x14ac:dyDescent="0.2">
      <c r="C1828"/>
      <c r="D1828"/>
      <c r="E1828"/>
      <c r="F1828"/>
      <c r="G1828"/>
      <c r="H1828"/>
      <c r="I1828" s="532"/>
      <c r="V1828"/>
      <c r="W1828"/>
      <c r="Z1828"/>
      <c r="AA1828"/>
      <c r="AC1828"/>
      <c r="AD1828"/>
      <c r="AE1828"/>
      <c r="AI1828" s="960"/>
      <c r="AM1828"/>
    </row>
    <row r="1829" spans="3:39" x14ac:dyDescent="0.2">
      <c r="C1829"/>
      <c r="D1829"/>
      <c r="E1829"/>
      <c r="F1829"/>
      <c r="G1829"/>
      <c r="H1829"/>
      <c r="I1829" s="532"/>
      <c r="V1829"/>
      <c r="W1829"/>
      <c r="Z1829"/>
      <c r="AA1829"/>
      <c r="AC1829"/>
      <c r="AD1829"/>
      <c r="AE1829"/>
      <c r="AI1829" s="960"/>
      <c r="AM1829"/>
    </row>
    <row r="1830" spans="3:39" x14ac:dyDescent="0.2">
      <c r="C1830"/>
      <c r="D1830"/>
      <c r="E1830"/>
      <c r="F1830"/>
      <c r="G1830"/>
      <c r="H1830"/>
      <c r="I1830" s="532"/>
      <c r="V1830"/>
      <c r="W1830"/>
      <c r="Z1830"/>
      <c r="AA1830"/>
      <c r="AC1830"/>
      <c r="AD1830"/>
      <c r="AE1830"/>
      <c r="AI1830" s="960"/>
      <c r="AM1830"/>
    </row>
    <row r="1831" spans="3:39" x14ac:dyDescent="0.2">
      <c r="C1831"/>
      <c r="D1831"/>
      <c r="E1831"/>
      <c r="F1831"/>
      <c r="G1831"/>
      <c r="H1831"/>
      <c r="I1831" s="532"/>
      <c r="V1831"/>
      <c r="W1831"/>
      <c r="Z1831"/>
      <c r="AA1831"/>
      <c r="AC1831"/>
      <c r="AD1831"/>
      <c r="AE1831"/>
      <c r="AI1831" s="960"/>
      <c r="AM1831"/>
    </row>
    <row r="1832" spans="3:39" x14ac:dyDescent="0.2">
      <c r="C1832"/>
      <c r="D1832"/>
      <c r="E1832"/>
      <c r="F1832"/>
      <c r="G1832"/>
      <c r="H1832"/>
      <c r="I1832" s="532"/>
      <c r="V1832"/>
      <c r="W1832"/>
      <c r="Z1832"/>
      <c r="AA1832"/>
      <c r="AC1832"/>
      <c r="AD1832"/>
      <c r="AE1832"/>
      <c r="AI1832" s="960"/>
      <c r="AM1832"/>
    </row>
    <row r="1833" spans="3:39" x14ac:dyDescent="0.2">
      <c r="C1833"/>
      <c r="D1833"/>
      <c r="E1833"/>
      <c r="F1833"/>
      <c r="G1833"/>
      <c r="H1833"/>
      <c r="I1833" s="532"/>
      <c r="V1833"/>
      <c r="W1833"/>
      <c r="Z1833"/>
      <c r="AA1833"/>
      <c r="AC1833"/>
      <c r="AD1833"/>
      <c r="AE1833"/>
      <c r="AI1833" s="960"/>
      <c r="AM1833"/>
    </row>
    <row r="1834" spans="3:39" x14ac:dyDescent="0.2">
      <c r="C1834"/>
      <c r="D1834"/>
      <c r="E1834"/>
      <c r="F1834"/>
      <c r="G1834"/>
      <c r="H1834"/>
      <c r="I1834" s="532"/>
      <c r="V1834"/>
      <c r="W1834"/>
      <c r="Z1834"/>
      <c r="AA1834"/>
      <c r="AC1834"/>
      <c r="AD1834"/>
      <c r="AE1834"/>
      <c r="AI1834" s="960"/>
      <c r="AM1834"/>
    </row>
    <row r="1835" spans="3:39" x14ac:dyDescent="0.2">
      <c r="C1835"/>
      <c r="D1835"/>
      <c r="E1835"/>
      <c r="F1835"/>
      <c r="G1835"/>
      <c r="H1835"/>
      <c r="I1835" s="532"/>
      <c r="V1835"/>
      <c r="W1835"/>
      <c r="Z1835"/>
      <c r="AA1835"/>
      <c r="AC1835"/>
      <c r="AD1835"/>
      <c r="AE1835"/>
      <c r="AI1835" s="960"/>
      <c r="AM1835"/>
    </row>
    <row r="1836" spans="3:39" x14ac:dyDescent="0.2">
      <c r="C1836"/>
      <c r="D1836"/>
      <c r="E1836"/>
      <c r="F1836"/>
      <c r="G1836"/>
      <c r="H1836"/>
      <c r="I1836" s="532"/>
      <c r="V1836"/>
      <c r="W1836"/>
      <c r="Z1836"/>
      <c r="AA1836"/>
      <c r="AC1836"/>
      <c r="AD1836"/>
      <c r="AE1836"/>
      <c r="AI1836" s="960"/>
      <c r="AM1836"/>
    </row>
    <row r="1837" spans="3:39" x14ac:dyDescent="0.2">
      <c r="C1837"/>
      <c r="D1837"/>
      <c r="E1837"/>
      <c r="F1837"/>
      <c r="G1837"/>
      <c r="H1837"/>
      <c r="I1837" s="532"/>
      <c r="V1837"/>
      <c r="W1837"/>
      <c r="Z1837"/>
      <c r="AA1837"/>
      <c r="AC1837"/>
      <c r="AD1837"/>
      <c r="AE1837"/>
      <c r="AI1837" s="960"/>
      <c r="AM1837"/>
    </row>
    <row r="1838" spans="3:39" x14ac:dyDescent="0.2">
      <c r="C1838"/>
      <c r="D1838"/>
      <c r="E1838"/>
      <c r="F1838"/>
      <c r="G1838"/>
      <c r="H1838"/>
      <c r="I1838" s="532"/>
      <c r="V1838"/>
      <c r="W1838"/>
      <c r="Z1838"/>
      <c r="AA1838"/>
      <c r="AC1838"/>
      <c r="AD1838"/>
      <c r="AE1838"/>
      <c r="AI1838" s="960"/>
      <c r="AM1838"/>
    </row>
    <row r="1839" spans="3:39" x14ac:dyDescent="0.2">
      <c r="C1839"/>
      <c r="D1839"/>
      <c r="E1839"/>
      <c r="F1839"/>
      <c r="G1839"/>
      <c r="H1839"/>
      <c r="I1839" s="532"/>
      <c r="V1839"/>
      <c r="W1839"/>
      <c r="Z1839"/>
      <c r="AA1839"/>
      <c r="AC1839"/>
      <c r="AD1839"/>
      <c r="AE1839"/>
      <c r="AI1839" s="960"/>
      <c r="AM1839"/>
    </row>
    <row r="1840" spans="3:39" x14ac:dyDescent="0.2">
      <c r="C1840"/>
      <c r="D1840"/>
      <c r="E1840"/>
      <c r="F1840"/>
      <c r="G1840"/>
      <c r="H1840"/>
      <c r="I1840" s="532"/>
      <c r="V1840"/>
      <c r="W1840"/>
      <c r="Z1840"/>
      <c r="AA1840"/>
      <c r="AC1840"/>
      <c r="AD1840"/>
      <c r="AE1840"/>
      <c r="AI1840" s="960"/>
      <c r="AM1840"/>
    </row>
    <row r="1841" spans="3:39" x14ac:dyDescent="0.2">
      <c r="C1841"/>
      <c r="D1841"/>
      <c r="E1841"/>
      <c r="F1841"/>
      <c r="G1841"/>
      <c r="H1841"/>
      <c r="I1841" s="532"/>
      <c r="V1841"/>
      <c r="W1841"/>
      <c r="Z1841"/>
      <c r="AA1841"/>
      <c r="AC1841"/>
      <c r="AD1841"/>
      <c r="AE1841"/>
      <c r="AI1841" s="960"/>
      <c r="AM1841"/>
    </row>
    <row r="1842" spans="3:39" x14ac:dyDescent="0.2">
      <c r="C1842"/>
      <c r="D1842"/>
      <c r="E1842"/>
      <c r="F1842"/>
      <c r="G1842"/>
      <c r="H1842"/>
      <c r="I1842" s="532"/>
      <c r="V1842"/>
      <c r="W1842"/>
      <c r="Z1842"/>
      <c r="AA1842"/>
      <c r="AC1842"/>
      <c r="AD1842"/>
      <c r="AE1842"/>
      <c r="AI1842" s="960"/>
      <c r="AM1842"/>
    </row>
    <row r="1843" spans="3:39" x14ac:dyDescent="0.2">
      <c r="C1843"/>
      <c r="D1843"/>
      <c r="E1843"/>
      <c r="F1843"/>
      <c r="G1843"/>
      <c r="H1843"/>
      <c r="I1843" s="532"/>
      <c r="V1843"/>
      <c r="W1843"/>
      <c r="Z1843"/>
      <c r="AA1843"/>
      <c r="AC1843"/>
      <c r="AD1843"/>
      <c r="AE1843"/>
      <c r="AI1843" s="960"/>
      <c r="AM1843"/>
    </row>
    <row r="1844" spans="3:39" x14ac:dyDescent="0.2">
      <c r="C1844"/>
      <c r="D1844"/>
      <c r="E1844"/>
      <c r="F1844"/>
      <c r="G1844"/>
      <c r="H1844"/>
      <c r="I1844" s="532"/>
      <c r="V1844"/>
      <c r="W1844"/>
      <c r="Z1844"/>
      <c r="AA1844"/>
      <c r="AC1844"/>
      <c r="AD1844"/>
      <c r="AE1844"/>
      <c r="AI1844" s="960"/>
      <c r="AM1844"/>
    </row>
    <row r="1845" spans="3:39" x14ac:dyDescent="0.2">
      <c r="C1845"/>
      <c r="D1845"/>
      <c r="E1845"/>
      <c r="F1845"/>
      <c r="G1845"/>
      <c r="H1845"/>
      <c r="I1845" s="532"/>
      <c r="V1845"/>
      <c r="W1845"/>
      <c r="Z1845"/>
      <c r="AA1845"/>
      <c r="AC1845"/>
      <c r="AD1845"/>
      <c r="AE1845"/>
      <c r="AI1845" s="960"/>
      <c r="AM1845"/>
    </row>
    <row r="1846" spans="3:39" x14ac:dyDescent="0.2">
      <c r="C1846"/>
      <c r="D1846"/>
      <c r="E1846"/>
      <c r="F1846"/>
      <c r="G1846"/>
      <c r="H1846"/>
      <c r="I1846" s="532"/>
      <c r="V1846"/>
      <c r="W1846"/>
      <c r="Z1846"/>
      <c r="AA1846"/>
      <c r="AC1846"/>
      <c r="AD1846"/>
      <c r="AE1846"/>
      <c r="AI1846" s="960"/>
      <c r="AM1846"/>
    </row>
    <row r="1847" spans="3:39" x14ac:dyDescent="0.2">
      <c r="C1847"/>
      <c r="D1847"/>
      <c r="E1847"/>
      <c r="F1847"/>
      <c r="G1847"/>
      <c r="H1847"/>
      <c r="I1847" s="532"/>
      <c r="V1847"/>
      <c r="W1847"/>
      <c r="Z1847"/>
      <c r="AA1847"/>
      <c r="AC1847"/>
      <c r="AD1847"/>
      <c r="AE1847"/>
      <c r="AI1847" s="960"/>
      <c r="AM1847"/>
    </row>
    <row r="1848" spans="3:39" x14ac:dyDescent="0.2">
      <c r="C1848"/>
      <c r="D1848"/>
      <c r="E1848"/>
      <c r="F1848"/>
      <c r="G1848"/>
      <c r="H1848"/>
      <c r="I1848" s="532"/>
      <c r="V1848"/>
      <c r="W1848"/>
      <c r="Z1848"/>
      <c r="AA1848"/>
      <c r="AC1848"/>
      <c r="AD1848"/>
      <c r="AE1848"/>
      <c r="AI1848" s="960"/>
      <c r="AM1848"/>
    </row>
    <row r="1849" spans="3:39" x14ac:dyDescent="0.2">
      <c r="C1849"/>
      <c r="D1849"/>
      <c r="E1849"/>
      <c r="F1849"/>
      <c r="G1849"/>
      <c r="H1849"/>
      <c r="I1849" s="532"/>
      <c r="V1849"/>
      <c r="W1849"/>
      <c r="Z1849"/>
      <c r="AA1849"/>
      <c r="AC1849"/>
      <c r="AD1849"/>
      <c r="AE1849"/>
      <c r="AI1849" s="960"/>
      <c r="AM1849"/>
    </row>
    <row r="1850" spans="3:39" x14ac:dyDescent="0.2">
      <c r="C1850"/>
      <c r="D1850"/>
      <c r="E1850"/>
      <c r="F1850"/>
      <c r="G1850"/>
      <c r="H1850"/>
      <c r="I1850" s="532"/>
      <c r="V1850"/>
      <c r="W1850"/>
      <c r="Z1850"/>
      <c r="AA1850"/>
      <c r="AC1850"/>
      <c r="AD1850"/>
      <c r="AE1850"/>
      <c r="AI1850" s="960"/>
      <c r="AM1850"/>
    </row>
    <row r="1851" spans="3:39" x14ac:dyDescent="0.2">
      <c r="C1851"/>
      <c r="D1851"/>
      <c r="E1851"/>
      <c r="F1851"/>
      <c r="G1851"/>
      <c r="H1851"/>
      <c r="I1851" s="532"/>
      <c r="V1851"/>
      <c r="W1851"/>
      <c r="Z1851"/>
      <c r="AA1851"/>
      <c r="AC1851"/>
      <c r="AD1851"/>
      <c r="AE1851"/>
      <c r="AI1851" s="960"/>
      <c r="AM1851"/>
    </row>
    <row r="1852" spans="3:39" x14ac:dyDescent="0.2">
      <c r="C1852"/>
      <c r="D1852"/>
      <c r="E1852"/>
      <c r="F1852"/>
      <c r="G1852"/>
      <c r="H1852"/>
      <c r="I1852" s="532"/>
      <c r="V1852"/>
      <c r="W1852"/>
      <c r="Z1852"/>
      <c r="AA1852"/>
      <c r="AC1852"/>
      <c r="AD1852"/>
      <c r="AE1852"/>
      <c r="AI1852" s="960"/>
      <c r="AM1852"/>
    </row>
    <row r="1853" spans="3:39" x14ac:dyDescent="0.2">
      <c r="C1853"/>
      <c r="D1853"/>
      <c r="E1853"/>
      <c r="F1853"/>
      <c r="G1853"/>
      <c r="H1853"/>
      <c r="I1853" s="532"/>
      <c r="V1853"/>
      <c r="W1853"/>
      <c r="Z1853"/>
      <c r="AA1853"/>
      <c r="AC1853"/>
      <c r="AD1853"/>
      <c r="AE1853"/>
      <c r="AI1853" s="960"/>
      <c r="AM1853"/>
    </row>
    <row r="1854" spans="3:39" x14ac:dyDescent="0.2">
      <c r="C1854"/>
      <c r="D1854"/>
      <c r="E1854"/>
      <c r="F1854"/>
      <c r="G1854"/>
      <c r="H1854"/>
      <c r="I1854" s="532"/>
      <c r="V1854"/>
      <c r="W1854"/>
      <c r="Z1854"/>
      <c r="AA1854"/>
      <c r="AC1854"/>
      <c r="AD1854"/>
      <c r="AE1854"/>
      <c r="AI1854" s="960"/>
      <c r="AM1854"/>
    </row>
    <row r="1855" spans="3:39" x14ac:dyDescent="0.2">
      <c r="C1855"/>
      <c r="D1855"/>
      <c r="E1855"/>
      <c r="F1855"/>
      <c r="G1855"/>
      <c r="H1855"/>
      <c r="I1855" s="532"/>
      <c r="V1855"/>
      <c r="W1855"/>
      <c r="Z1855"/>
      <c r="AA1855"/>
      <c r="AC1855"/>
      <c r="AD1855"/>
      <c r="AE1855"/>
      <c r="AI1855" s="960"/>
      <c r="AM1855"/>
    </row>
    <row r="1856" spans="3:39" x14ac:dyDescent="0.2">
      <c r="C1856"/>
      <c r="D1856"/>
      <c r="E1856"/>
      <c r="F1856"/>
      <c r="G1856"/>
      <c r="H1856"/>
      <c r="I1856" s="532"/>
      <c r="V1856"/>
      <c r="W1856"/>
      <c r="Z1856"/>
      <c r="AA1856"/>
      <c r="AC1856"/>
      <c r="AD1856"/>
      <c r="AE1856"/>
      <c r="AI1856" s="960"/>
      <c r="AM1856"/>
    </row>
    <row r="1857" spans="3:39" x14ac:dyDescent="0.2">
      <c r="C1857"/>
      <c r="D1857"/>
      <c r="E1857"/>
      <c r="F1857"/>
      <c r="G1857"/>
      <c r="H1857"/>
      <c r="I1857" s="532"/>
      <c r="V1857"/>
      <c r="W1857"/>
      <c r="Z1857"/>
      <c r="AA1857"/>
      <c r="AC1857"/>
      <c r="AD1857"/>
      <c r="AE1857"/>
      <c r="AI1857" s="960"/>
      <c r="AM1857"/>
    </row>
    <row r="1858" spans="3:39" x14ac:dyDescent="0.2">
      <c r="C1858"/>
      <c r="D1858"/>
      <c r="E1858"/>
      <c r="F1858"/>
      <c r="G1858"/>
      <c r="H1858"/>
      <c r="I1858" s="532"/>
      <c r="V1858"/>
      <c r="W1858"/>
      <c r="Z1858"/>
      <c r="AA1858"/>
      <c r="AC1858"/>
      <c r="AD1858"/>
      <c r="AE1858"/>
      <c r="AI1858" s="960"/>
      <c r="AM1858"/>
    </row>
    <row r="1859" spans="3:39" x14ac:dyDescent="0.2">
      <c r="C1859"/>
      <c r="D1859"/>
      <c r="E1859"/>
      <c r="F1859"/>
      <c r="G1859"/>
      <c r="H1859"/>
      <c r="I1859" s="532"/>
      <c r="V1859"/>
      <c r="W1859"/>
      <c r="Z1859"/>
      <c r="AA1859"/>
      <c r="AC1859"/>
      <c r="AD1859"/>
      <c r="AE1859"/>
      <c r="AI1859" s="960"/>
      <c r="AM1859"/>
    </row>
    <row r="1860" spans="3:39" x14ac:dyDescent="0.2">
      <c r="C1860"/>
      <c r="D1860"/>
      <c r="E1860"/>
      <c r="F1860"/>
      <c r="G1860"/>
      <c r="H1860"/>
      <c r="I1860" s="532"/>
      <c r="V1860"/>
      <c r="W1860"/>
      <c r="Z1860"/>
      <c r="AA1860"/>
      <c r="AC1860"/>
      <c r="AD1860"/>
      <c r="AE1860"/>
      <c r="AI1860" s="960"/>
      <c r="AM1860"/>
    </row>
    <row r="1861" spans="3:39" x14ac:dyDescent="0.2">
      <c r="C1861"/>
      <c r="D1861"/>
      <c r="E1861"/>
      <c r="F1861"/>
      <c r="G1861"/>
      <c r="H1861"/>
      <c r="I1861" s="532"/>
      <c r="V1861"/>
      <c r="W1861"/>
      <c r="Z1861"/>
      <c r="AA1861"/>
      <c r="AC1861"/>
      <c r="AD1861"/>
      <c r="AE1861"/>
      <c r="AI1861" s="960"/>
      <c r="AM1861"/>
    </row>
    <row r="1862" spans="3:39" x14ac:dyDescent="0.2">
      <c r="C1862"/>
      <c r="D1862"/>
      <c r="E1862"/>
      <c r="F1862"/>
      <c r="G1862"/>
      <c r="H1862"/>
      <c r="I1862" s="532"/>
      <c r="V1862"/>
      <c r="W1862"/>
      <c r="Z1862"/>
      <c r="AA1862"/>
      <c r="AC1862"/>
      <c r="AD1862"/>
      <c r="AE1862"/>
      <c r="AI1862" s="960"/>
      <c r="AM1862"/>
    </row>
    <row r="1863" spans="3:39" x14ac:dyDescent="0.2">
      <c r="C1863"/>
      <c r="D1863"/>
      <c r="E1863"/>
      <c r="F1863"/>
      <c r="G1863"/>
      <c r="H1863"/>
      <c r="I1863" s="532"/>
      <c r="V1863"/>
      <c r="W1863"/>
      <c r="Z1863"/>
      <c r="AA1863"/>
      <c r="AC1863"/>
      <c r="AD1863"/>
      <c r="AE1863"/>
      <c r="AI1863" s="960"/>
      <c r="AM1863"/>
    </row>
    <row r="1864" spans="3:39" x14ac:dyDescent="0.2">
      <c r="C1864"/>
      <c r="D1864"/>
      <c r="E1864"/>
      <c r="F1864"/>
      <c r="G1864"/>
      <c r="H1864"/>
      <c r="I1864" s="532"/>
      <c r="V1864"/>
      <c r="W1864"/>
      <c r="Z1864"/>
      <c r="AA1864"/>
      <c r="AC1864"/>
      <c r="AD1864"/>
      <c r="AE1864"/>
      <c r="AI1864" s="960"/>
      <c r="AM1864"/>
    </row>
    <row r="1865" spans="3:39" x14ac:dyDescent="0.2">
      <c r="C1865"/>
      <c r="D1865"/>
      <c r="E1865"/>
      <c r="F1865"/>
      <c r="G1865"/>
      <c r="H1865"/>
      <c r="I1865" s="532"/>
      <c r="V1865"/>
      <c r="W1865"/>
      <c r="Z1865"/>
      <c r="AA1865"/>
      <c r="AC1865"/>
      <c r="AD1865"/>
      <c r="AE1865"/>
      <c r="AI1865" s="960"/>
      <c r="AM1865"/>
    </row>
    <row r="1866" spans="3:39" x14ac:dyDescent="0.2">
      <c r="C1866"/>
      <c r="D1866"/>
      <c r="E1866"/>
      <c r="F1866"/>
      <c r="G1866"/>
      <c r="H1866"/>
      <c r="I1866" s="532"/>
      <c r="V1866"/>
      <c r="W1866"/>
      <c r="Z1866"/>
      <c r="AA1866"/>
      <c r="AC1866"/>
      <c r="AD1866"/>
      <c r="AE1866"/>
      <c r="AI1866" s="960"/>
      <c r="AM1866"/>
    </row>
    <row r="1867" spans="3:39" x14ac:dyDescent="0.2">
      <c r="C1867"/>
      <c r="D1867"/>
      <c r="E1867"/>
      <c r="F1867"/>
      <c r="G1867"/>
      <c r="H1867"/>
      <c r="I1867" s="532"/>
      <c r="V1867"/>
      <c r="W1867"/>
      <c r="Z1867"/>
      <c r="AA1867"/>
      <c r="AC1867"/>
      <c r="AD1867"/>
      <c r="AE1867"/>
      <c r="AI1867" s="960"/>
      <c r="AM1867"/>
    </row>
    <row r="1868" spans="3:39" x14ac:dyDescent="0.2">
      <c r="C1868"/>
      <c r="D1868"/>
      <c r="E1868"/>
      <c r="F1868"/>
      <c r="G1868"/>
      <c r="H1868"/>
      <c r="I1868" s="532"/>
      <c r="V1868"/>
      <c r="W1868"/>
      <c r="Z1868"/>
      <c r="AA1868"/>
      <c r="AC1868"/>
      <c r="AD1868"/>
      <c r="AE1868"/>
      <c r="AI1868" s="960"/>
      <c r="AM1868"/>
    </row>
    <row r="1869" spans="3:39" x14ac:dyDescent="0.2">
      <c r="C1869"/>
      <c r="D1869"/>
      <c r="E1869"/>
      <c r="F1869"/>
      <c r="G1869"/>
      <c r="H1869"/>
      <c r="I1869" s="532"/>
      <c r="V1869"/>
      <c r="W1869"/>
      <c r="Z1869"/>
      <c r="AA1869"/>
      <c r="AC1869"/>
      <c r="AD1869"/>
      <c r="AE1869"/>
      <c r="AI1869" s="960"/>
      <c r="AM1869"/>
    </row>
    <row r="1870" spans="3:39" x14ac:dyDescent="0.2">
      <c r="C1870"/>
      <c r="D1870"/>
      <c r="E1870"/>
      <c r="F1870"/>
      <c r="G1870"/>
      <c r="H1870"/>
      <c r="I1870" s="532"/>
      <c r="V1870"/>
      <c r="W1870"/>
      <c r="Z1870"/>
      <c r="AA1870"/>
      <c r="AC1870"/>
      <c r="AD1870"/>
      <c r="AE1870"/>
      <c r="AI1870" s="960"/>
      <c r="AM1870"/>
    </row>
    <row r="1871" spans="3:39" x14ac:dyDescent="0.2">
      <c r="C1871"/>
      <c r="D1871"/>
      <c r="E1871"/>
      <c r="F1871"/>
      <c r="G1871"/>
      <c r="H1871"/>
      <c r="I1871" s="532"/>
      <c r="V1871"/>
      <c r="W1871"/>
      <c r="Z1871"/>
      <c r="AA1871"/>
      <c r="AC1871"/>
      <c r="AD1871"/>
      <c r="AE1871"/>
      <c r="AI1871" s="960"/>
      <c r="AM1871"/>
    </row>
    <row r="1872" spans="3:39" x14ac:dyDescent="0.2">
      <c r="C1872"/>
      <c r="D1872"/>
      <c r="E1872"/>
      <c r="F1872"/>
      <c r="G1872"/>
      <c r="H1872"/>
      <c r="I1872" s="532"/>
      <c r="V1872"/>
      <c r="W1872"/>
      <c r="Z1872"/>
      <c r="AA1872"/>
      <c r="AC1872"/>
      <c r="AD1872"/>
      <c r="AE1872"/>
      <c r="AI1872" s="960"/>
      <c r="AM1872"/>
    </row>
    <row r="1873" spans="3:39" x14ac:dyDescent="0.2">
      <c r="C1873"/>
      <c r="D1873"/>
      <c r="E1873"/>
      <c r="F1873"/>
      <c r="G1873"/>
      <c r="H1873"/>
      <c r="I1873" s="532"/>
      <c r="V1873"/>
      <c r="W1873"/>
      <c r="Z1873"/>
      <c r="AA1873"/>
      <c r="AC1873"/>
      <c r="AD1873"/>
      <c r="AE1873"/>
      <c r="AI1873" s="960"/>
      <c r="AM1873"/>
    </row>
    <row r="1874" spans="3:39" x14ac:dyDescent="0.2">
      <c r="C1874"/>
      <c r="D1874"/>
      <c r="E1874"/>
      <c r="F1874"/>
      <c r="G1874"/>
      <c r="H1874"/>
      <c r="I1874" s="532"/>
      <c r="V1874"/>
      <c r="W1874"/>
      <c r="Z1874"/>
      <c r="AA1874"/>
      <c r="AC1874"/>
      <c r="AD1874"/>
      <c r="AE1874"/>
      <c r="AI1874" s="960"/>
      <c r="AM1874"/>
    </row>
    <row r="1875" spans="3:39" x14ac:dyDescent="0.2">
      <c r="C1875"/>
      <c r="D1875"/>
      <c r="E1875"/>
      <c r="F1875"/>
      <c r="G1875"/>
      <c r="H1875"/>
      <c r="I1875" s="532"/>
      <c r="V1875"/>
      <c r="W1875"/>
      <c r="Z1875"/>
      <c r="AA1875"/>
      <c r="AC1875"/>
      <c r="AD1875"/>
      <c r="AE1875"/>
      <c r="AI1875" s="960"/>
      <c r="AM1875"/>
    </row>
    <row r="1876" spans="3:39" x14ac:dyDescent="0.2">
      <c r="C1876"/>
      <c r="D1876"/>
      <c r="E1876"/>
      <c r="F1876"/>
      <c r="G1876"/>
      <c r="H1876"/>
      <c r="I1876" s="532"/>
      <c r="V1876"/>
      <c r="W1876"/>
      <c r="Z1876"/>
      <c r="AA1876"/>
      <c r="AC1876"/>
      <c r="AD1876"/>
      <c r="AE1876"/>
      <c r="AI1876" s="960"/>
      <c r="AM1876"/>
    </row>
    <row r="1877" spans="3:39" x14ac:dyDescent="0.2">
      <c r="C1877"/>
      <c r="D1877"/>
      <c r="E1877"/>
      <c r="F1877"/>
      <c r="G1877"/>
      <c r="H1877"/>
      <c r="I1877" s="532"/>
      <c r="V1877"/>
      <c r="W1877"/>
      <c r="Z1877"/>
      <c r="AA1877"/>
      <c r="AC1877"/>
      <c r="AD1877"/>
      <c r="AE1877"/>
      <c r="AI1877" s="960"/>
      <c r="AM1877"/>
    </row>
    <row r="1878" spans="3:39" x14ac:dyDescent="0.2">
      <c r="C1878"/>
      <c r="D1878"/>
      <c r="E1878"/>
      <c r="F1878"/>
      <c r="G1878"/>
      <c r="H1878"/>
      <c r="I1878" s="532"/>
      <c r="V1878"/>
      <c r="W1878"/>
      <c r="Z1878"/>
      <c r="AA1878"/>
      <c r="AC1878"/>
      <c r="AD1878"/>
      <c r="AE1878"/>
      <c r="AI1878" s="960"/>
      <c r="AM1878"/>
    </row>
    <row r="1879" spans="3:39" x14ac:dyDescent="0.2">
      <c r="C1879"/>
      <c r="D1879"/>
      <c r="E1879"/>
      <c r="F1879"/>
      <c r="G1879"/>
      <c r="H1879"/>
      <c r="I1879" s="532"/>
      <c r="V1879"/>
      <c r="W1879"/>
      <c r="Z1879"/>
      <c r="AA1879"/>
      <c r="AC1879"/>
      <c r="AD1879"/>
      <c r="AE1879"/>
      <c r="AI1879" s="960"/>
      <c r="AM1879"/>
    </row>
    <row r="1880" spans="3:39" x14ac:dyDescent="0.2">
      <c r="C1880"/>
      <c r="D1880"/>
      <c r="E1880"/>
      <c r="F1880"/>
      <c r="G1880"/>
      <c r="H1880"/>
      <c r="I1880" s="532"/>
      <c r="V1880"/>
      <c r="W1880"/>
      <c r="Z1880"/>
      <c r="AA1880"/>
      <c r="AC1880"/>
      <c r="AD1880"/>
      <c r="AE1880"/>
      <c r="AI1880" s="960"/>
      <c r="AM1880"/>
    </row>
    <row r="1881" spans="3:39" x14ac:dyDescent="0.2">
      <c r="C1881"/>
      <c r="D1881"/>
      <c r="E1881"/>
      <c r="F1881"/>
      <c r="G1881"/>
      <c r="H1881"/>
      <c r="I1881" s="532"/>
      <c r="V1881"/>
      <c r="W1881"/>
      <c r="Z1881"/>
      <c r="AA1881"/>
      <c r="AC1881"/>
      <c r="AD1881"/>
      <c r="AE1881"/>
      <c r="AI1881" s="960"/>
      <c r="AM1881"/>
    </row>
    <row r="1882" spans="3:39" x14ac:dyDescent="0.2">
      <c r="C1882"/>
      <c r="D1882"/>
      <c r="E1882"/>
      <c r="F1882"/>
      <c r="G1882"/>
      <c r="H1882"/>
      <c r="I1882" s="532"/>
      <c r="V1882"/>
      <c r="W1882"/>
      <c r="Z1882"/>
      <c r="AA1882"/>
      <c r="AC1882"/>
      <c r="AD1882"/>
      <c r="AE1882"/>
      <c r="AI1882" s="960"/>
      <c r="AM1882"/>
    </row>
    <row r="1883" spans="3:39" x14ac:dyDescent="0.2">
      <c r="C1883"/>
      <c r="D1883"/>
      <c r="E1883"/>
      <c r="F1883"/>
      <c r="G1883"/>
      <c r="H1883"/>
      <c r="I1883" s="532"/>
      <c r="V1883"/>
      <c r="W1883"/>
      <c r="Z1883"/>
      <c r="AA1883"/>
      <c r="AC1883"/>
      <c r="AD1883"/>
      <c r="AE1883"/>
      <c r="AI1883" s="960"/>
      <c r="AM1883"/>
    </row>
    <row r="1884" spans="3:39" x14ac:dyDescent="0.2">
      <c r="C1884"/>
      <c r="D1884"/>
      <c r="E1884"/>
      <c r="F1884"/>
      <c r="G1884"/>
      <c r="H1884"/>
      <c r="I1884" s="532"/>
      <c r="V1884"/>
      <c r="W1884"/>
      <c r="Z1884"/>
      <c r="AA1884"/>
      <c r="AC1884"/>
      <c r="AD1884"/>
      <c r="AE1884"/>
      <c r="AI1884" s="960"/>
      <c r="AM1884"/>
    </row>
    <row r="1885" spans="3:39" x14ac:dyDescent="0.2">
      <c r="C1885"/>
      <c r="D1885"/>
      <c r="E1885"/>
      <c r="F1885"/>
      <c r="G1885"/>
      <c r="H1885"/>
      <c r="I1885" s="532"/>
      <c r="V1885"/>
      <c r="W1885"/>
      <c r="Z1885"/>
      <c r="AA1885"/>
      <c r="AC1885"/>
      <c r="AD1885"/>
      <c r="AE1885"/>
      <c r="AI1885" s="960"/>
      <c r="AM1885"/>
    </row>
    <row r="1886" spans="3:39" x14ac:dyDescent="0.2">
      <c r="C1886"/>
      <c r="D1886"/>
      <c r="E1886"/>
      <c r="F1886"/>
      <c r="G1886"/>
      <c r="H1886"/>
      <c r="I1886" s="532"/>
      <c r="V1886"/>
      <c r="W1886"/>
      <c r="Z1886"/>
      <c r="AA1886"/>
      <c r="AC1886"/>
      <c r="AD1886"/>
      <c r="AE1886"/>
      <c r="AI1886" s="960"/>
      <c r="AM1886"/>
    </row>
    <row r="1887" spans="3:39" x14ac:dyDescent="0.2">
      <c r="C1887"/>
      <c r="D1887"/>
      <c r="E1887"/>
      <c r="F1887"/>
      <c r="G1887"/>
      <c r="H1887"/>
      <c r="I1887" s="532"/>
      <c r="V1887"/>
      <c r="W1887"/>
      <c r="Z1887"/>
      <c r="AA1887"/>
      <c r="AC1887"/>
      <c r="AD1887"/>
      <c r="AE1887"/>
      <c r="AI1887" s="960"/>
      <c r="AM1887"/>
    </row>
    <row r="1888" spans="3:39" x14ac:dyDescent="0.2">
      <c r="C1888"/>
      <c r="D1888"/>
      <c r="E1888"/>
      <c r="F1888"/>
      <c r="G1888"/>
      <c r="H1888"/>
      <c r="I1888" s="532"/>
      <c r="V1888"/>
      <c r="W1888"/>
      <c r="Z1888"/>
      <c r="AA1888"/>
      <c r="AC1888"/>
      <c r="AD1888"/>
      <c r="AE1888"/>
      <c r="AI1888" s="960"/>
      <c r="AM1888"/>
    </row>
    <row r="1889" spans="3:39" x14ac:dyDescent="0.2">
      <c r="C1889"/>
      <c r="D1889"/>
      <c r="E1889"/>
      <c r="F1889"/>
      <c r="G1889"/>
      <c r="H1889"/>
      <c r="I1889" s="532"/>
      <c r="V1889"/>
      <c r="W1889"/>
      <c r="Z1889"/>
      <c r="AA1889"/>
      <c r="AC1889"/>
      <c r="AD1889"/>
      <c r="AE1889"/>
      <c r="AI1889" s="960"/>
      <c r="AM1889"/>
    </row>
    <row r="1890" spans="3:39" x14ac:dyDescent="0.2">
      <c r="C1890"/>
      <c r="D1890"/>
      <c r="E1890"/>
      <c r="F1890"/>
      <c r="G1890"/>
      <c r="H1890"/>
      <c r="I1890" s="532"/>
      <c r="V1890"/>
      <c r="W1890"/>
      <c r="Z1890"/>
      <c r="AA1890"/>
      <c r="AC1890"/>
      <c r="AD1890"/>
      <c r="AE1890"/>
      <c r="AI1890" s="960"/>
      <c r="AM1890"/>
    </row>
    <row r="1891" spans="3:39" x14ac:dyDescent="0.2">
      <c r="C1891"/>
      <c r="D1891"/>
      <c r="E1891"/>
      <c r="F1891"/>
      <c r="G1891"/>
      <c r="H1891"/>
      <c r="I1891" s="532"/>
      <c r="V1891"/>
      <c r="W1891"/>
      <c r="Z1891"/>
      <c r="AA1891"/>
      <c r="AC1891"/>
      <c r="AD1891"/>
      <c r="AE1891"/>
      <c r="AI1891" s="960"/>
      <c r="AM1891"/>
    </row>
    <row r="1892" spans="3:39" x14ac:dyDescent="0.2">
      <c r="C1892"/>
      <c r="D1892"/>
      <c r="E1892"/>
      <c r="F1892"/>
      <c r="G1892"/>
      <c r="H1892"/>
      <c r="I1892" s="532"/>
      <c r="V1892"/>
      <c r="W1892"/>
      <c r="Z1892"/>
      <c r="AA1892"/>
      <c r="AC1892"/>
      <c r="AD1892"/>
      <c r="AE1892"/>
      <c r="AI1892" s="960"/>
      <c r="AM1892"/>
    </row>
    <row r="1893" spans="3:39" x14ac:dyDescent="0.2">
      <c r="C1893"/>
      <c r="D1893"/>
      <c r="E1893"/>
      <c r="F1893"/>
      <c r="G1893"/>
      <c r="H1893"/>
      <c r="I1893" s="532"/>
      <c r="V1893"/>
      <c r="W1893"/>
      <c r="Z1893"/>
      <c r="AA1893"/>
      <c r="AC1893"/>
      <c r="AD1893"/>
      <c r="AE1893"/>
      <c r="AI1893" s="960"/>
      <c r="AM1893"/>
    </row>
    <row r="1894" spans="3:39" x14ac:dyDescent="0.2">
      <c r="C1894"/>
      <c r="D1894"/>
      <c r="E1894"/>
      <c r="F1894"/>
      <c r="G1894"/>
      <c r="H1894"/>
      <c r="I1894" s="532"/>
      <c r="V1894"/>
      <c r="W1894"/>
      <c r="Z1894"/>
      <c r="AA1894"/>
      <c r="AC1894"/>
      <c r="AD1894"/>
      <c r="AE1894"/>
      <c r="AI1894" s="960"/>
      <c r="AM1894"/>
    </row>
    <row r="1895" spans="3:39" x14ac:dyDescent="0.2">
      <c r="C1895"/>
      <c r="D1895"/>
      <c r="E1895"/>
      <c r="F1895"/>
      <c r="G1895"/>
      <c r="H1895"/>
      <c r="I1895" s="532"/>
      <c r="V1895"/>
      <c r="W1895"/>
      <c r="Z1895"/>
      <c r="AA1895"/>
      <c r="AC1895"/>
      <c r="AD1895"/>
      <c r="AE1895"/>
      <c r="AI1895" s="960"/>
      <c r="AM1895"/>
    </row>
    <row r="1896" spans="3:39" x14ac:dyDescent="0.2">
      <c r="C1896"/>
      <c r="D1896"/>
      <c r="E1896"/>
      <c r="F1896"/>
      <c r="G1896"/>
      <c r="H1896"/>
      <c r="I1896" s="532"/>
      <c r="V1896"/>
      <c r="W1896"/>
      <c r="Z1896"/>
      <c r="AA1896"/>
      <c r="AC1896"/>
      <c r="AD1896"/>
      <c r="AE1896"/>
      <c r="AI1896" s="960"/>
      <c r="AM1896"/>
    </row>
    <row r="1897" spans="3:39" x14ac:dyDescent="0.2">
      <c r="C1897"/>
      <c r="D1897"/>
      <c r="E1897"/>
      <c r="F1897"/>
      <c r="G1897"/>
      <c r="H1897"/>
      <c r="I1897" s="532"/>
      <c r="V1897"/>
      <c r="W1897"/>
      <c r="Z1897"/>
      <c r="AA1897"/>
      <c r="AC1897"/>
      <c r="AD1897"/>
      <c r="AE1897"/>
      <c r="AI1897" s="960"/>
      <c r="AM1897"/>
    </row>
    <row r="1898" spans="3:39" x14ac:dyDescent="0.2">
      <c r="C1898"/>
      <c r="D1898"/>
      <c r="E1898"/>
      <c r="F1898"/>
      <c r="G1898"/>
      <c r="H1898"/>
      <c r="I1898" s="532"/>
      <c r="V1898"/>
      <c r="W1898"/>
      <c r="Z1898"/>
      <c r="AA1898"/>
      <c r="AC1898"/>
      <c r="AD1898"/>
      <c r="AE1898"/>
      <c r="AI1898" s="960"/>
      <c r="AM1898"/>
    </row>
    <row r="1899" spans="3:39" x14ac:dyDescent="0.2">
      <c r="C1899"/>
      <c r="D1899"/>
      <c r="E1899"/>
      <c r="F1899"/>
      <c r="G1899"/>
      <c r="H1899"/>
      <c r="I1899" s="532"/>
      <c r="V1899"/>
      <c r="W1899"/>
      <c r="Z1899"/>
      <c r="AA1899"/>
      <c r="AC1899"/>
      <c r="AD1899"/>
      <c r="AE1899"/>
      <c r="AI1899" s="960"/>
      <c r="AM1899"/>
    </row>
    <row r="1900" spans="3:39" x14ac:dyDescent="0.2">
      <c r="C1900"/>
      <c r="D1900"/>
      <c r="E1900"/>
      <c r="F1900"/>
      <c r="G1900"/>
      <c r="H1900"/>
      <c r="I1900" s="532"/>
      <c r="V1900"/>
      <c r="W1900"/>
      <c r="Z1900"/>
      <c r="AA1900"/>
      <c r="AC1900"/>
      <c r="AD1900"/>
      <c r="AE1900"/>
      <c r="AI1900" s="960"/>
      <c r="AM1900"/>
    </row>
    <row r="1901" spans="3:39" x14ac:dyDescent="0.2">
      <c r="C1901"/>
      <c r="D1901"/>
      <c r="E1901"/>
      <c r="F1901"/>
      <c r="G1901"/>
      <c r="H1901"/>
      <c r="I1901" s="532"/>
      <c r="V1901"/>
      <c r="W1901"/>
      <c r="Z1901"/>
      <c r="AA1901"/>
      <c r="AC1901"/>
      <c r="AD1901"/>
      <c r="AE1901"/>
      <c r="AI1901" s="960"/>
      <c r="AM1901"/>
    </row>
    <row r="1902" spans="3:39" x14ac:dyDescent="0.2">
      <c r="C1902"/>
      <c r="D1902"/>
      <c r="E1902"/>
      <c r="F1902"/>
      <c r="G1902"/>
      <c r="H1902"/>
      <c r="I1902" s="532"/>
      <c r="V1902"/>
      <c r="W1902"/>
      <c r="Z1902"/>
      <c r="AA1902"/>
      <c r="AC1902"/>
      <c r="AD1902"/>
      <c r="AE1902"/>
      <c r="AI1902" s="960"/>
      <c r="AM1902"/>
    </row>
    <row r="1903" spans="3:39" x14ac:dyDescent="0.2">
      <c r="C1903"/>
      <c r="D1903"/>
      <c r="E1903"/>
      <c r="F1903"/>
      <c r="G1903"/>
      <c r="H1903"/>
      <c r="I1903" s="532"/>
      <c r="V1903"/>
      <c r="W1903"/>
      <c r="Z1903"/>
      <c r="AA1903"/>
      <c r="AC1903"/>
      <c r="AD1903"/>
      <c r="AE1903"/>
      <c r="AI1903" s="960"/>
      <c r="AM1903"/>
    </row>
    <row r="1904" spans="3:39" x14ac:dyDescent="0.2">
      <c r="C1904"/>
      <c r="D1904"/>
      <c r="E1904"/>
      <c r="F1904"/>
      <c r="G1904"/>
      <c r="H1904"/>
      <c r="I1904" s="532"/>
      <c r="V1904"/>
      <c r="W1904"/>
      <c r="Z1904"/>
      <c r="AA1904"/>
      <c r="AC1904"/>
      <c r="AD1904"/>
      <c r="AE1904"/>
      <c r="AI1904" s="960"/>
      <c r="AM1904"/>
    </row>
    <row r="1905" spans="3:39" x14ac:dyDescent="0.2">
      <c r="C1905"/>
      <c r="D1905"/>
      <c r="E1905"/>
      <c r="F1905"/>
      <c r="G1905"/>
      <c r="H1905"/>
      <c r="I1905" s="532"/>
      <c r="V1905"/>
      <c r="W1905"/>
      <c r="Z1905"/>
      <c r="AA1905"/>
      <c r="AC1905"/>
      <c r="AD1905"/>
      <c r="AE1905"/>
      <c r="AI1905" s="960"/>
      <c r="AM1905"/>
    </row>
    <row r="1906" spans="3:39" x14ac:dyDescent="0.2">
      <c r="C1906"/>
      <c r="D1906"/>
      <c r="E1906"/>
      <c r="F1906"/>
      <c r="G1906"/>
      <c r="H1906"/>
      <c r="I1906" s="532"/>
      <c r="V1906"/>
      <c r="W1906"/>
      <c r="Z1906"/>
      <c r="AA1906"/>
      <c r="AC1906"/>
      <c r="AD1906"/>
      <c r="AE1906"/>
      <c r="AI1906" s="960"/>
      <c r="AM1906"/>
    </row>
    <row r="1907" spans="3:39" x14ac:dyDescent="0.2">
      <c r="C1907"/>
      <c r="D1907"/>
      <c r="E1907"/>
      <c r="F1907"/>
      <c r="G1907"/>
      <c r="H1907"/>
      <c r="I1907" s="532"/>
      <c r="V1907"/>
      <c r="W1907"/>
      <c r="Z1907"/>
      <c r="AA1907"/>
      <c r="AC1907"/>
      <c r="AD1907"/>
      <c r="AE1907"/>
      <c r="AI1907" s="960"/>
      <c r="AM1907"/>
    </row>
    <row r="1908" spans="3:39" x14ac:dyDescent="0.2">
      <c r="C1908"/>
      <c r="D1908"/>
      <c r="E1908"/>
      <c r="F1908"/>
      <c r="G1908"/>
      <c r="H1908"/>
      <c r="I1908" s="532"/>
      <c r="V1908"/>
      <c r="W1908"/>
      <c r="Z1908"/>
      <c r="AA1908"/>
      <c r="AC1908"/>
      <c r="AD1908"/>
      <c r="AE1908"/>
      <c r="AI1908" s="960"/>
      <c r="AM1908"/>
    </row>
    <row r="1909" spans="3:39" x14ac:dyDescent="0.2">
      <c r="C1909"/>
      <c r="D1909"/>
      <c r="E1909"/>
      <c r="F1909"/>
      <c r="G1909"/>
      <c r="H1909"/>
      <c r="I1909" s="532"/>
      <c r="V1909"/>
      <c r="W1909"/>
      <c r="Z1909"/>
      <c r="AA1909"/>
      <c r="AC1909"/>
      <c r="AD1909"/>
      <c r="AE1909"/>
      <c r="AI1909" s="960"/>
      <c r="AM1909"/>
    </row>
    <row r="1910" spans="3:39" x14ac:dyDescent="0.2">
      <c r="C1910"/>
      <c r="D1910"/>
      <c r="E1910"/>
      <c r="F1910"/>
      <c r="G1910"/>
      <c r="H1910"/>
      <c r="I1910" s="532"/>
      <c r="V1910"/>
      <c r="W1910"/>
      <c r="Z1910"/>
      <c r="AA1910"/>
      <c r="AC1910"/>
      <c r="AD1910"/>
      <c r="AE1910"/>
      <c r="AI1910" s="960"/>
      <c r="AM1910"/>
    </row>
    <row r="1911" spans="3:39" x14ac:dyDescent="0.2">
      <c r="C1911"/>
      <c r="D1911"/>
      <c r="E1911"/>
      <c r="F1911"/>
      <c r="G1911"/>
      <c r="H1911"/>
      <c r="I1911" s="532"/>
      <c r="V1911"/>
      <c r="W1911"/>
      <c r="Z1911"/>
      <c r="AA1911"/>
      <c r="AC1911"/>
      <c r="AD1911"/>
      <c r="AE1911"/>
      <c r="AI1911" s="960"/>
      <c r="AM1911"/>
    </row>
    <row r="1912" spans="3:39" x14ac:dyDescent="0.2">
      <c r="C1912"/>
      <c r="D1912"/>
      <c r="E1912"/>
      <c r="F1912"/>
      <c r="G1912"/>
      <c r="H1912"/>
      <c r="I1912" s="532"/>
      <c r="V1912"/>
      <c r="W1912"/>
      <c r="Z1912"/>
      <c r="AA1912"/>
      <c r="AC1912"/>
      <c r="AD1912"/>
      <c r="AE1912"/>
      <c r="AI1912" s="960"/>
      <c r="AM1912"/>
    </row>
    <row r="1913" spans="3:39" x14ac:dyDescent="0.2">
      <c r="C1913"/>
      <c r="D1913"/>
      <c r="E1913"/>
      <c r="F1913"/>
      <c r="G1913"/>
      <c r="H1913"/>
      <c r="I1913" s="532"/>
      <c r="V1913"/>
      <c r="W1913"/>
      <c r="Z1913"/>
      <c r="AA1913"/>
      <c r="AC1913"/>
      <c r="AD1913"/>
      <c r="AE1913"/>
      <c r="AI1913" s="960"/>
      <c r="AM1913"/>
    </row>
    <row r="1914" spans="3:39" x14ac:dyDescent="0.2">
      <c r="C1914"/>
      <c r="D1914"/>
      <c r="E1914"/>
      <c r="F1914"/>
      <c r="G1914"/>
      <c r="H1914"/>
      <c r="I1914" s="532"/>
      <c r="V1914"/>
      <c r="W1914"/>
      <c r="Z1914"/>
      <c r="AA1914"/>
      <c r="AC1914"/>
      <c r="AD1914"/>
      <c r="AE1914"/>
      <c r="AI1914" s="960"/>
      <c r="AM1914"/>
    </row>
    <row r="1915" spans="3:39" x14ac:dyDescent="0.2">
      <c r="C1915"/>
      <c r="D1915"/>
      <c r="E1915"/>
      <c r="F1915"/>
      <c r="G1915"/>
      <c r="H1915"/>
      <c r="I1915" s="532"/>
      <c r="V1915"/>
      <c r="W1915"/>
      <c r="Z1915"/>
      <c r="AA1915"/>
      <c r="AC1915"/>
      <c r="AD1915"/>
      <c r="AE1915"/>
      <c r="AI1915" s="960"/>
      <c r="AM1915"/>
    </row>
    <row r="1916" spans="3:39" x14ac:dyDescent="0.2">
      <c r="C1916"/>
      <c r="D1916"/>
      <c r="E1916"/>
      <c r="F1916"/>
      <c r="G1916"/>
      <c r="H1916"/>
      <c r="I1916" s="532"/>
      <c r="V1916"/>
      <c r="W1916"/>
      <c r="Z1916"/>
      <c r="AA1916"/>
      <c r="AC1916"/>
      <c r="AD1916"/>
      <c r="AE1916"/>
      <c r="AI1916" s="960"/>
      <c r="AM1916"/>
    </row>
    <row r="1917" spans="3:39" x14ac:dyDescent="0.2">
      <c r="C1917"/>
      <c r="D1917"/>
      <c r="E1917"/>
      <c r="F1917"/>
      <c r="G1917"/>
      <c r="H1917"/>
      <c r="I1917" s="532"/>
      <c r="V1917"/>
      <c r="W1917"/>
      <c r="Z1917"/>
      <c r="AA1917"/>
      <c r="AC1917"/>
      <c r="AD1917"/>
      <c r="AE1917"/>
      <c r="AI1917" s="960"/>
      <c r="AM1917"/>
    </row>
    <row r="1918" spans="3:39" x14ac:dyDescent="0.2">
      <c r="C1918"/>
      <c r="D1918"/>
      <c r="E1918"/>
      <c r="F1918"/>
      <c r="G1918"/>
      <c r="H1918"/>
      <c r="I1918" s="532"/>
      <c r="V1918"/>
      <c r="W1918"/>
      <c r="Z1918"/>
      <c r="AA1918"/>
      <c r="AC1918"/>
      <c r="AD1918"/>
      <c r="AE1918"/>
      <c r="AI1918" s="960"/>
      <c r="AM1918"/>
    </row>
    <row r="1919" spans="3:39" x14ac:dyDescent="0.2">
      <c r="C1919"/>
      <c r="D1919"/>
      <c r="E1919"/>
      <c r="F1919"/>
      <c r="G1919"/>
      <c r="H1919"/>
      <c r="I1919" s="532"/>
      <c r="V1919"/>
      <c r="W1919"/>
      <c r="Z1919"/>
      <c r="AA1919"/>
      <c r="AC1919"/>
      <c r="AD1919"/>
      <c r="AE1919"/>
      <c r="AI1919" s="960"/>
      <c r="AM1919"/>
    </row>
    <row r="1920" spans="3:39" x14ac:dyDescent="0.2">
      <c r="C1920"/>
      <c r="D1920"/>
      <c r="E1920"/>
      <c r="F1920"/>
      <c r="G1920"/>
      <c r="H1920"/>
      <c r="I1920" s="532"/>
      <c r="V1920"/>
      <c r="W1920"/>
      <c r="Z1920"/>
      <c r="AA1920"/>
      <c r="AC1920"/>
      <c r="AD1920"/>
      <c r="AE1920"/>
      <c r="AI1920" s="960"/>
      <c r="AM1920"/>
    </row>
    <row r="1921" spans="3:39" x14ac:dyDescent="0.2">
      <c r="C1921"/>
      <c r="D1921"/>
      <c r="E1921"/>
      <c r="F1921"/>
      <c r="G1921"/>
      <c r="H1921"/>
      <c r="I1921" s="532"/>
      <c r="V1921"/>
      <c r="W1921"/>
      <c r="Z1921"/>
      <c r="AA1921"/>
      <c r="AC1921"/>
      <c r="AD1921"/>
      <c r="AE1921"/>
      <c r="AI1921" s="960"/>
      <c r="AM1921"/>
    </row>
    <row r="1922" spans="3:39" x14ac:dyDescent="0.2">
      <c r="C1922"/>
      <c r="D1922"/>
      <c r="E1922"/>
      <c r="F1922"/>
      <c r="G1922"/>
      <c r="H1922"/>
      <c r="I1922" s="532"/>
      <c r="V1922"/>
      <c r="W1922"/>
      <c r="Z1922"/>
      <c r="AA1922"/>
      <c r="AC1922"/>
      <c r="AD1922"/>
      <c r="AE1922"/>
      <c r="AI1922" s="960"/>
      <c r="AM1922"/>
    </row>
    <row r="1923" spans="3:39" x14ac:dyDescent="0.2">
      <c r="C1923"/>
      <c r="D1923"/>
      <c r="E1923"/>
      <c r="F1923"/>
      <c r="G1923"/>
      <c r="H1923"/>
      <c r="I1923" s="532"/>
      <c r="V1923"/>
      <c r="W1923"/>
      <c r="Z1923"/>
      <c r="AA1923"/>
      <c r="AC1923"/>
      <c r="AD1923"/>
      <c r="AE1923"/>
      <c r="AI1923" s="960"/>
      <c r="AM1923"/>
    </row>
    <row r="1924" spans="3:39" x14ac:dyDescent="0.2">
      <c r="C1924"/>
      <c r="D1924"/>
      <c r="E1924"/>
      <c r="F1924"/>
      <c r="G1924"/>
      <c r="H1924"/>
      <c r="I1924" s="532"/>
      <c r="V1924"/>
      <c r="W1924"/>
      <c r="Z1924"/>
      <c r="AA1924"/>
      <c r="AC1924"/>
      <c r="AD1924"/>
      <c r="AE1924"/>
      <c r="AI1924" s="960"/>
      <c r="AM1924"/>
    </row>
    <row r="1925" spans="3:39" x14ac:dyDescent="0.2">
      <c r="C1925"/>
      <c r="D1925"/>
      <c r="E1925"/>
      <c r="F1925"/>
      <c r="G1925"/>
      <c r="H1925"/>
      <c r="I1925" s="532"/>
      <c r="V1925"/>
      <c r="W1925"/>
      <c r="Z1925"/>
      <c r="AA1925"/>
      <c r="AC1925"/>
      <c r="AD1925"/>
      <c r="AE1925"/>
      <c r="AI1925" s="960"/>
      <c r="AM1925"/>
    </row>
    <row r="1926" spans="3:39" x14ac:dyDescent="0.2">
      <c r="C1926"/>
      <c r="D1926"/>
      <c r="E1926"/>
      <c r="F1926"/>
      <c r="G1926"/>
      <c r="H1926"/>
      <c r="I1926" s="532"/>
      <c r="V1926"/>
      <c r="W1926"/>
      <c r="Z1926"/>
      <c r="AA1926"/>
      <c r="AC1926"/>
      <c r="AD1926"/>
      <c r="AE1926"/>
      <c r="AI1926" s="960"/>
      <c r="AM1926"/>
    </row>
    <row r="1927" spans="3:39" x14ac:dyDescent="0.2">
      <c r="C1927"/>
      <c r="D1927"/>
      <c r="E1927"/>
      <c r="F1927"/>
      <c r="G1927"/>
      <c r="H1927"/>
      <c r="I1927" s="532"/>
      <c r="V1927"/>
      <c r="W1927"/>
      <c r="Z1927"/>
      <c r="AA1927"/>
      <c r="AC1927"/>
      <c r="AD1927"/>
      <c r="AE1927"/>
      <c r="AI1927" s="960"/>
      <c r="AM1927"/>
    </row>
    <row r="1928" spans="3:39" x14ac:dyDescent="0.2">
      <c r="C1928"/>
      <c r="D1928"/>
      <c r="E1928"/>
      <c r="F1928"/>
      <c r="G1928"/>
      <c r="H1928"/>
      <c r="I1928" s="532"/>
      <c r="V1928"/>
      <c r="W1928"/>
      <c r="Z1928"/>
      <c r="AA1928"/>
      <c r="AC1928"/>
      <c r="AD1928"/>
      <c r="AE1928"/>
      <c r="AI1928" s="960"/>
      <c r="AM1928"/>
    </row>
    <row r="1929" spans="3:39" x14ac:dyDescent="0.2">
      <c r="C1929"/>
      <c r="D1929"/>
      <c r="E1929"/>
      <c r="F1929"/>
      <c r="G1929"/>
      <c r="H1929"/>
      <c r="I1929" s="532"/>
      <c r="V1929"/>
      <c r="W1929"/>
      <c r="Z1929"/>
      <c r="AA1929"/>
      <c r="AC1929"/>
      <c r="AD1929"/>
      <c r="AE1929"/>
      <c r="AI1929" s="960"/>
      <c r="AM1929"/>
    </row>
    <row r="1930" spans="3:39" x14ac:dyDescent="0.2">
      <c r="C1930"/>
      <c r="D1930"/>
      <c r="E1930"/>
      <c r="F1930"/>
      <c r="G1930"/>
      <c r="H1930"/>
      <c r="I1930" s="532"/>
      <c r="V1930"/>
      <c r="W1930"/>
      <c r="Z1930"/>
      <c r="AA1930"/>
      <c r="AC1930"/>
      <c r="AD1930"/>
      <c r="AE1930"/>
      <c r="AI1930" s="960"/>
      <c r="AM1930"/>
    </row>
    <row r="1931" spans="3:39" x14ac:dyDescent="0.2">
      <c r="C1931"/>
      <c r="D1931"/>
      <c r="E1931"/>
      <c r="F1931"/>
      <c r="G1931"/>
      <c r="H1931"/>
      <c r="I1931" s="532"/>
      <c r="V1931"/>
      <c r="W1931"/>
      <c r="Z1931"/>
      <c r="AA1931"/>
      <c r="AC1931"/>
      <c r="AD1931"/>
      <c r="AE1931"/>
      <c r="AI1931" s="960"/>
      <c r="AM1931"/>
    </row>
    <row r="1932" spans="3:39" x14ac:dyDescent="0.2">
      <c r="C1932"/>
      <c r="D1932"/>
      <c r="E1932"/>
      <c r="F1932"/>
      <c r="G1932"/>
      <c r="H1932"/>
      <c r="I1932" s="532"/>
      <c r="V1932"/>
      <c r="W1932"/>
      <c r="Z1932"/>
      <c r="AA1932"/>
      <c r="AC1932"/>
      <c r="AD1932"/>
      <c r="AE1932"/>
      <c r="AI1932" s="960"/>
      <c r="AM1932"/>
    </row>
    <row r="1933" spans="3:39" x14ac:dyDescent="0.2">
      <c r="C1933"/>
      <c r="D1933"/>
      <c r="E1933"/>
      <c r="F1933"/>
      <c r="G1933"/>
      <c r="H1933"/>
      <c r="I1933" s="532"/>
      <c r="V1933"/>
      <c r="W1933"/>
      <c r="Z1933"/>
      <c r="AA1933"/>
      <c r="AC1933"/>
      <c r="AD1933"/>
      <c r="AE1933"/>
      <c r="AI1933" s="960"/>
      <c r="AM1933"/>
    </row>
    <row r="1934" spans="3:39" x14ac:dyDescent="0.2">
      <c r="C1934"/>
      <c r="D1934"/>
      <c r="E1934"/>
      <c r="F1934"/>
      <c r="G1934"/>
      <c r="H1934"/>
      <c r="I1934" s="532"/>
      <c r="V1934"/>
      <c r="W1934"/>
      <c r="Z1934"/>
      <c r="AA1934"/>
      <c r="AC1934"/>
      <c r="AD1934"/>
      <c r="AE1934"/>
      <c r="AI1934" s="960"/>
      <c r="AM1934"/>
    </row>
    <row r="1935" spans="3:39" x14ac:dyDescent="0.2">
      <c r="C1935"/>
      <c r="D1935"/>
      <c r="E1935"/>
      <c r="F1935"/>
      <c r="G1935"/>
      <c r="H1935"/>
      <c r="I1935" s="532"/>
      <c r="V1935"/>
      <c r="W1935"/>
      <c r="Z1935"/>
      <c r="AA1935"/>
      <c r="AC1935"/>
      <c r="AD1935"/>
      <c r="AE1935"/>
      <c r="AI1935" s="960"/>
      <c r="AM1935"/>
    </row>
    <row r="1936" spans="3:39" x14ac:dyDescent="0.2">
      <c r="C1936"/>
      <c r="D1936"/>
      <c r="E1936"/>
      <c r="F1936"/>
      <c r="G1936"/>
      <c r="H1936"/>
      <c r="I1936" s="532"/>
      <c r="V1936"/>
      <c r="W1936"/>
      <c r="Z1936"/>
      <c r="AA1936"/>
      <c r="AC1936"/>
      <c r="AD1936"/>
      <c r="AE1936"/>
      <c r="AI1936" s="960"/>
      <c r="AM1936"/>
    </row>
    <row r="1937" spans="3:39" x14ac:dyDescent="0.2">
      <c r="C1937"/>
      <c r="D1937"/>
      <c r="E1937"/>
      <c r="F1937"/>
      <c r="G1937"/>
      <c r="H1937"/>
      <c r="I1937" s="532"/>
      <c r="V1937"/>
      <c r="W1937"/>
      <c r="Z1937"/>
      <c r="AA1937"/>
      <c r="AC1937"/>
      <c r="AD1937"/>
      <c r="AE1937"/>
      <c r="AI1937" s="960"/>
      <c r="AM1937"/>
    </row>
    <row r="1938" spans="3:39" x14ac:dyDescent="0.2">
      <c r="C1938"/>
      <c r="D1938"/>
      <c r="E1938"/>
      <c r="F1938"/>
      <c r="G1938"/>
      <c r="H1938"/>
      <c r="I1938" s="532"/>
      <c r="V1938"/>
      <c r="W1938"/>
      <c r="Z1938"/>
      <c r="AA1938"/>
      <c r="AC1938"/>
      <c r="AD1938"/>
      <c r="AE1938"/>
      <c r="AI1938" s="960"/>
      <c r="AM1938"/>
    </row>
    <row r="1939" spans="3:39" x14ac:dyDescent="0.2">
      <c r="C1939"/>
      <c r="D1939"/>
      <c r="E1939"/>
      <c r="F1939"/>
      <c r="G1939"/>
      <c r="H1939"/>
      <c r="I1939" s="532"/>
      <c r="V1939"/>
      <c r="W1939"/>
      <c r="Z1939"/>
      <c r="AA1939"/>
      <c r="AC1939"/>
      <c r="AD1939"/>
      <c r="AE1939"/>
      <c r="AI1939" s="960"/>
      <c r="AM1939"/>
    </row>
    <row r="1940" spans="3:39" x14ac:dyDescent="0.2">
      <c r="C1940"/>
      <c r="D1940"/>
      <c r="E1940"/>
      <c r="F1940"/>
      <c r="G1940"/>
      <c r="H1940"/>
      <c r="I1940" s="532"/>
      <c r="V1940"/>
      <c r="W1940"/>
      <c r="Z1940"/>
      <c r="AA1940"/>
      <c r="AC1940"/>
      <c r="AD1940"/>
      <c r="AE1940"/>
      <c r="AI1940" s="960"/>
      <c r="AM1940"/>
    </row>
    <row r="1941" spans="3:39" x14ac:dyDescent="0.2">
      <c r="C1941"/>
      <c r="D1941"/>
      <c r="E1941"/>
      <c r="F1941"/>
      <c r="G1941"/>
      <c r="H1941"/>
      <c r="I1941" s="532"/>
      <c r="V1941"/>
      <c r="W1941"/>
      <c r="Z1941"/>
      <c r="AA1941"/>
      <c r="AC1941"/>
      <c r="AD1941"/>
      <c r="AE1941"/>
      <c r="AI1941" s="960"/>
      <c r="AM1941"/>
    </row>
    <row r="1942" spans="3:39" x14ac:dyDescent="0.2">
      <c r="C1942"/>
      <c r="D1942"/>
      <c r="E1942"/>
      <c r="F1942"/>
      <c r="G1942"/>
      <c r="H1942"/>
      <c r="I1942" s="532"/>
      <c r="V1942"/>
      <c r="W1942"/>
      <c r="Z1942"/>
      <c r="AA1942"/>
      <c r="AC1942"/>
      <c r="AD1942"/>
      <c r="AE1942"/>
      <c r="AI1942" s="960"/>
      <c r="AM1942"/>
    </row>
    <row r="1943" spans="3:39" x14ac:dyDescent="0.2">
      <c r="C1943"/>
      <c r="D1943"/>
      <c r="E1943"/>
      <c r="F1943"/>
      <c r="G1943"/>
      <c r="H1943"/>
      <c r="I1943" s="532"/>
      <c r="V1943"/>
      <c r="W1943"/>
      <c r="Z1943"/>
      <c r="AA1943"/>
      <c r="AC1943"/>
      <c r="AD1943"/>
      <c r="AE1943"/>
      <c r="AI1943" s="960"/>
      <c r="AM1943"/>
    </row>
    <row r="1944" spans="3:39" x14ac:dyDescent="0.2">
      <c r="C1944"/>
      <c r="D1944"/>
      <c r="E1944"/>
      <c r="F1944"/>
      <c r="G1944"/>
      <c r="H1944"/>
      <c r="I1944" s="532"/>
      <c r="V1944"/>
      <c r="W1944"/>
      <c r="Z1944"/>
      <c r="AA1944"/>
      <c r="AC1944"/>
      <c r="AD1944"/>
      <c r="AE1944"/>
      <c r="AI1944" s="960"/>
      <c r="AM1944"/>
    </row>
    <row r="1945" spans="3:39" x14ac:dyDescent="0.2">
      <c r="C1945"/>
      <c r="D1945"/>
      <c r="E1945"/>
      <c r="F1945"/>
      <c r="G1945"/>
      <c r="H1945"/>
      <c r="I1945" s="532"/>
      <c r="V1945"/>
      <c r="W1945"/>
      <c r="Z1945"/>
      <c r="AA1945"/>
      <c r="AC1945"/>
      <c r="AD1945"/>
      <c r="AE1945"/>
      <c r="AI1945" s="960"/>
      <c r="AM1945"/>
    </row>
    <row r="1946" spans="3:39" x14ac:dyDescent="0.2">
      <c r="C1946"/>
      <c r="D1946"/>
      <c r="E1946"/>
      <c r="F1946"/>
      <c r="G1946"/>
      <c r="H1946"/>
      <c r="I1946" s="532"/>
      <c r="V1946"/>
      <c r="W1946"/>
      <c r="Z1946"/>
      <c r="AA1946"/>
      <c r="AC1946"/>
      <c r="AD1946"/>
      <c r="AE1946"/>
      <c r="AI1946" s="960"/>
      <c r="AM1946"/>
    </row>
    <row r="1947" spans="3:39" x14ac:dyDescent="0.2">
      <c r="C1947"/>
      <c r="D1947"/>
      <c r="E1947"/>
      <c r="F1947"/>
      <c r="G1947"/>
      <c r="H1947"/>
      <c r="I1947" s="532"/>
      <c r="V1947"/>
      <c r="W1947"/>
      <c r="Z1947"/>
      <c r="AA1947"/>
      <c r="AC1947"/>
      <c r="AD1947"/>
      <c r="AE1947"/>
      <c r="AI1947" s="960"/>
      <c r="AM1947"/>
    </row>
    <row r="1948" spans="3:39" x14ac:dyDescent="0.2">
      <c r="C1948"/>
      <c r="D1948"/>
      <c r="E1948"/>
      <c r="F1948"/>
      <c r="G1948"/>
      <c r="H1948"/>
      <c r="I1948" s="532"/>
      <c r="V1948"/>
      <c r="W1948"/>
      <c r="Z1948"/>
      <c r="AA1948"/>
      <c r="AC1948"/>
      <c r="AD1948"/>
      <c r="AE1948"/>
      <c r="AI1948" s="960"/>
      <c r="AM1948"/>
    </row>
    <row r="1949" spans="3:39" x14ac:dyDescent="0.2">
      <c r="C1949"/>
      <c r="D1949"/>
      <c r="E1949"/>
      <c r="F1949"/>
      <c r="G1949"/>
      <c r="H1949"/>
      <c r="I1949" s="532"/>
      <c r="V1949"/>
      <c r="W1949"/>
      <c r="Z1949"/>
      <c r="AA1949"/>
      <c r="AC1949"/>
      <c r="AD1949"/>
      <c r="AE1949"/>
      <c r="AI1949" s="960"/>
      <c r="AM1949"/>
    </row>
    <row r="1950" spans="3:39" x14ac:dyDescent="0.2">
      <c r="C1950"/>
      <c r="D1950"/>
      <c r="E1950"/>
      <c r="F1950"/>
      <c r="G1950"/>
      <c r="H1950"/>
      <c r="I1950" s="532"/>
      <c r="V1950"/>
      <c r="W1950"/>
      <c r="Z1950"/>
      <c r="AA1950"/>
      <c r="AC1950"/>
      <c r="AD1950"/>
      <c r="AE1950"/>
      <c r="AI1950" s="960"/>
      <c r="AM1950"/>
    </row>
    <row r="1951" spans="3:39" x14ac:dyDescent="0.2">
      <c r="C1951"/>
      <c r="D1951"/>
      <c r="E1951"/>
      <c r="F1951"/>
      <c r="G1951"/>
      <c r="H1951"/>
      <c r="I1951" s="532"/>
      <c r="V1951"/>
      <c r="W1951"/>
      <c r="Z1951"/>
      <c r="AA1951"/>
      <c r="AC1951"/>
      <c r="AD1951"/>
      <c r="AE1951"/>
      <c r="AI1951" s="960"/>
      <c r="AM1951"/>
    </row>
    <row r="1952" spans="3:39" x14ac:dyDescent="0.2">
      <c r="C1952"/>
      <c r="D1952"/>
      <c r="E1952"/>
      <c r="F1952"/>
      <c r="G1952"/>
      <c r="H1952"/>
      <c r="I1952" s="532"/>
      <c r="V1952"/>
      <c r="W1952"/>
      <c r="Z1952"/>
      <c r="AA1952"/>
      <c r="AC1952"/>
      <c r="AD1952"/>
      <c r="AE1952"/>
      <c r="AI1952" s="960"/>
      <c r="AM1952"/>
    </row>
    <row r="1953" spans="3:39" x14ac:dyDescent="0.2">
      <c r="C1953"/>
      <c r="D1953"/>
      <c r="E1953"/>
      <c r="F1953"/>
      <c r="G1953"/>
      <c r="H1953"/>
      <c r="I1953" s="532"/>
      <c r="V1953"/>
      <c r="W1953"/>
      <c r="Z1953"/>
      <c r="AA1953"/>
      <c r="AC1953"/>
      <c r="AD1953"/>
      <c r="AE1953"/>
      <c r="AI1953" s="960"/>
      <c r="AM1953"/>
    </row>
    <row r="1954" spans="3:39" x14ac:dyDescent="0.2">
      <c r="C1954"/>
      <c r="D1954"/>
      <c r="E1954"/>
      <c r="F1954"/>
      <c r="G1954"/>
      <c r="H1954"/>
      <c r="I1954" s="532"/>
      <c r="V1954"/>
      <c r="W1954"/>
      <c r="Z1954"/>
      <c r="AA1954"/>
      <c r="AC1954"/>
      <c r="AD1954"/>
      <c r="AE1954"/>
      <c r="AI1954" s="960"/>
      <c r="AM1954"/>
    </row>
    <row r="1955" spans="3:39" x14ac:dyDescent="0.2">
      <c r="C1955"/>
      <c r="D1955"/>
      <c r="E1955"/>
      <c r="F1955"/>
      <c r="G1955"/>
      <c r="H1955"/>
      <c r="I1955" s="532"/>
      <c r="V1955"/>
      <c r="W1955"/>
      <c r="Z1955"/>
      <c r="AA1955"/>
      <c r="AC1955"/>
      <c r="AD1955"/>
      <c r="AE1955"/>
      <c r="AI1955" s="960"/>
      <c r="AM1955"/>
    </row>
    <row r="1956" spans="3:39" x14ac:dyDescent="0.2">
      <c r="C1956"/>
      <c r="D1956"/>
      <c r="E1956"/>
      <c r="F1956"/>
      <c r="G1956"/>
      <c r="H1956"/>
      <c r="I1956" s="532"/>
      <c r="V1956"/>
      <c r="W1956"/>
      <c r="Z1956"/>
      <c r="AA1956"/>
      <c r="AC1956"/>
      <c r="AD1956"/>
      <c r="AE1956"/>
      <c r="AI1956" s="960"/>
      <c r="AM1956"/>
    </row>
    <row r="1957" spans="3:39" x14ac:dyDescent="0.2">
      <c r="C1957"/>
      <c r="D1957"/>
      <c r="E1957"/>
      <c r="F1957"/>
      <c r="G1957"/>
      <c r="H1957"/>
      <c r="I1957" s="532"/>
      <c r="V1957"/>
      <c r="W1957"/>
      <c r="Z1957"/>
      <c r="AA1957"/>
      <c r="AC1957"/>
      <c r="AD1957"/>
      <c r="AE1957"/>
      <c r="AI1957" s="960"/>
      <c r="AM1957"/>
    </row>
    <row r="1958" spans="3:39" x14ac:dyDescent="0.2">
      <c r="C1958"/>
      <c r="D1958"/>
      <c r="E1958"/>
      <c r="F1958"/>
      <c r="G1958"/>
      <c r="H1958"/>
      <c r="I1958" s="532"/>
      <c r="V1958"/>
      <c r="W1958"/>
      <c r="Z1958"/>
      <c r="AA1958"/>
      <c r="AC1958"/>
      <c r="AD1958"/>
      <c r="AE1958"/>
      <c r="AI1958" s="960"/>
      <c r="AM1958"/>
    </row>
    <row r="1959" spans="3:39" x14ac:dyDescent="0.2">
      <c r="C1959"/>
      <c r="D1959"/>
      <c r="E1959"/>
      <c r="F1959"/>
      <c r="G1959"/>
      <c r="H1959"/>
      <c r="I1959" s="532"/>
      <c r="V1959"/>
      <c r="W1959"/>
      <c r="Z1959"/>
      <c r="AA1959"/>
      <c r="AC1959"/>
      <c r="AD1959"/>
      <c r="AE1959"/>
      <c r="AI1959" s="960"/>
      <c r="AM1959"/>
    </row>
    <row r="1960" spans="3:39" x14ac:dyDescent="0.2">
      <c r="C1960"/>
      <c r="D1960"/>
      <c r="E1960"/>
      <c r="F1960"/>
      <c r="G1960"/>
      <c r="H1960"/>
      <c r="I1960" s="532"/>
      <c r="V1960"/>
      <c r="W1960"/>
      <c r="Z1960"/>
      <c r="AA1960"/>
      <c r="AC1960"/>
      <c r="AD1960"/>
      <c r="AE1960"/>
      <c r="AI1960" s="960"/>
      <c r="AM1960"/>
    </row>
    <row r="1961" spans="3:39" x14ac:dyDescent="0.2">
      <c r="C1961"/>
      <c r="D1961"/>
      <c r="E1961"/>
      <c r="F1961"/>
      <c r="G1961"/>
      <c r="H1961"/>
      <c r="I1961" s="532"/>
      <c r="V1961"/>
      <c r="W1961"/>
      <c r="Z1961"/>
      <c r="AA1961"/>
      <c r="AC1961"/>
      <c r="AD1961"/>
      <c r="AE1961"/>
      <c r="AI1961" s="960"/>
      <c r="AM1961"/>
    </row>
    <row r="1962" spans="3:39" x14ac:dyDescent="0.2">
      <c r="C1962"/>
      <c r="D1962"/>
      <c r="E1962"/>
      <c r="F1962"/>
      <c r="G1962"/>
      <c r="H1962"/>
      <c r="I1962" s="532"/>
      <c r="V1962"/>
      <c r="W1962"/>
      <c r="Z1962"/>
      <c r="AA1962"/>
      <c r="AC1962"/>
      <c r="AD1962"/>
      <c r="AE1962"/>
      <c r="AI1962" s="960"/>
      <c r="AM1962"/>
    </row>
    <row r="1963" spans="3:39" x14ac:dyDescent="0.2">
      <c r="C1963"/>
      <c r="D1963"/>
      <c r="E1963"/>
      <c r="F1963"/>
      <c r="G1963"/>
      <c r="H1963"/>
      <c r="I1963" s="532"/>
      <c r="V1963"/>
      <c r="W1963"/>
      <c r="Z1963"/>
      <c r="AA1963"/>
      <c r="AC1963"/>
      <c r="AD1963"/>
      <c r="AE1963"/>
      <c r="AI1963" s="960"/>
      <c r="AM1963"/>
    </row>
    <row r="1964" spans="3:39" x14ac:dyDescent="0.2">
      <c r="C1964"/>
      <c r="D1964"/>
      <c r="E1964"/>
      <c r="F1964"/>
      <c r="G1964"/>
      <c r="H1964"/>
      <c r="I1964" s="532"/>
      <c r="V1964"/>
      <c r="W1964"/>
      <c r="Z1964"/>
      <c r="AA1964"/>
      <c r="AC1964"/>
      <c r="AD1964"/>
      <c r="AE1964"/>
      <c r="AI1964" s="960"/>
      <c r="AM1964"/>
    </row>
    <row r="1965" spans="3:39" x14ac:dyDescent="0.2">
      <c r="C1965"/>
      <c r="D1965"/>
      <c r="E1965"/>
      <c r="F1965"/>
      <c r="G1965"/>
      <c r="H1965"/>
      <c r="I1965" s="532"/>
      <c r="V1965"/>
      <c r="W1965"/>
      <c r="Z1965"/>
      <c r="AA1965"/>
      <c r="AC1965"/>
      <c r="AD1965"/>
      <c r="AE1965"/>
      <c r="AI1965" s="960"/>
      <c r="AM1965"/>
    </row>
    <row r="1966" spans="3:39" x14ac:dyDescent="0.2">
      <c r="C1966"/>
      <c r="D1966"/>
      <c r="E1966"/>
      <c r="F1966"/>
      <c r="G1966"/>
      <c r="H1966"/>
      <c r="I1966" s="532"/>
      <c r="V1966"/>
      <c r="W1966"/>
      <c r="Z1966"/>
      <c r="AA1966"/>
      <c r="AC1966"/>
      <c r="AD1966"/>
      <c r="AE1966"/>
      <c r="AI1966" s="960"/>
      <c r="AM1966"/>
    </row>
    <row r="1967" spans="3:39" x14ac:dyDescent="0.2">
      <c r="C1967"/>
      <c r="D1967"/>
      <c r="E1967"/>
      <c r="F1967"/>
      <c r="G1967"/>
      <c r="H1967"/>
      <c r="I1967" s="532"/>
      <c r="V1967"/>
      <c r="W1967"/>
      <c r="Z1967"/>
      <c r="AA1967"/>
      <c r="AC1967"/>
      <c r="AD1967"/>
      <c r="AE1967"/>
      <c r="AI1967" s="960"/>
      <c r="AM1967"/>
    </row>
    <row r="1968" spans="3:39" x14ac:dyDescent="0.2">
      <c r="C1968"/>
      <c r="D1968"/>
      <c r="E1968"/>
      <c r="F1968"/>
      <c r="G1968"/>
      <c r="H1968"/>
      <c r="I1968" s="532"/>
      <c r="V1968"/>
      <c r="W1968"/>
      <c r="Z1968"/>
      <c r="AA1968"/>
      <c r="AC1968"/>
      <c r="AD1968"/>
      <c r="AE1968"/>
      <c r="AI1968" s="960"/>
      <c r="AM1968"/>
    </row>
    <row r="1969" spans="3:39" x14ac:dyDescent="0.2">
      <c r="C1969"/>
      <c r="D1969"/>
      <c r="E1969"/>
      <c r="F1969"/>
      <c r="G1969"/>
      <c r="H1969"/>
      <c r="I1969" s="532"/>
      <c r="V1969"/>
      <c r="W1969"/>
      <c r="Z1969"/>
      <c r="AA1969"/>
      <c r="AC1969"/>
      <c r="AD1969"/>
      <c r="AE1969"/>
      <c r="AI1969" s="960"/>
      <c r="AM1969"/>
    </row>
    <row r="1970" spans="3:39" x14ac:dyDescent="0.2">
      <c r="C1970"/>
      <c r="D1970"/>
      <c r="E1970"/>
      <c r="F1970"/>
      <c r="G1970"/>
      <c r="H1970"/>
      <c r="I1970" s="532"/>
      <c r="V1970"/>
      <c r="W1970"/>
      <c r="Z1970"/>
      <c r="AA1970"/>
      <c r="AC1970"/>
      <c r="AD1970"/>
      <c r="AE1970"/>
      <c r="AI1970" s="960"/>
      <c r="AM1970"/>
    </row>
    <row r="1971" spans="3:39" x14ac:dyDescent="0.2">
      <c r="C1971"/>
      <c r="D1971"/>
      <c r="E1971"/>
      <c r="F1971"/>
      <c r="G1971"/>
      <c r="H1971"/>
      <c r="I1971" s="532"/>
      <c r="V1971"/>
      <c r="W1971"/>
      <c r="Z1971"/>
      <c r="AA1971"/>
      <c r="AC1971"/>
      <c r="AD1971"/>
      <c r="AE1971"/>
      <c r="AI1971" s="960"/>
      <c r="AM1971"/>
    </row>
    <row r="1972" spans="3:39" x14ac:dyDescent="0.2">
      <c r="C1972"/>
      <c r="D1972"/>
      <c r="E1972"/>
      <c r="F1972"/>
      <c r="G1972"/>
      <c r="H1972"/>
      <c r="I1972" s="532"/>
      <c r="V1972"/>
      <c r="W1972"/>
      <c r="Z1972"/>
      <c r="AA1972"/>
      <c r="AC1972"/>
      <c r="AD1972"/>
      <c r="AE1972"/>
      <c r="AI1972" s="960"/>
      <c r="AM1972"/>
    </row>
    <row r="1973" spans="3:39" x14ac:dyDescent="0.2">
      <c r="C1973"/>
      <c r="D1973"/>
      <c r="E1973"/>
      <c r="F1973"/>
      <c r="G1973"/>
      <c r="H1973"/>
      <c r="I1973" s="532"/>
      <c r="V1973"/>
      <c r="W1973"/>
      <c r="Z1973"/>
      <c r="AA1973"/>
      <c r="AC1973"/>
      <c r="AD1973"/>
      <c r="AE1973"/>
      <c r="AI1973" s="960"/>
      <c r="AM1973"/>
    </row>
    <row r="1974" spans="3:39" x14ac:dyDescent="0.2">
      <c r="C1974"/>
      <c r="D1974"/>
      <c r="E1974"/>
      <c r="F1974"/>
      <c r="G1974"/>
      <c r="H1974"/>
      <c r="I1974" s="532"/>
      <c r="V1974"/>
      <c r="W1974"/>
      <c r="Z1974"/>
      <c r="AA1974"/>
      <c r="AC1974"/>
      <c r="AD1974"/>
      <c r="AE1974"/>
      <c r="AI1974" s="960"/>
      <c r="AM1974"/>
    </row>
    <row r="1975" spans="3:39" x14ac:dyDescent="0.2">
      <c r="C1975"/>
      <c r="D1975"/>
      <c r="E1975"/>
      <c r="F1975"/>
      <c r="G1975"/>
      <c r="H1975"/>
      <c r="I1975" s="532"/>
      <c r="V1975"/>
      <c r="W1975"/>
      <c r="Z1975"/>
      <c r="AA1975"/>
      <c r="AC1975"/>
      <c r="AD1975"/>
      <c r="AE1975"/>
      <c r="AI1975" s="960"/>
      <c r="AM1975"/>
    </row>
    <row r="1976" spans="3:39" x14ac:dyDescent="0.2">
      <c r="C1976"/>
      <c r="D1976"/>
      <c r="E1976"/>
      <c r="F1976"/>
      <c r="G1976"/>
      <c r="H1976"/>
      <c r="I1976" s="532"/>
      <c r="V1976"/>
      <c r="W1976"/>
      <c r="Z1976"/>
      <c r="AA1976"/>
      <c r="AC1976"/>
      <c r="AD1976"/>
      <c r="AE1976"/>
      <c r="AI1976" s="960"/>
      <c r="AM1976"/>
    </row>
    <row r="1977" spans="3:39" x14ac:dyDescent="0.2">
      <c r="C1977"/>
      <c r="D1977"/>
      <c r="E1977"/>
      <c r="F1977"/>
      <c r="G1977"/>
      <c r="H1977"/>
      <c r="I1977" s="532"/>
      <c r="V1977"/>
      <c r="W1977"/>
      <c r="Z1977"/>
      <c r="AA1977"/>
      <c r="AC1977"/>
      <c r="AD1977"/>
      <c r="AE1977"/>
      <c r="AI1977" s="960"/>
      <c r="AM1977"/>
    </row>
    <row r="1978" spans="3:39" x14ac:dyDescent="0.2">
      <c r="C1978"/>
      <c r="D1978"/>
      <c r="E1978"/>
      <c r="F1978"/>
      <c r="G1978"/>
      <c r="H1978"/>
      <c r="I1978" s="532"/>
      <c r="V1978"/>
      <c r="W1978"/>
      <c r="Z1978"/>
      <c r="AA1978"/>
      <c r="AC1978"/>
      <c r="AD1978"/>
      <c r="AE1978"/>
      <c r="AI1978" s="960"/>
      <c r="AM1978"/>
    </row>
    <row r="1979" spans="3:39" x14ac:dyDescent="0.2">
      <c r="C1979"/>
      <c r="D1979"/>
      <c r="E1979"/>
      <c r="F1979"/>
      <c r="G1979"/>
      <c r="H1979"/>
      <c r="I1979" s="532"/>
      <c r="V1979"/>
      <c r="W1979"/>
      <c r="Z1979"/>
      <c r="AA1979"/>
      <c r="AC1979"/>
      <c r="AD1979"/>
      <c r="AE1979"/>
      <c r="AI1979" s="960"/>
      <c r="AM1979"/>
    </row>
    <row r="1980" spans="3:39" x14ac:dyDescent="0.2">
      <c r="C1980"/>
      <c r="D1980"/>
      <c r="E1980"/>
      <c r="F1980"/>
      <c r="G1980"/>
      <c r="H1980"/>
      <c r="I1980" s="532"/>
      <c r="V1980"/>
      <c r="W1980"/>
      <c r="Z1980"/>
      <c r="AA1980"/>
      <c r="AC1980"/>
      <c r="AD1980"/>
      <c r="AE1980"/>
      <c r="AI1980" s="960"/>
      <c r="AM1980"/>
    </row>
    <row r="1981" spans="3:39" x14ac:dyDescent="0.2">
      <c r="C1981"/>
      <c r="D1981"/>
      <c r="E1981"/>
      <c r="F1981"/>
      <c r="G1981"/>
      <c r="H1981"/>
      <c r="I1981" s="532"/>
      <c r="V1981"/>
      <c r="W1981"/>
      <c r="Z1981"/>
      <c r="AA1981"/>
      <c r="AC1981"/>
      <c r="AD1981"/>
      <c r="AE1981"/>
      <c r="AI1981" s="960"/>
      <c r="AM1981"/>
    </row>
    <row r="1982" spans="3:39" x14ac:dyDescent="0.2">
      <c r="C1982"/>
      <c r="D1982"/>
      <c r="E1982"/>
      <c r="F1982"/>
      <c r="G1982"/>
      <c r="H1982"/>
      <c r="I1982" s="532"/>
      <c r="V1982"/>
      <c r="W1982"/>
      <c r="Z1982"/>
      <c r="AA1982"/>
      <c r="AC1982"/>
      <c r="AD1982"/>
      <c r="AE1982"/>
      <c r="AI1982" s="960"/>
      <c r="AM1982"/>
    </row>
    <row r="1983" spans="3:39" x14ac:dyDescent="0.2">
      <c r="C1983"/>
      <c r="D1983"/>
      <c r="E1983"/>
      <c r="F1983"/>
      <c r="G1983"/>
      <c r="H1983"/>
      <c r="I1983" s="532"/>
      <c r="V1983"/>
      <c r="W1983"/>
      <c r="Z1983"/>
      <c r="AA1983"/>
      <c r="AC1983"/>
      <c r="AD1983"/>
      <c r="AE1983"/>
      <c r="AI1983" s="960"/>
      <c r="AM1983"/>
    </row>
    <row r="1984" spans="3:39" x14ac:dyDescent="0.2">
      <c r="C1984"/>
      <c r="D1984"/>
      <c r="E1984"/>
      <c r="F1984"/>
      <c r="G1984"/>
      <c r="H1984"/>
      <c r="I1984" s="532"/>
      <c r="V1984"/>
      <c r="W1984"/>
      <c r="Z1984"/>
      <c r="AA1984"/>
      <c r="AC1984"/>
      <c r="AD1984"/>
      <c r="AE1984"/>
      <c r="AI1984" s="960"/>
      <c r="AM1984"/>
    </row>
    <row r="1985" spans="3:39" x14ac:dyDescent="0.2">
      <c r="C1985"/>
      <c r="D1985"/>
      <c r="E1985"/>
      <c r="F1985"/>
      <c r="G1985"/>
      <c r="H1985"/>
      <c r="I1985" s="532"/>
      <c r="V1985"/>
      <c r="W1985"/>
      <c r="Z1985"/>
      <c r="AA1985"/>
      <c r="AC1985"/>
      <c r="AD1985"/>
      <c r="AE1985"/>
      <c r="AI1985" s="960"/>
      <c r="AM1985"/>
    </row>
    <row r="1986" spans="3:39" x14ac:dyDescent="0.2">
      <c r="C1986"/>
      <c r="D1986"/>
      <c r="E1986"/>
      <c r="F1986"/>
      <c r="G1986"/>
      <c r="H1986"/>
      <c r="I1986" s="532"/>
      <c r="V1986"/>
      <c r="W1986"/>
      <c r="Z1986"/>
      <c r="AA1986"/>
      <c r="AC1986"/>
      <c r="AD1986"/>
      <c r="AE1986"/>
      <c r="AI1986" s="960"/>
      <c r="AM1986"/>
    </row>
    <row r="1987" spans="3:39" x14ac:dyDescent="0.2">
      <c r="C1987"/>
      <c r="D1987"/>
      <c r="E1987"/>
      <c r="F1987"/>
      <c r="G1987"/>
      <c r="H1987"/>
      <c r="I1987" s="532"/>
      <c r="V1987"/>
      <c r="W1987"/>
      <c r="Z1987"/>
      <c r="AA1987"/>
      <c r="AC1987"/>
      <c r="AD1987"/>
      <c r="AE1987"/>
      <c r="AI1987" s="960"/>
      <c r="AM1987"/>
    </row>
    <row r="1988" spans="3:39" x14ac:dyDescent="0.2">
      <c r="C1988"/>
      <c r="D1988"/>
      <c r="E1988"/>
      <c r="F1988"/>
      <c r="G1988"/>
      <c r="H1988"/>
      <c r="I1988" s="532"/>
      <c r="V1988"/>
      <c r="W1988"/>
      <c r="Z1988"/>
      <c r="AA1988"/>
      <c r="AC1988"/>
      <c r="AD1988"/>
      <c r="AE1988"/>
      <c r="AI1988" s="960"/>
      <c r="AM1988"/>
    </row>
    <row r="1989" spans="3:39" x14ac:dyDescent="0.2">
      <c r="C1989"/>
      <c r="D1989"/>
      <c r="E1989"/>
      <c r="F1989"/>
      <c r="G1989"/>
      <c r="H1989"/>
      <c r="I1989" s="532"/>
      <c r="V1989"/>
      <c r="W1989"/>
      <c r="Z1989"/>
      <c r="AA1989"/>
      <c r="AC1989"/>
      <c r="AD1989"/>
      <c r="AE1989"/>
      <c r="AI1989" s="960"/>
      <c r="AM1989"/>
    </row>
    <row r="1990" spans="3:39" x14ac:dyDescent="0.2">
      <c r="C1990"/>
      <c r="D1990"/>
      <c r="E1990"/>
      <c r="F1990"/>
      <c r="G1990"/>
      <c r="H1990"/>
      <c r="I1990" s="532"/>
      <c r="V1990"/>
      <c r="W1990"/>
      <c r="Z1990"/>
      <c r="AA1990"/>
      <c r="AC1990"/>
      <c r="AD1990"/>
      <c r="AE1990"/>
      <c r="AI1990" s="960"/>
      <c r="AM1990"/>
    </row>
    <row r="1991" spans="3:39" x14ac:dyDescent="0.2">
      <c r="C1991"/>
      <c r="D1991"/>
      <c r="E1991"/>
      <c r="F1991"/>
      <c r="G1991"/>
      <c r="H1991"/>
      <c r="I1991" s="532"/>
      <c r="V1991"/>
      <c r="W1991"/>
      <c r="Z1991"/>
      <c r="AA1991"/>
      <c r="AC1991"/>
      <c r="AD1991"/>
      <c r="AE1991"/>
      <c r="AI1991" s="960"/>
      <c r="AM1991"/>
    </row>
    <row r="1992" spans="3:39" x14ac:dyDescent="0.2">
      <c r="C1992"/>
      <c r="D1992"/>
      <c r="E1992"/>
      <c r="F1992"/>
      <c r="G1992"/>
      <c r="H1992"/>
      <c r="I1992" s="532"/>
      <c r="V1992"/>
      <c r="W1992"/>
      <c r="Z1992"/>
      <c r="AA1992"/>
      <c r="AC1992"/>
      <c r="AD1992"/>
      <c r="AE1992"/>
      <c r="AI1992" s="960"/>
      <c r="AM1992"/>
    </row>
    <row r="1993" spans="3:39" x14ac:dyDescent="0.2">
      <c r="C1993"/>
      <c r="D1993"/>
      <c r="E1993"/>
      <c r="F1993"/>
      <c r="G1993"/>
      <c r="H1993"/>
      <c r="I1993" s="532"/>
      <c r="V1993"/>
      <c r="W1993"/>
      <c r="Z1993"/>
      <c r="AA1993"/>
      <c r="AC1993"/>
      <c r="AD1993"/>
      <c r="AE1993"/>
      <c r="AI1993" s="960"/>
      <c r="AM1993"/>
    </row>
    <row r="1994" spans="3:39" x14ac:dyDescent="0.2">
      <c r="C1994"/>
      <c r="D1994"/>
      <c r="E1994"/>
      <c r="F1994"/>
      <c r="G1994"/>
      <c r="H1994"/>
      <c r="I1994" s="532"/>
      <c r="V1994"/>
      <c r="W1994"/>
      <c r="Z1994"/>
      <c r="AA1994"/>
      <c r="AC1994"/>
      <c r="AD1994"/>
      <c r="AE1994"/>
      <c r="AI1994" s="960"/>
      <c r="AM1994"/>
    </row>
    <row r="1995" spans="3:39" x14ac:dyDescent="0.2">
      <c r="C1995"/>
      <c r="D1995"/>
      <c r="E1995"/>
      <c r="F1995"/>
      <c r="G1995"/>
      <c r="H1995"/>
      <c r="I1995" s="532"/>
      <c r="V1995"/>
      <c r="W1995"/>
      <c r="Z1995"/>
      <c r="AA1995"/>
      <c r="AC1995"/>
      <c r="AD1995"/>
      <c r="AE1995"/>
      <c r="AI1995" s="960"/>
      <c r="AM1995"/>
    </row>
    <row r="1996" spans="3:39" x14ac:dyDescent="0.2">
      <c r="C1996"/>
      <c r="D1996"/>
      <c r="E1996"/>
      <c r="F1996"/>
      <c r="G1996"/>
      <c r="H1996"/>
      <c r="I1996" s="532"/>
      <c r="V1996"/>
      <c r="W1996"/>
      <c r="Z1996"/>
      <c r="AA1996"/>
      <c r="AC1996"/>
      <c r="AD1996"/>
      <c r="AE1996"/>
      <c r="AI1996" s="960"/>
      <c r="AM1996"/>
    </row>
    <row r="1997" spans="3:39" x14ac:dyDescent="0.2">
      <c r="C1997"/>
      <c r="D1997"/>
      <c r="E1997"/>
      <c r="F1997"/>
      <c r="G1997"/>
      <c r="H1997"/>
      <c r="I1997" s="532"/>
      <c r="V1997"/>
      <c r="W1997"/>
      <c r="Z1997"/>
      <c r="AA1997"/>
      <c r="AC1997"/>
      <c r="AD1997"/>
      <c r="AE1997"/>
      <c r="AI1997" s="960"/>
      <c r="AM1997"/>
    </row>
    <row r="1998" spans="3:39" x14ac:dyDescent="0.2">
      <c r="C1998"/>
      <c r="D1998"/>
      <c r="E1998"/>
      <c r="F1998"/>
      <c r="G1998"/>
      <c r="H1998"/>
      <c r="I1998" s="532"/>
      <c r="V1998"/>
      <c r="W1998"/>
      <c r="Z1998"/>
      <c r="AA1998"/>
      <c r="AC1998"/>
      <c r="AD1998"/>
      <c r="AE1998"/>
      <c r="AI1998" s="960"/>
      <c r="AM1998"/>
    </row>
    <row r="1999" spans="3:39" x14ac:dyDescent="0.2">
      <c r="C1999"/>
      <c r="D1999"/>
      <c r="E1999"/>
      <c r="F1999"/>
      <c r="G1999"/>
      <c r="H1999"/>
      <c r="I1999" s="532"/>
      <c r="V1999"/>
      <c r="W1999"/>
      <c r="Z1999"/>
      <c r="AA1999"/>
      <c r="AC1999"/>
      <c r="AD1999"/>
      <c r="AE1999"/>
      <c r="AI1999" s="960"/>
      <c r="AM1999"/>
    </row>
    <row r="2000" spans="3:39" x14ac:dyDescent="0.2">
      <c r="C2000"/>
      <c r="D2000"/>
      <c r="E2000"/>
      <c r="F2000"/>
      <c r="G2000"/>
      <c r="H2000"/>
      <c r="I2000" s="532"/>
      <c r="V2000"/>
      <c r="W2000"/>
      <c r="Z2000"/>
      <c r="AA2000"/>
      <c r="AC2000"/>
      <c r="AD2000"/>
      <c r="AE2000"/>
      <c r="AI2000" s="960"/>
      <c r="AM2000"/>
    </row>
    <row r="2001" spans="3:39" x14ac:dyDescent="0.2">
      <c r="C2001"/>
      <c r="D2001"/>
      <c r="E2001"/>
      <c r="F2001"/>
      <c r="G2001"/>
      <c r="H2001"/>
      <c r="I2001" s="532"/>
      <c r="V2001"/>
      <c r="W2001"/>
      <c r="Z2001"/>
      <c r="AA2001"/>
      <c r="AC2001"/>
      <c r="AD2001"/>
      <c r="AE2001"/>
      <c r="AI2001" s="960"/>
      <c r="AM2001"/>
    </row>
    <row r="2002" spans="3:39" x14ac:dyDescent="0.2">
      <c r="C2002"/>
      <c r="D2002"/>
      <c r="E2002"/>
      <c r="F2002"/>
      <c r="G2002"/>
      <c r="H2002"/>
      <c r="I2002" s="532"/>
      <c r="V2002"/>
      <c r="W2002"/>
      <c r="Z2002"/>
      <c r="AA2002"/>
      <c r="AC2002"/>
      <c r="AD2002"/>
      <c r="AE2002"/>
      <c r="AI2002" s="960"/>
      <c r="AM2002"/>
    </row>
    <row r="2003" spans="3:39" x14ac:dyDescent="0.2">
      <c r="C2003"/>
      <c r="D2003"/>
      <c r="E2003"/>
      <c r="F2003"/>
      <c r="G2003"/>
      <c r="H2003"/>
      <c r="I2003" s="532"/>
      <c r="V2003"/>
      <c r="W2003"/>
      <c r="Z2003"/>
      <c r="AA2003"/>
      <c r="AC2003"/>
      <c r="AD2003"/>
      <c r="AE2003"/>
      <c r="AI2003" s="960"/>
      <c r="AM2003"/>
    </row>
    <row r="2004" spans="3:39" x14ac:dyDescent="0.2">
      <c r="C2004"/>
      <c r="D2004"/>
      <c r="E2004"/>
      <c r="F2004"/>
      <c r="G2004"/>
      <c r="H2004"/>
      <c r="I2004" s="532"/>
      <c r="V2004"/>
      <c r="W2004"/>
      <c r="Z2004"/>
      <c r="AA2004"/>
      <c r="AC2004"/>
      <c r="AD2004"/>
      <c r="AE2004"/>
      <c r="AI2004" s="960"/>
      <c r="AM2004"/>
    </row>
    <row r="2005" spans="3:39" x14ac:dyDescent="0.2">
      <c r="C2005"/>
      <c r="D2005"/>
      <c r="E2005"/>
      <c r="F2005"/>
      <c r="G2005"/>
      <c r="H2005"/>
      <c r="I2005" s="532"/>
      <c r="V2005"/>
      <c r="W2005"/>
      <c r="Z2005"/>
      <c r="AA2005"/>
      <c r="AC2005"/>
      <c r="AD2005"/>
      <c r="AE2005"/>
      <c r="AI2005" s="960"/>
      <c r="AM2005"/>
    </row>
    <row r="2006" spans="3:39" x14ac:dyDescent="0.2">
      <c r="C2006"/>
      <c r="D2006"/>
      <c r="E2006"/>
      <c r="F2006"/>
      <c r="G2006"/>
      <c r="H2006"/>
      <c r="I2006" s="532"/>
      <c r="V2006"/>
      <c r="W2006"/>
      <c r="Z2006"/>
      <c r="AA2006"/>
      <c r="AC2006"/>
      <c r="AD2006"/>
      <c r="AE2006"/>
      <c r="AI2006" s="960"/>
      <c r="AM2006"/>
    </row>
    <row r="2007" spans="3:39" x14ac:dyDescent="0.2">
      <c r="C2007"/>
      <c r="D2007"/>
      <c r="E2007"/>
      <c r="F2007"/>
      <c r="G2007"/>
      <c r="H2007"/>
      <c r="I2007" s="532"/>
      <c r="V2007"/>
      <c r="W2007"/>
      <c r="Z2007"/>
      <c r="AA2007"/>
      <c r="AC2007"/>
      <c r="AD2007"/>
      <c r="AE2007"/>
      <c r="AI2007" s="960"/>
      <c r="AM2007"/>
    </row>
    <row r="2008" spans="3:39" x14ac:dyDescent="0.2">
      <c r="C2008"/>
      <c r="D2008"/>
      <c r="E2008"/>
      <c r="F2008"/>
      <c r="G2008"/>
      <c r="H2008"/>
      <c r="I2008" s="532"/>
      <c r="V2008"/>
      <c r="W2008"/>
      <c r="Z2008"/>
      <c r="AA2008"/>
      <c r="AC2008"/>
      <c r="AD2008"/>
      <c r="AE2008"/>
      <c r="AI2008" s="960"/>
      <c r="AM2008"/>
    </row>
    <row r="2009" spans="3:39" x14ac:dyDescent="0.2">
      <c r="C2009"/>
      <c r="D2009"/>
      <c r="E2009"/>
      <c r="F2009"/>
      <c r="G2009"/>
      <c r="H2009"/>
      <c r="I2009" s="532"/>
      <c r="V2009"/>
      <c r="W2009"/>
      <c r="Z2009"/>
      <c r="AA2009"/>
      <c r="AC2009"/>
      <c r="AD2009"/>
      <c r="AE2009"/>
      <c r="AI2009" s="960"/>
      <c r="AM2009"/>
    </row>
    <row r="2010" spans="3:39" x14ac:dyDescent="0.2">
      <c r="C2010"/>
      <c r="D2010"/>
      <c r="E2010"/>
      <c r="F2010"/>
      <c r="G2010"/>
      <c r="H2010"/>
      <c r="I2010" s="532"/>
      <c r="V2010"/>
      <c r="W2010"/>
      <c r="Z2010"/>
      <c r="AA2010"/>
      <c r="AC2010"/>
      <c r="AD2010"/>
      <c r="AE2010"/>
      <c r="AI2010" s="960"/>
      <c r="AM2010"/>
    </row>
    <row r="2011" spans="3:39" x14ac:dyDescent="0.2">
      <c r="C2011"/>
      <c r="D2011"/>
      <c r="E2011"/>
      <c r="F2011"/>
      <c r="G2011"/>
      <c r="H2011"/>
      <c r="I2011" s="532"/>
      <c r="V2011"/>
      <c r="W2011"/>
      <c r="Z2011"/>
      <c r="AA2011"/>
      <c r="AC2011"/>
      <c r="AD2011"/>
      <c r="AE2011"/>
      <c r="AI2011" s="960"/>
      <c r="AM2011"/>
    </row>
    <row r="2012" spans="3:39" x14ac:dyDescent="0.2">
      <c r="C2012"/>
      <c r="D2012"/>
      <c r="E2012"/>
      <c r="F2012"/>
      <c r="G2012"/>
      <c r="H2012"/>
      <c r="I2012" s="532"/>
      <c r="V2012"/>
      <c r="W2012"/>
      <c r="Z2012"/>
      <c r="AA2012"/>
      <c r="AC2012"/>
      <c r="AD2012"/>
      <c r="AE2012"/>
      <c r="AI2012" s="960"/>
      <c r="AM2012"/>
    </row>
    <row r="2013" spans="3:39" x14ac:dyDescent="0.2">
      <c r="C2013"/>
      <c r="D2013"/>
      <c r="E2013"/>
      <c r="F2013"/>
      <c r="G2013"/>
      <c r="H2013"/>
      <c r="I2013" s="532"/>
      <c r="V2013"/>
      <c r="W2013"/>
      <c r="Z2013"/>
      <c r="AA2013"/>
      <c r="AC2013"/>
      <c r="AD2013"/>
      <c r="AE2013"/>
      <c r="AI2013" s="960"/>
      <c r="AM2013"/>
    </row>
    <row r="2014" spans="3:39" x14ac:dyDescent="0.2">
      <c r="C2014"/>
      <c r="D2014"/>
      <c r="E2014"/>
      <c r="F2014"/>
      <c r="G2014"/>
      <c r="H2014"/>
      <c r="I2014" s="532"/>
      <c r="V2014"/>
      <c r="W2014"/>
      <c r="Z2014"/>
      <c r="AA2014"/>
      <c r="AC2014"/>
      <c r="AD2014"/>
      <c r="AE2014"/>
      <c r="AI2014" s="960"/>
      <c r="AM2014"/>
    </row>
    <row r="2015" spans="3:39" x14ac:dyDescent="0.2">
      <c r="C2015"/>
      <c r="D2015"/>
      <c r="E2015"/>
      <c r="F2015"/>
      <c r="G2015"/>
      <c r="H2015"/>
      <c r="I2015" s="532"/>
      <c r="V2015"/>
      <c r="W2015"/>
      <c r="Z2015"/>
      <c r="AA2015"/>
      <c r="AC2015"/>
      <c r="AD2015"/>
      <c r="AE2015"/>
      <c r="AI2015" s="960"/>
      <c r="AM2015"/>
    </row>
    <row r="2016" spans="3:39" x14ac:dyDescent="0.2">
      <c r="C2016"/>
      <c r="D2016"/>
      <c r="E2016"/>
      <c r="F2016"/>
      <c r="G2016"/>
      <c r="H2016"/>
      <c r="I2016" s="532"/>
      <c r="V2016"/>
      <c r="W2016"/>
      <c r="Z2016"/>
      <c r="AA2016"/>
      <c r="AC2016"/>
      <c r="AD2016"/>
      <c r="AE2016"/>
      <c r="AI2016" s="960"/>
      <c r="AM2016"/>
    </row>
    <row r="2017" spans="3:39" x14ac:dyDescent="0.2">
      <c r="C2017"/>
      <c r="D2017"/>
      <c r="E2017"/>
      <c r="F2017"/>
      <c r="G2017"/>
      <c r="H2017"/>
      <c r="I2017" s="532"/>
      <c r="V2017"/>
      <c r="W2017"/>
      <c r="Z2017"/>
      <c r="AA2017"/>
      <c r="AC2017"/>
      <c r="AD2017"/>
      <c r="AE2017"/>
      <c r="AI2017" s="960"/>
      <c r="AM2017"/>
    </row>
    <row r="2018" spans="3:39" x14ac:dyDescent="0.2">
      <c r="C2018"/>
      <c r="D2018"/>
      <c r="E2018"/>
      <c r="F2018"/>
      <c r="G2018"/>
      <c r="H2018"/>
      <c r="I2018" s="532"/>
      <c r="V2018"/>
      <c r="W2018"/>
      <c r="Z2018"/>
      <c r="AA2018"/>
      <c r="AC2018"/>
      <c r="AD2018"/>
      <c r="AE2018"/>
      <c r="AI2018" s="960"/>
      <c r="AM2018"/>
    </row>
    <row r="2019" spans="3:39" x14ac:dyDescent="0.2">
      <c r="C2019"/>
      <c r="D2019"/>
      <c r="E2019"/>
      <c r="F2019"/>
      <c r="G2019"/>
      <c r="H2019"/>
      <c r="I2019" s="532"/>
      <c r="V2019"/>
      <c r="W2019"/>
      <c r="Z2019"/>
      <c r="AA2019"/>
      <c r="AC2019"/>
      <c r="AD2019"/>
      <c r="AE2019"/>
      <c r="AI2019" s="960"/>
      <c r="AM2019"/>
    </row>
    <row r="2020" spans="3:39" x14ac:dyDescent="0.2">
      <c r="C2020"/>
      <c r="D2020"/>
      <c r="E2020"/>
      <c r="F2020"/>
      <c r="G2020"/>
      <c r="H2020"/>
      <c r="I2020" s="532"/>
      <c r="V2020"/>
      <c r="W2020"/>
      <c r="Z2020"/>
      <c r="AA2020"/>
      <c r="AC2020"/>
      <c r="AD2020"/>
      <c r="AE2020"/>
      <c r="AI2020" s="960"/>
      <c r="AM2020"/>
    </row>
    <row r="2021" spans="3:39" x14ac:dyDescent="0.2">
      <c r="C2021"/>
      <c r="D2021"/>
      <c r="E2021"/>
      <c r="F2021"/>
      <c r="G2021"/>
      <c r="H2021"/>
      <c r="I2021" s="532"/>
      <c r="V2021"/>
      <c r="W2021"/>
      <c r="Z2021"/>
      <c r="AA2021"/>
      <c r="AC2021"/>
      <c r="AD2021"/>
      <c r="AE2021"/>
      <c r="AI2021" s="960"/>
      <c r="AM2021"/>
    </row>
    <row r="2022" spans="3:39" x14ac:dyDescent="0.2">
      <c r="C2022"/>
      <c r="D2022"/>
      <c r="E2022"/>
      <c r="F2022"/>
      <c r="G2022"/>
      <c r="H2022"/>
      <c r="I2022" s="532"/>
      <c r="V2022"/>
      <c r="W2022"/>
      <c r="Z2022"/>
      <c r="AA2022"/>
      <c r="AC2022"/>
      <c r="AD2022"/>
      <c r="AE2022"/>
      <c r="AI2022" s="960"/>
      <c r="AM2022"/>
    </row>
    <row r="2023" spans="3:39" x14ac:dyDescent="0.2">
      <c r="C2023"/>
      <c r="D2023"/>
      <c r="E2023"/>
      <c r="F2023"/>
      <c r="G2023"/>
      <c r="H2023"/>
      <c r="I2023" s="532"/>
      <c r="V2023"/>
      <c r="W2023"/>
      <c r="Z2023"/>
      <c r="AA2023"/>
      <c r="AC2023"/>
      <c r="AD2023"/>
      <c r="AE2023"/>
      <c r="AI2023" s="960"/>
      <c r="AM2023"/>
    </row>
    <row r="2024" spans="3:39" x14ac:dyDescent="0.2">
      <c r="C2024"/>
      <c r="D2024"/>
      <c r="E2024"/>
      <c r="F2024"/>
      <c r="G2024"/>
      <c r="H2024"/>
      <c r="I2024" s="532"/>
      <c r="V2024"/>
      <c r="W2024"/>
      <c r="Z2024"/>
      <c r="AA2024"/>
      <c r="AC2024"/>
      <c r="AD2024"/>
      <c r="AE2024"/>
      <c r="AI2024" s="960"/>
      <c r="AM2024"/>
    </row>
    <row r="2025" spans="3:39" x14ac:dyDescent="0.2">
      <c r="C2025"/>
      <c r="D2025"/>
      <c r="E2025"/>
      <c r="F2025"/>
      <c r="G2025"/>
      <c r="H2025"/>
      <c r="I2025" s="532"/>
      <c r="V2025"/>
      <c r="W2025"/>
      <c r="Z2025"/>
      <c r="AA2025"/>
      <c r="AC2025"/>
      <c r="AD2025"/>
      <c r="AE2025"/>
      <c r="AI2025" s="960"/>
      <c r="AM2025"/>
    </row>
    <row r="2026" spans="3:39" x14ac:dyDescent="0.2">
      <c r="C2026"/>
      <c r="D2026"/>
      <c r="E2026"/>
      <c r="F2026"/>
      <c r="G2026"/>
      <c r="H2026"/>
      <c r="I2026" s="532"/>
      <c r="V2026"/>
      <c r="W2026"/>
      <c r="Z2026"/>
      <c r="AA2026"/>
      <c r="AC2026"/>
      <c r="AD2026"/>
      <c r="AE2026"/>
      <c r="AI2026" s="960"/>
      <c r="AM2026"/>
    </row>
    <row r="2027" spans="3:39" x14ac:dyDescent="0.2">
      <c r="C2027"/>
      <c r="D2027"/>
      <c r="E2027"/>
      <c r="F2027"/>
      <c r="G2027"/>
      <c r="H2027"/>
      <c r="I2027" s="532"/>
      <c r="V2027"/>
      <c r="W2027"/>
      <c r="Z2027"/>
      <c r="AA2027"/>
      <c r="AC2027"/>
      <c r="AD2027"/>
      <c r="AE2027"/>
      <c r="AI2027" s="960"/>
      <c r="AM2027"/>
    </row>
    <row r="2028" spans="3:39" x14ac:dyDescent="0.2">
      <c r="C2028"/>
      <c r="D2028"/>
      <c r="E2028"/>
      <c r="F2028"/>
      <c r="G2028"/>
      <c r="H2028"/>
      <c r="I2028" s="532"/>
      <c r="V2028"/>
      <c r="W2028"/>
      <c r="Z2028"/>
      <c r="AA2028"/>
      <c r="AC2028"/>
      <c r="AD2028"/>
      <c r="AE2028"/>
      <c r="AI2028" s="960"/>
      <c r="AM2028"/>
    </row>
    <row r="2029" spans="3:39" x14ac:dyDescent="0.2">
      <c r="C2029"/>
      <c r="D2029"/>
      <c r="E2029"/>
      <c r="F2029"/>
      <c r="G2029"/>
      <c r="H2029"/>
      <c r="I2029" s="532"/>
      <c r="V2029"/>
      <c r="W2029"/>
      <c r="Z2029"/>
      <c r="AA2029"/>
      <c r="AC2029"/>
      <c r="AD2029"/>
      <c r="AE2029"/>
      <c r="AI2029" s="960"/>
      <c r="AM2029"/>
    </row>
    <row r="2030" spans="3:39" x14ac:dyDescent="0.2">
      <c r="C2030"/>
      <c r="D2030"/>
      <c r="E2030"/>
      <c r="F2030"/>
      <c r="G2030"/>
      <c r="H2030"/>
      <c r="I2030" s="532"/>
      <c r="V2030"/>
      <c r="W2030"/>
      <c r="Z2030"/>
      <c r="AA2030"/>
      <c r="AC2030"/>
      <c r="AD2030"/>
      <c r="AE2030"/>
      <c r="AI2030" s="960"/>
      <c r="AM2030"/>
    </row>
    <row r="2031" spans="3:39" x14ac:dyDescent="0.2">
      <c r="C2031"/>
      <c r="D2031"/>
      <c r="E2031"/>
      <c r="F2031"/>
      <c r="G2031"/>
      <c r="H2031"/>
      <c r="I2031" s="532"/>
      <c r="V2031"/>
      <c r="W2031"/>
      <c r="Z2031"/>
      <c r="AA2031"/>
      <c r="AC2031"/>
      <c r="AD2031"/>
      <c r="AE2031"/>
      <c r="AI2031" s="960"/>
      <c r="AM2031"/>
    </row>
    <row r="2032" spans="3:39" x14ac:dyDescent="0.2">
      <c r="C2032"/>
      <c r="D2032"/>
      <c r="E2032"/>
      <c r="F2032"/>
      <c r="G2032"/>
      <c r="H2032"/>
      <c r="I2032" s="532"/>
      <c r="V2032"/>
      <c r="W2032"/>
      <c r="Z2032"/>
      <c r="AA2032"/>
      <c r="AC2032"/>
      <c r="AD2032"/>
      <c r="AE2032"/>
      <c r="AI2032" s="960"/>
      <c r="AM2032"/>
    </row>
    <row r="2033" spans="3:39" x14ac:dyDescent="0.2">
      <c r="C2033"/>
      <c r="D2033"/>
      <c r="E2033"/>
      <c r="F2033"/>
      <c r="G2033"/>
      <c r="H2033"/>
      <c r="I2033" s="532"/>
      <c r="V2033"/>
      <c r="W2033"/>
      <c r="Z2033"/>
      <c r="AA2033"/>
      <c r="AC2033"/>
      <c r="AD2033"/>
      <c r="AE2033"/>
      <c r="AI2033" s="960"/>
      <c r="AM2033"/>
    </row>
    <row r="2034" spans="3:39" x14ac:dyDescent="0.2">
      <c r="C2034"/>
      <c r="D2034"/>
      <c r="E2034"/>
      <c r="F2034"/>
      <c r="G2034"/>
      <c r="H2034"/>
      <c r="I2034" s="532"/>
      <c r="V2034"/>
      <c r="W2034"/>
      <c r="Z2034"/>
      <c r="AA2034"/>
      <c r="AC2034"/>
      <c r="AD2034"/>
      <c r="AE2034"/>
      <c r="AI2034" s="960"/>
      <c r="AM2034"/>
    </row>
    <row r="2035" spans="3:39" x14ac:dyDescent="0.2">
      <c r="C2035"/>
      <c r="D2035"/>
      <c r="E2035"/>
      <c r="F2035"/>
      <c r="G2035"/>
      <c r="H2035"/>
      <c r="I2035" s="532"/>
      <c r="V2035"/>
      <c r="W2035"/>
      <c r="Z2035"/>
      <c r="AA2035"/>
      <c r="AC2035"/>
      <c r="AD2035"/>
      <c r="AE2035"/>
      <c r="AI2035" s="960"/>
      <c r="AM2035"/>
    </row>
    <row r="2036" spans="3:39" x14ac:dyDescent="0.2">
      <c r="C2036"/>
      <c r="D2036"/>
      <c r="E2036"/>
      <c r="F2036"/>
      <c r="G2036"/>
      <c r="H2036"/>
      <c r="I2036" s="532"/>
      <c r="V2036"/>
      <c r="W2036"/>
      <c r="Z2036"/>
      <c r="AA2036"/>
      <c r="AC2036"/>
      <c r="AD2036"/>
      <c r="AE2036"/>
      <c r="AI2036" s="960"/>
      <c r="AM2036"/>
    </row>
    <row r="2037" spans="3:39" x14ac:dyDescent="0.2">
      <c r="C2037"/>
      <c r="D2037"/>
      <c r="E2037"/>
      <c r="F2037"/>
      <c r="G2037"/>
      <c r="H2037"/>
      <c r="I2037" s="532"/>
      <c r="V2037"/>
      <c r="W2037"/>
      <c r="Z2037"/>
      <c r="AA2037"/>
      <c r="AC2037"/>
      <c r="AD2037"/>
      <c r="AE2037"/>
      <c r="AI2037" s="960"/>
      <c r="AM2037"/>
    </row>
    <row r="2038" spans="3:39" x14ac:dyDescent="0.2">
      <c r="C2038"/>
      <c r="D2038"/>
      <c r="E2038"/>
      <c r="F2038"/>
      <c r="G2038"/>
      <c r="H2038"/>
      <c r="I2038" s="532"/>
      <c r="V2038"/>
      <c r="W2038"/>
      <c r="Z2038"/>
      <c r="AA2038"/>
      <c r="AC2038"/>
      <c r="AD2038"/>
      <c r="AE2038"/>
      <c r="AI2038" s="960"/>
      <c r="AM2038"/>
    </row>
    <row r="2039" spans="3:39" x14ac:dyDescent="0.2">
      <c r="C2039"/>
      <c r="D2039"/>
      <c r="E2039"/>
      <c r="F2039"/>
      <c r="G2039"/>
      <c r="H2039"/>
      <c r="I2039" s="532"/>
      <c r="V2039"/>
      <c r="W2039"/>
      <c r="Z2039"/>
      <c r="AA2039"/>
      <c r="AC2039"/>
      <c r="AD2039"/>
      <c r="AE2039"/>
      <c r="AI2039" s="960"/>
      <c r="AM2039"/>
    </row>
    <row r="2040" spans="3:39" x14ac:dyDescent="0.2">
      <c r="C2040"/>
      <c r="D2040"/>
      <c r="E2040"/>
      <c r="F2040"/>
      <c r="G2040"/>
      <c r="H2040"/>
      <c r="I2040" s="532"/>
      <c r="V2040"/>
      <c r="W2040"/>
      <c r="Z2040"/>
      <c r="AA2040"/>
      <c r="AC2040"/>
      <c r="AD2040"/>
      <c r="AE2040"/>
      <c r="AI2040" s="960"/>
      <c r="AM2040"/>
    </row>
    <row r="2041" spans="3:39" x14ac:dyDescent="0.2">
      <c r="C2041"/>
      <c r="D2041"/>
      <c r="E2041"/>
      <c r="F2041"/>
      <c r="G2041"/>
      <c r="H2041"/>
      <c r="I2041" s="532"/>
      <c r="V2041"/>
      <c r="W2041"/>
      <c r="Z2041"/>
      <c r="AA2041"/>
      <c r="AC2041"/>
      <c r="AD2041"/>
      <c r="AE2041"/>
      <c r="AI2041" s="960"/>
      <c r="AM2041"/>
    </row>
    <row r="2042" spans="3:39" x14ac:dyDescent="0.2">
      <c r="C2042"/>
      <c r="D2042"/>
      <c r="E2042"/>
      <c r="F2042"/>
      <c r="G2042"/>
      <c r="H2042"/>
      <c r="I2042" s="532"/>
      <c r="V2042"/>
      <c r="W2042"/>
      <c r="Z2042"/>
      <c r="AA2042"/>
      <c r="AC2042"/>
      <c r="AD2042"/>
      <c r="AE2042"/>
      <c r="AI2042" s="960"/>
      <c r="AM2042"/>
    </row>
    <row r="2043" spans="3:39" x14ac:dyDescent="0.2">
      <c r="C2043"/>
      <c r="D2043"/>
      <c r="E2043"/>
      <c r="F2043"/>
      <c r="G2043"/>
      <c r="H2043"/>
      <c r="I2043" s="532"/>
      <c r="V2043"/>
      <c r="W2043"/>
      <c r="Z2043"/>
      <c r="AA2043"/>
      <c r="AC2043"/>
      <c r="AD2043"/>
      <c r="AE2043"/>
      <c r="AI2043" s="960"/>
      <c r="AM2043"/>
    </row>
    <row r="2044" spans="3:39" x14ac:dyDescent="0.2">
      <c r="C2044"/>
      <c r="D2044"/>
      <c r="E2044"/>
      <c r="F2044"/>
      <c r="G2044"/>
      <c r="H2044"/>
      <c r="I2044" s="532"/>
      <c r="V2044"/>
      <c r="W2044"/>
      <c r="Z2044"/>
      <c r="AA2044"/>
      <c r="AC2044"/>
      <c r="AD2044"/>
      <c r="AE2044"/>
      <c r="AI2044" s="960"/>
      <c r="AM2044"/>
    </row>
    <row r="2045" spans="3:39" x14ac:dyDescent="0.2">
      <c r="C2045"/>
      <c r="D2045"/>
      <c r="E2045"/>
      <c r="F2045"/>
      <c r="G2045"/>
      <c r="H2045"/>
      <c r="I2045" s="532"/>
      <c r="V2045"/>
      <c r="W2045"/>
      <c r="Z2045"/>
      <c r="AA2045"/>
      <c r="AC2045"/>
      <c r="AD2045"/>
      <c r="AE2045"/>
      <c r="AI2045" s="960"/>
      <c r="AM2045"/>
    </row>
    <row r="2046" spans="3:39" x14ac:dyDescent="0.2">
      <c r="C2046"/>
      <c r="D2046"/>
      <c r="E2046"/>
      <c r="F2046"/>
      <c r="G2046"/>
      <c r="H2046"/>
      <c r="I2046" s="532"/>
      <c r="V2046"/>
      <c r="W2046"/>
      <c r="Z2046"/>
      <c r="AA2046"/>
      <c r="AC2046"/>
      <c r="AD2046"/>
      <c r="AE2046"/>
      <c r="AI2046" s="960"/>
      <c r="AM2046"/>
    </row>
    <row r="2047" spans="3:39" x14ac:dyDescent="0.2">
      <c r="C2047"/>
      <c r="D2047"/>
      <c r="E2047"/>
      <c r="F2047"/>
      <c r="G2047"/>
      <c r="H2047"/>
      <c r="I2047" s="532"/>
      <c r="V2047"/>
      <c r="W2047"/>
      <c r="Z2047"/>
      <c r="AA2047"/>
      <c r="AC2047"/>
      <c r="AD2047"/>
      <c r="AE2047"/>
      <c r="AI2047" s="960"/>
      <c r="AM2047"/>
    </row>
    <row r="2048" spans="3:39" x14ac:dyDescent="0.2">
      <c r="C2048"/>
      <c r="D2048"/>
      <c r="E2048"/>
      <c r="F2048"/>
      <c r="G2048"/>
      <c r="H2048"/>
      <c r="I2048" s="532"/>
      <c r="V2048"/>
      <c r="W2048"/>
      <c r="Z2048"/>
      <c r="AA2048"/>
      <c r="AC2048"/>
      <c r="AD2048"/>
      <c r="AE2048"/>
      <c r="AI2048" s="960"/>
      <c r="AM2048"/>
    </row>
    <row r="2049" spans="3:39" x14ac:dyDescent="0.2">
      <c r="C2049"/>
      <c r="D2049"/>
      <c r="E2049"/>
      <c r="F2049"/>
      <c r="G2049"/>
      <c r="H2049"/>
      <c r="I2049" s="532"/>
      <c r="V2049"/>
      <c r="W2049"/>
      <c r="Z2049"/>
      <c r="AA2049"/>
      <c r="AC2049"/>
      <c r="AD2049"/>
      <c r="AE2049"/>
      <c r="AI2049" s="960"/>
      <c r="AM2049"/>
    </row>
    <row r="2050" spans="3:39" x14ac:dyDescent="0.2">
      <c r="C2050"/>
      <c r="D2050"/>
      <c r="E2050"/>
      <c r="F2050"/>
      <c r="G2050"/>
      <c r="H2050"/>
      <c r="I2050" s="532"/>
      <c r="V2050"/>
      <c r="W2050"/>
      <c r="Z2050"/>
      <c r="AA2050"/>
      <c r="AC2050"/>
      <c r="AD2050"/>
      <c r="AE2050"/>
      <c r="AI2050" s="960"/>
      <c r="AM2050"/>
    </row>
    <row r="2051" spans="3:39" x14ac:dyDescent="0.2">
      <c r="C2051"/>
      <c r="D2051"/>
      <c r="E2051"/>
      <c r="F2051"/>
      <c r="G2051"/>
      <c r="H2051"/>
      <c r="I2051" s="532"/>
      <c r="V2051"/>
      <c r="W2051"/>
      <c r="Z2051"/>
      <c r="AA2051"/>
      <c r="AC2051"/>
      <c r="AD2051"/>
      <c r="AE2051"/>
      <c r="AI2051" s="960"/>
      <c r="AM2051"/>
    </row>
    <row r="2052" spans="3:39" x14ac:dyDescent="0.2">
      <c r="C2052"/>
      <c r="D2052"/>
      <c r="E2052"/>
      <c r="F2052"/>
      <c r="G2052"/>
      <c r="H2052"/>
      <c r="I2052" s="532"/>
      <c r="V2052"/>
      <c r="W2052"/>
      <c r="Z2052"/>
      <c r="AA2052"/>
      <c r="AC2052"/>
      <c r="AD2052"/>
      <c r="AE2052"/>
      <c r="AI2052" s="960"/>
      <c r="AM2052"/>
    </row>
    <row r="2053" spans="3:39" x14ac:dyDescent="0.2">
      <c r="C2053"/>
      <c r="D2053"/>
      <c r="E2053"/>
      <c r="F2053"/>
      <c r="G2053"/>
      <c r="H2053"/>
      <c r="I2053" s="532"/>
      <c r="V2053"/>
      <c r="W2053"/>
      <c r="Z2053"/>
      <c r="AA2053"/>
      <c r="AC2053"/>
      <c r="AD2053"/>
      <c r="AE2053"/>
      <c r="AI2053" s="960"/>
      <c r="AM2053"/>
    </row>
    <row r="2054" spans="3:39" x14ac:dyDescent="0.2">
      <c r="C2054"/>
      <c r="D2054"/>
      <c r="E2054"/>
      <c r="F2054"/>
      <c r="G2054"/>
      <c r="H2054"/>
      <c r="I2054" s="532"/>
      <c r="V2054"/>
      <c r="W2054"/>
      <c r="Z2054"/>
      <c r="AA2054"/>
      <c r="AC2054"/>
      <c r="AD2054"/>
      <c r="AE2054"/>
      <c r="AI2054" s="960"/>
      <c r="AM2054"/>
    </row>
    <row r="2055" spans="3:39" x14ac:dyDescent="0.2">
      <c r="C2055"/>
      <c r="D2055"/>
      <c r="E2055"/>
      <c r="F2055"/>
      <c r="G2055"/>
      <c r="H2055"/>
      <c r="I2055" s="532"/>
      <c r="V2055"/>
      <c r="W2055"/>
      <c r="Z2055"/>
      <c r="AA2055"/>
      <c r="AC2055"/>
      <c r="AD2055"/>
      <c r="AE2055"/>
      <c r="AI2055" s="960"/>
      <c r="AM2055"/>
    </row>
    <row r="2056" spans="3:39" x14ac:dyDescent="0.2">
      <c r="C2056"/>
      <c r="D2056"/>
      <c r="E2056"/>
      <c r="F2056"/>
      <c r="G2056"/>
      <c r="H2056"/>
      <c r="I2056" s="532"/>
      <c r="V2056"/>
      <c r="W2056"/>
      <c r="Z2056"/>
      <c r="AA2056"/>
      <c r="AC2056"/>
      <c r="AD2056"/>
      <c r="AE2056"/>
      <c r="AI2056" s="960"/>
      <c r="AM2056"/>
    </row>
    <row r="2057" spans="3:39" x14ac:dyDescent="0.2">
      <c r="C2057"/>
      <c r="D2057"/>
      <c r="E2057"/>
      <c r="F2057"/>
      <c r="G2057"/>
      <c r="H2057"/>
      <c r="I2057" s="532"/>
      <c r="V2057"/>
      <c r="W2057"/>
      <c r="Z2057"/>
      <c r="AA2057"/>
      <c r="AC2057"/>
      <c r="AD2057"/>
      <c r="AE2057"/>
      <c r="AI2057" s="960"/>
      <c r="AM2057"/>
    </row>
    <row r="2058" spans="3:39" x14ac:dyDescent="0.2">
      <c r="C2058"/>
      <c r="D2058"/>
      <c r="E2058"/>
      <c r="F2058"/>
      <c r="G2058"/>
      <c r="H2058"/>
      <c r="I2058" s="532"/>
      <c r="V2058"/>
      <c r="W2058"/>
      <c r="Z2058"/>
      <c r="AA2058"/>
      <c r="AC2058"/>
      <c r="AD2058"/>
      <c r="AE2058"/>
      <c r="AI2058" s="960"/>
      <c r="AM2058"/>
    </row>
    <row r="2059" spans="3:39" x14ac:dyDescent="0.2">
      <c r="C2059"/>
      <c r="D2059"/>
      <c r="E2059"/>
      <c r="F2059"/>
      <c r="G2059"/>
      <c r="H2059"/>
      <c r="I2059" s="532"/>
      <c r="V2059"/>
      <c r="W2059"/>
      <c r="Z2059"/>
      <c r="AA2059"/>
      <c r="AC2059"/>
      <c r="AD2059"/>
      <c r="AE2059"/>
      <c r="AI2059" s="960"/>
      <c r="AM2059"/>
    </row>
    <row r="2060" spans="3:39" x14ac:dyDescent="0.2">
      <c r="C2060"/>
      <c r="D2060"/>
      <c r="E2060"/>
      <c r="F2060"/>
      <c r="G2060"/>
      <c r="H2060"/>
      <c r="I2060" s="532"/>
      <c r="V2060"/>
      <c r="W2060"/>
      <c r="Z2060"/>
      <c r="AA2060"/>
      <c r="AC2060"/>
      <c r="AD2060"/>
      <c r="AE2060"/>
      <c r="AI2060" s="960"/>
      <c r="AM2060"/>
    </row>
    <row r="2061" spans="3:39" x14ac:dyDescent="0.2">
      <c r="C2061"/>
      <c r="D2061"/>
      <c r="E2061"/>
      <c r="F2061"/>
      <c r="G2061"/>
      <c r="H2061"/>
      <c r="I2061" s="532"/>
      <c r="V2061"/>
      <c r="W2061"/>
      <c r="Z2061"/>
      <c r="AA2061"/>
      <c r="AC2061"/>
      <c r="AD2061"/>
      <c r="AE2061"/>
      <c r="AI2061" s="960"/>
      <c r="AM2061"/>
    </row>
    <row r="2062" spans="3:39" x14ac:dyDescent="0.2">
      <c r="C2062"/>
      <c r="D2062"/>
      <c r="E2062"/>
      <c r="F2062"/>
      <c r="G2062"/>
      <c r="H2062"/>
      <c r="I2062" s="532"/>
      <c r="V2062"/>
      <c r="W2062"/>
      <c r="Z2062"/>
      <c r="AA2062"/>
      <c r="AC2062"/>
      <c r="AD2062"/>
      <c r="AE2062"/>
      <c r="AI2062" s="960"/>
      <c r="AM2062"/>
    </row>
    <row r="2063" spans="3:39" x14ac:dyDescent="0.2">
      <c r="C2063"/>
      <c r="D2063"/>
      <c r="E2063"/>
      <c r="F2063"/>
      <c r="G2063"/>
      <c r="H2063"/>
      <c r="I2063" s="532"/>
      <c r="V2063"/>
      <c r="W2063"/>
      <c r="Z2063"/>
      <c r="AA2063"/>
      <c r="AC2063"/>
      <c r="AD2063"/>
      <c r="AE2063"/>
      <c r="AI2063" s="960"/>
      <c r="AM2063"/>
    </row>
    <row r="2064" spans="3:39" x14ac:dyDescent="0.2">
      <c r="C2064"/>
      <c r="D2064"/>
      <c r="E2064"/>
      <c r="F2064"/>
      <c r="G2064"/>
      <c r="H2064"/>
      <c r="I2064" s="532"/>
      <c r="V2064"/>
      <c r="W2064"/>
      <c r="Z2064"/>
      <c r="AA2064"/>
      <c r="AC2064"/>
      <c r="AD2064"/>
      <c r="AE2064"/>
      <c r="AI2064" s="960"/>
      <c r="AM2064"/>
    </row>
    <row r="2065" spans="3:39" x14ac:dyDescent="0.2">
      <c r="C2065"/>
      <c r="D2065"/>
      <c r="E2065"/>
      <c r="F2065"/>
      <c r="G2065"/>
      <c r="H2065"/>
      <c r="I2065" s="532"/>
      <c r="V2065"/>
      <c r="W2065"/>
      <c r="Z2065"/>
      <c r="AA2065"/>
      <c r="AC2065"/>
      <c r="AD2065"/>
      <c r="AE2065"/>
      <c r="AI2065" s="960"/>
      <c r="AM2065"/>
    </row>
    <row r="2066" spans="3:39" x14ac:dyDescent="0.2">
      <c r="C2066"/>
      <c r="D2066"/>
      <c r="E2066"/>
      <c r="F2066"/>
      <c r="G2066"/>
      <c r="H2066"/>
      <c r="I2066" s="532"/>
      <c r="V2066"/>
      <c r="W2066"/>
      <c r="Z2066"/>
      <c r="AA2066"/>
      <c r="AC2066"/>
      <c r="AD2066"/>
      <c r="AE2066"/>
      <c r="AI2066" s="960"/>
      <c r="AM2066"/>
    </row>
    <row r="2067" spans="3:39" x14ac:dyDescent="0.2">
      <c r="C2067"/>
      <c r="D2067"/>
      <c r="E2067"/>
      <c r="F2067"/>
      <c r="G2067"/>
      <c r="H2067"/>
      <c r="I2067" s="532"/>
      <c r="V2067"/>
      <c r="W2067"/>
      <c r="Z2067"/>
      <c r="AA2067"/>
      <c r="AC2067"/>
      <c r="AD2067"/>
      <c r="AE2067"/>
      <c r="AI2067" s="960"/>
      <c r="AM2067"/>
    </row>
    <row r="2068" spans="3:39" x14ac:dyDescent="0.2">
      <c r="C2068"/>
      <c r="D2068"/>
      <c r="E2068"/>
      <c r="F2068"/>
      <c r="G2068"/>
      <c r="H2068"/>
      <c r="I2068" s="532"/>
      <c r="V2068"/>
      <c r="W2068"/>
      <c r="Z2068"/>
      <c r="AA2068"/>
      <c r="AC2068"/>
      <c r="AD2068"/>
      <c r="AE2068"/>
      <c r="AI2068" s="960"/>
      <c r="AM2068"/>
    </row>
    <row r="2069" spans="3:39" x14ac:dyDescent="0.2">
      <c r="C2069"/>
      <c r="D2069"/>
      <c r="E2069"/>
      <c r="F2069"/>
      <c r="G2069"/>
      <c r="H2069"/>
      <c r="I2069" s="532"/>
      <c r="V2069"/>
      <c r="W2069"/>
      <c r="Z2069"/>
      <c r="AA2069"/>
      <c r="AC2069"/>
      <c r="AD2069"/>
      <c r="AE2069"/>
      <c r="AI2069" s="960"/>
      <c r="AM2069"/>
    </row>
    <row r="2070" spans="3:39" x14ac:dyDescent="0.2">
      <c r="C2070"/>
      <c r="D2070"/>
      <c r="E2070"/>
      <c r="F2070"/>
      <c r="G2070"/>
      <c r="H2070"/>
      <c r="I2070" s="532"/>
      <c r="V2070"/>
      <c r="W2070"/>
      <c r="Z2070"/>
      <c r="AA2070"/>
      <c r="AC2070"/>
      <c r="AD2070"/>
      <c r="AE2070"/>
      <c r="AI2070" s="960"/>
      <c r="AM2070"/>
    </row>
    <row r="2071" spans="3:39" x14ac:dyDescent="0.2">
      <c r="C2071"/>
      <c r="D2071"/>
      <c r="E2071"/>
      <c r="F2071"/>
      <c r="G2071"/>
      <c r="H2071"/>
      <c r="I2071" s="532"/>
      <c r="V2071"/>
      <c r="W2071"/>
      <c r="Z2071"/>
      <c r="AA2071"/>
      <c r="AC2071"/>
      <c r="AD2071"/>
      <c r="AE2071"/>
      <c r="AI2071" s="960"/>
      <c r="AM2071"/>
    </row>
    <row r="2072" spans="3:39" x14ac:dyDescent="0.2">
      <c r="C2072"/>
      <c r="D2072"/>
      <c r="E2072"/>
      <c r="F2072"/>
      <c r="G2072"/>
      <c r="H2072"/>
      <c r="I2072" s="532"/>
      <c r="V2072"/>
      <c r="W2072"/>
      <c r="Z2072"/>
      <c r="AA2072"/>
      <c r="AC2072"/>
      <c r="AD2072"/>
      <c r="AE2072"/>
      <c r="AI2072" s="960"/>
      <c r="AM2072"/>
    </row>
    <row r="2073" spans="3:39" x14ac:dyDescent="0.2">
      <c r="C2073"/>
      <c r="D2073"/>
      <c r="E2073"/>
      <c r="F2073"/>
      <c r="G2073"/>
      <c r="H2073"/>
      <c r="I2073" s="532"/>
      <c r="V2073"/>
      <c r="W2073"/>
      <c r="Z2073"/>
      <c r="AA2073"/>
      <c r="AC2073"/>
      <c r="AD2073"/>
      <c r="AE2073"/>
      <c r="AI2073" s="960"/>
      <c r="AM2073"/>
    </row>
    <row r="2074" spans="3:39" x14ac:dyDescent="0.2">
      <c r="C2074"/>
      <c r="D2074"/>
      <c r="E2074"/>
      <c r="F2074"/>
      <c r="G2074"/>
      <c r="H2074"/>
      <c r="I2074" s="532"/>
      <c r="V2074"/>
      <c r="W2074"/>
      <c r="Z2074"/>
      <c r="AA2074"/>
      <c r="AC2074"/>
      <c r="AD2074"/>
      <c r="AE2074"/>
      <c r="AI2074" s="960"/>
      <c r="AM2074"/>
    </row>
    <row r="2075" spans="3:39" x14ac:dyDescent="0.2">
      <c r="C2075"/>
      <c r="D2075"/>
      <c r="E2075"/>
      <c r="F2075"/>
      <c r="G2075"/>
      <c r="H2075"/>
      <c r="I2075" s="532"/>
      <c r="V2075"/>
      <c r="W2075"/>
      <c r="Z2075"/>
      <c r="AA2075"/>
      <c r="AC2075"/>
      <c r="AD2075"/>
      <c r="AE2075"/>
      <c r="AI2075" s="960"/>
      <c r="AM2075"/>
    </row>
    <row r="2076" spans="3:39" x14ac:dyDescent="0.2">
      <c r="C2076"/>
      <c r="D2076"/>
      <c r="E2076"/>
      <c r="F2076"/>
      <c r="G2076"/>
      <c r="H2076"/>
      <c r="I2076" s="532"/>
      <c r="V2076"/>
      <c r="W2076"/>
      <c r="Z2076"/>
      <c r="AA2076"/>
      <c r="AC2076"/>
      <c r="AD2076"/>
      <c r="AE2076"/>
      <c r="AI2076" s="960"/>
      <c r="AM2076"/>
    </row>
    <row r="2077" spans="3:39" x14ac:dyDescent="0.2">
      <c r="C2077"/>
      <c r="D2077"/>
      <c r="E2077"/>
      <c r="F2077"/>
      <c r="G2077"/>
      <c r="H2077"/>
      <c r="I2077" s="532"/>
      <c r="V2077"/>
      <c r="W2077"/>
      <c r="Z2077"/>
      <c r="AA2077"/>
      <c r="AC2077"/>
      <c r="AD2077"/>
      <c r="AE2077"/>
      <c r="AI2077" s="960"/>
      <c r="AM2077"/>
    </row>
    <row r="2078" spans="3:39" x14ac:dyDescent="0.2">
      <c r="C2078"/>
      <c r="D2078"/>
      <c r="E2078"/>
      <c r="F2078"/>
      <c r="G2078"/>
      <c r="H2078"/>
      <c r="I2078" s="532"/>
      <c r="V2078"/>
      <c r="W2078"/>
      <c r="Z2078"/>
      <c r="AA2078"/>
      <c r="AC2078"/>
      <c r="AD2078"/>
      <c r="AE2078"/>
      <c r="AI2078" s="960"/>
      <c r="AM2078"/>
    </row>
    <row r="2079" spans="3:39" x14ac:dyDescent="0.2">
      <c r="C2079"/>
      <c r="D2079"/>
      <c r="E2079"/>
      <c r="F2079"/>
      <c r="G2079"/>
      <c r="H2079"/>
      <c r="I2079" s="532"/>
      <c r="V2079"/>
      <c r="W2079"/>
      <c r="Z2079"/>
      <c r="AA2079"/>
      <c r="AC2079"/>
      <c r="AD2079"/>
      <c r="AE2079"/>
      <c r="AI2079" s="960"/>
      <c r="AM2079"/>
    </row>
    <row r="2080" spans="3:39" x14ac:dyDescent="0.2">
      <c r="C2080"/>
      <c r="D2080"/>
      <c r="E2080"/>
      <c r="F2080"/>
      <c r="G2080"/>
      <c r="H2080"/>
      <c r="I2080" s="532"/>
      <c r="V2080"/>
      <c r="W2080"/>
      <c r="Z2080"/>
      <c r="AA2080"/>
      <c r="AC2080"/>
      <c r="AD2080"/>
      <c r="AE2080"/>
      <c r="AI2080" s="960"/>
      <c r="AM2080"/>
    </row>
    <row r="2081" spans="3:39" x14ac:dyDescent="0.2">
      <c r="C2081"/>
      <c r="D2081"/>
      <c r="E2081"/>
      <c r="F2081"/>
      <c r="G2081"/>
      <c r="H2081"/>
      <c r="I2081" s="532"/>
      <c r="V2081"/>
      <c r="W2081"/>
      <c r="Z2081"/>
      <c r="AA2081"/>
      <c r="AC2081"/>
      <c r="AD2081"/>
      <c r="AE2081"/>
      <c r="AI2081" s="960"/>
      <c r="AM2081"/>
    </row>
    <row r="2082" spans="3:39" x14ac:dyDescent="0.2">
      <c r="C2082"/>
      <c r="D2082"/>
      <c r="E2082"/>
      <c r="F2082"/>
      <c r="G2082"/>
      <c r="H2082"/>
      <c r="I2082" s="532"/>
      <c r="V2082"/>
      <c r="W2082"/>
      <c r="Z2082"/>
      <c r="AA2082"/>
      <c r="AC2082"/>
      <c r="AD2082"/>
      <c r="AE2082"/>
      <c r="AI2082" s="960"/>
      <c r="AM2082"/>
    </row>
    <row r="2083" spans="3:39" x14ac:dyDescent="0.2">
      <c r="C2083"/>
      <c r="D2083"/>
      <c r="E2083"/>
      <c r="F2083"/>
      <c r="G2083"/>
      <c r="H2083"/>
      <c r="I2083" s="532"/>
      <c r="V2083"/>
      <c r="W2083"/>
      <c r="Z2083"/>
      <c r="AA2083"/>
      <c r="AC2083"/>
      <c r="AD2083"/>
      <c r="AE2083"/>
      <c r="AI2083" s="960"/>
      <c r="AM2083"/>
    </row>
    <row r="2084" spans="3:39" x14ac:dyDescent="0.2">
      <c r="C2084"/>
      <c r="D2084"/>
      <c r="E2084"/>
      <c r="F2084"/>
      <c r="G2084"/>
      <c r="H2084"/>
      <c r="I2084" s="532"/>
      <c r="V2084"/>
      <c r="W2084"/>
      <c r="Z2084"/>
      <c r="AA2084"/>
      <c r="AC2084"/>
      <c r="AD2084"/>
      <c r="AE2084"/>
      <c r="AI2084" s="960"/>
      <c r="AM2084"/>
    </row>
    <row r="2085" spans="3:39" x14ac:dyDescent="0.2">
      <c r="C2085"/>
      <c r="D2085"/>
      <c r="E2085"/>
      <c r="F2085"/>
      <c r="G2085"/>
      <c r="H2085"/>
      <c r="I2085" s="532"/>
      <c r="V2085"/>
      <c r="W2085"/>
      <c r="Z2085"/>
      <c r="AA2085"/>
      <c r="AC2085"/>
      <c r="AD2085"/>
      <c r="AE2085"/>
      <c r="AI2085" s="960"/>
      <c r="AM2085"/>
    </row>
    <row r="2086" spans="3:39" x14ac:dyDescent="0.2">
      <c r="C2086"/>
      <c r="D2086"/>
      <c r="E2086"/>
      <c r="F2086"/>
      <c r="G2086"/>
      <c r="H2086"/>
      <c r="I2086" s="532"/>
      <c r="V2086"/>
      <c r="W2086"/>
      <c r="Z2086"/>
      <c r="AA2086"/>
      <c r="AC2086"/>
      <c r="AD2086"/>
      <c r="AE2086"/>
      <c r="AI2086" s="960"/>
      <c r="AM2086"/>
    </row>
    <row r="2087" spans="3:39" x14ac:dyDescent="0.2">
      <c r="C2087"/>
      <c r="D2087"/>
      <c r="E2087"/>
      <c r="F2087"/>
      <c r="G2087"/>
      <c r="H2087"/>
      <c r="I2087" s="532"/>
      <c r="V2087"/>
      <c r="W2087"/>
      <c r="Z2087"/>
      <c r="AA2087"/>
      <c r="AC2087"/>
      <c r="AD2087"/>
      <c r="AE2087"/>
      <c r="AI2087" s="960"/>
      <c r="AM2087"/>
    </row>
    <row r="2088" spans="3:39" x14ac:dyDescent="0.2">
      <c r="C2088"/>
      <c r="D2088"/>
      <c r="E2088"/>
      <c r="F2088"/>
      <c r="G2088"/>
      <c r="H2088"/>
      <c r="I2088" s="532"/>
      <c r="V2088"/>
      <c r="W2088"/>
      <c r="Z2088"/>
      <c r="AA2088"/>
      <c r="AC2088"/>
      <c r="AD2088"/>
      <c r="AE2088"/>
      <c r="AI2088" s="960"/>
      <c r="AM2088"/>
    </row>
    <row r="2089" spans="3:39" x14ac:dyDescent="0.2">
      <c r="C2089"/>
      <c r="D2089"/>
      <c r="E2089"/>
      <c r="F2089"/>
      <c r="G2089"/>
      <c r="H2089"/>
      <c r="I2089" s="532"/>
      <c r="V2089"/>
      <c r="W2089"/>
      <c r="Z2089"/>
      <c r="AA2089"/>
      <c r="AC2089"/>
      <c r="AD2089"/>
      <c r="AE2089"/>
      <c r="AI2089" s="960"/>
      <c r="AM2089"/>
    </row>
    <row r="2090" spans="3:39" x14ac:dyDescent="0.2">
      <c r="C2090"/>
      <c r="D2090"/>
      <c r="E2090"/>
      <c r="F2090"/>
      <c r="G2090"/>
      <c r="H2090"/>
      <c r="I2090" s="532"/>
      <c r="V2090"/>
      <c r="W2090"/>
      <c r="Z2090"/>
      <c r="AA2090"/>
      <c r="AC2090"/>
      <c r="AD2090"/>
      <c r="AE2090"/>
      <c r="AI2090" s="960"/>
      <c r="AM2090"/>
    </row>
    <row r="2091" spans="3:39" x14ac:dyDescent="0.2">
      <c r="C2091"/>
      <c r="D2091"/>
      <c r="E2091"/>
      <c r="F2091"/>
      <c r="G2091"/>
      <c r="H2091"/>
      <c r="I2091" s="532"/>
      <c r="V2091"/>
      <c r="W2091"/>
      <c r="Z2091"/>
      <c r="AA2091"/>
      <c r="AC2091"/>
      <c r="AD2091"/>
      <c r="AE2091"/>
      <c r="AI2091" s="960"/>
      <c r="AM2091"/>
    </row>
    <row r="2092" spans="3:39" x14ac:dyDescent="0.2">
      <c r="C2092"/>
      <c r="D2092"/>
      <c r="E2092"/>
      <c r="F2092"/>
      <c r="G2092"/>
      <c r="H2092"/>
      <c r="I2092" s="532"/>
      <c r="V2092"/>
      <c r="W2092"/>
      <c r="Z2092"/>
      <c r="AA2092"/>
      <c r="AC2092"/>
      <c r="AD2092"/>
      <c r="AE2092"/>
      <c r="AI2092" s="960"/>
      <c r="AM2092"/>
    </row>
    <row r="2093" spans="3:39" x14ac:dyDescent="0.2">
      <c r="C2093"/>
      <c r="D2093"/>
      <c r="E2093"/>
      <c r="F2093"/>
      <c r="G2093"/>
      <c r="H2093"/>
      <c r="I2093" s="532"/>
      <c r="V2093"/>
      <c r="W2093"/>
      <c r="Z2093"/>
      <c r="AA2093"/>
      <c r="AC2093"/>
      <c r="AD2093"/>
      <c r="AE2093"/>
      <c r="AI2093" s="960"/>
      <c r="AM2093"/>
    </row>
    <row r="2094" spans="3:39" x14ac:dyDescent="0.2">
      <c r="C2094"/>
      <c r="D2094"/>
      <c r="E2094"/>
      <c r="F2094"/>
      <c r="G2094"/>
      <c r="H2094"/>
      <c r="I2094" s="532"/>
      <c r="V2094"/>
      <c r="W2094"/>
      <c r="Z2094"/>
      <c r="AA2094"/>
      <c r="AC2094"/>
      <c r="AD2094"/>
      <c r="AE2094"/>
      <c r="AI2094" s="960"/>
      <c r="AM2094"/>
    </row>
    <row r="2095" spans="3:39" x14ac:dyDescent="0.2">
      <c r="C2095"/>
      <c r="D2095"/>
      <c r="E2095"/>
      <c r="F2095"/>
      <c r="G2095"/>
      <c r="H2095"/>
      <c r="I2095" s="532"/>
      <c r="V2095"/>
      <c r="W2095"/>
      <c r="Z2095"/>
      <c r="AA2095"/>
      <c r="AC2095"/>
      <c r="AD2095"/>
      <c r="AE2095"/>
      <c r="AI2095" s="960"/>
      <c r="AM2095"/>
    </row>
    <row r="2096" spans="3:39" x14ac:dyDescent="0.2">
      <c r="C2096"/>
      <c r="D2096"/>
      <c r="E2096"/>
      <c r="F2096"/>
      <c r="G2096"/>
      <c r="H2096"/>
      <c r="I2096" s="532"/>
      <c r="V2096"/>
      <c r="W2096"/>
      <c r="Z2096"/>
      <c r="AA2096"/>
      <c r="AC2096"/>
      <c r="AD2096"/>
      <c r="AE2096"/>
      <c r="AI2096" s="960"/>
      <c r="AM2096"/>
    </row>
    <row r="2097" spans="3:39" x14ac:dyDescent="0.2">
      <c r="C2097"/>
      <c r="D2097"/>
      <c r="E2097"/>
      <c r="F2097"/>
      <c r="G2097"/>
      <c r="H2097"/>
      <c r="I2097" s="532"/>
      <c r="V2097"/>
      <c r="W2097"/>
      <c r="Z2097"/>
      <c r="AA2097"/>
      <c r="AC2097"/>
      <c r="AD2097"/>
      <c r="AE2097"/>
      <c r="AI2097" s="960"/>
      <c r="AM2097"/>
    </row>
    <row r="2098" spans="3:39" x14ac:dyDescent="0.2">
      <c r="C2098"/>
      <c r="D2098"/>
      <c r="E2098"/>
      <c r="F2098"/>
      <c r="G2098"/>
      <c r="H2098"/>
      <c r="I2098" s="532"/>
      <c r="V2098"/>
      <c r="W2098"/>
      <c r="Z2098"/>
      <c r="AA2098"/>
      <c r="AC2098"/>
      <c r="AD2098"/>
      <c r="AE2098"/>
      <c r="AI2098" s="960"/>
      <c r="AM2098"/>
    </row>
    <row r="2099" spans="3:39" x14ac:dyDescent="0.2">
      <c r="C2099"/>
      <c r="D2099"/>
      <c r="E2099"/>
      <c r="F2099"/>
      <c r="G2099"/>
      <c r="H2099"/>
      <c r="I2099" s="532"/>
      <c r="V2099"/>
      <c r="W2099"/>
      <c r="Z2099"/>
      <c r="AA2099"/>
      <c r="AC2099"/>
      <c r="AD2099"/>
      <c r="AE2099"/>
      <c r="AI2099" s="960"/>
      <c r="AM2099"/>
    </row>
    <row r="2100" spans="3:39" x14ac:dyDescent="0.2">
      <c r="C2100"/>
      <c r="D2100"/>
      <c r="E2100"/>
      <c r="F2100"/>
      <c r="G2100"/>
      <c r="H2100"/>
      <c r="I2100" s="532"/>
      <c r="V2100"/>
      <c r="W2100"/>
      <c r="Z2100"/>
      <c r="AA2100"/>
      <c r="AC2100"/>
      <c r="AD2100"/>
      <c r="AE2100"/>
      <c r="AI2100" s="960"/>
      <c r="AM2100"/>
    </row>
    <row r="2101" spans="3:39" x14ac:dyDescent="0.2">
      <c r="C2101"/>
      <c r="D2101"/>
      <c r="E2101"/>
      <c r="F2101"/>
      <c r="G2101"/>
      <c r="H2101"/>
      <c r="I2101" s="532"/>
      <c r="V2101"/>
      <c r="W2101"/>
      <c r="Z2101"/>
      <c r="AA2101"/>
      <c r="AC2101"/>
      <c r="AD2101"/>
      <c r="AE2101"/>
      <c r="AI2101" s="960"/>
      <c r="AM2101"/>
    </row>
    <row r="2102" spans="3:39" x14ac:dyDescent="0.2">
      <c r="C2102"/>
      <c r="D2102"/>
      <c r="E2102"/>
      <c r="F2102"/>
      <c r="G2102"/>
      <c r="H2102"/>
      <c r="I2102" s="532"/>
      <c r="V2102"/>
      <c r="W2102"/>
      <c r="Z2102"/>
      <c r="AA2102"/>
      <c r="AC2102"/>
      <c r="AD2102"/>
      <c r="AE2102"/>
      <c r="AI2102" s="960"/>
      <c r="AM2102"/>
    </row>
    <row r="2103" spans="3:39" x14ac:dyDescent="0.2">
      <c r="C2103"/>
      <c r="D2103"/>
      <c r="E2103"/>
      <c r="F2103"/>
      <c r="G2103"/>
      <c r="H2103"/>
      <c r="I2103" s="532"/>
      <c r="V2103"/>
      <c r="W2103"/>
      <c r="Z2103"/>
      <c r="AA2103"/>
      <c r="AC2103"/>
      <c r="AD2103"/>
      <c r="AE2103"/>
      <c r="AI2103" s="960"/>
      <c r="AM2103"/>
    </row>
    <row r="2104" spans="3:39" x14ac:dyDescent="0.2">
      <c r="C2104"/>
      <c r="D2104"/>
      <c r="E2104"/>
      <c r="F2104"/>
      <c r="G2104"/>
      <c r="H2104"/>
      <c r="I2104" s="532"/>
      <c r="V2104"/>
      <c r="W2104"/>
      <c r="Z2104"/>
      <c r="AA2104"/>
      <c r="AC2104"/>
      <c r="AD2104"/>
      <c r="AE2104"/>
      <c r="AI2104" s="960"/>
      <c r="AM2104"/>
    </row>
    <row r="2105" spans="3:39" x14ac:dyDescent="0.2">
      <c r="C2105"/>
      <c r="D2105"/>
      <c r="E2105"/>
      <c r="F2105"/>
      <c r="G2105"/>
      <c r="H2105"/>
      <c r="I2105" s="532"/>
      <c r="V2105"/>
      <c r="W2105"/>
      <c r="Z2105"/>
      <c r="AA2105"/>
      <c r="AC2105"/>
      <c r="AD2105"/>
      <c r="AE2105"/>
      <c r="AI2105" s="960"/>
      <c r="AM2105"/>
    </row>
    <row r="2106" spans="3:39" x14ac:dyDescent="0.2">
      <c r="C2106"/>
      <c r="D2106"/>
      <c r="E2106"/>
      <c r="F2106"/>
      <c r="G2106"/>
      <c r="H2106"/>
      <c r="I2106" s="532"/>
      <c r="V2106"/>
      <c r="W2106"/>
      <c r="Z2106"/>
      <c r="AA2106"/>
      <c r="AC2106"/>
      <c r="AD2106"/>
      <c r="AE2106"/>
      <c r="AI2106" s="960"/>
      <c r="AM2106"/>
    </row>
    <row r="2107" spans="3:39" x14ac:dyDescent="0.2">
      <c r="C2107"/>
      <c r="D2107"/>
      <c r="E2107"/>
      <c r="F2107"/>
      <c r="G2107"/>
      <c r="H2107"/>
      <c r="I2107" s="532"/>
      <c r="V2107"/>
      <c r="W2107"/>
      <c r="Z2107"/>
      <c r="AA2107"/>
      <c r="AC2107"/>
      <c r="AD2107"/>
      <c r="AE2107"/>
      <c r="AI2107" s="960"/>
      <c r="AM2107"/>
    </row>
    <row r="2108" spans="3:39" x14ac:dyDescent="0.2">
      <c r="C2108"/>
      <c r="D2108"/>
      <c r="E2108"/>
      <c r="F2108"/>
      <c r="G2108"/>
      <c r="H2108"/>
      <c r="I2108" s="532"/>
      <c r="V2108"/>
      <c r="W2108"/>
      <c r="Z2108"/>
      <c r="AA2108"/>
      <c r="AC2108"/>
      <c r="AD2108"/>
      <c r="AE2108"/>
      <c r="AI2108" s="960"/>
      <c r="AM2108"/>
    </row>
    <row r="2109" spans="3:39" x14ac:dyDescent="0.2">
      <c r="C2109"/>
      <c r="D2109"/>
      <c r="E2109"/>
      <c r="F2109"/>
      <c r="G2109"/>
      <c r="H2109"/>
      <c r="I2109" s="532"/>
      <c r="V2109"/>
      <c r="W2109"/>
      <c r="Z2109"/>
      <c r="AA2109"/>
      <c r="AC2109"/>
      <c r="AD2109"/>
      <c r="AE2109"/>
      <c r="AI2109" s="960"/>
      <c r="AM2109"/>
    </row>
    <row r="2110" spans="3:39" x14ac:dyDescent="0.2">
      <c r="C2110"/>
      <c r="D2110"/>
      <c r="E2110"/>
      <c r="F2110"/>
      <c r="G2110"/>
      <c r="H2110"/>
      <c r="I2110" s="532"/>
      <c r="V2110"/>
      <c r="W2110"/>
      <c r="Z2110"/>
      <c r="AA2110"/>
      <c r="AC2110"/>
      <c r="AD2110"/>
      <c r="AE2110"/>
      <c r="AI2110" s="960"/>
      <c r="AM2110"/>
    </row>
    <row r="2111" spans="3:39" x14ac:dyDescent="0.2">
      <c r="C2111"/>
      <c r="D2111"/>
      <c r="E2111"/>
      <c r="F2111"/>
      <c r="G2111"/>
      <c r="H2111"/>
      <c r="I2111" s="532"/>
      <c r="V2111"/>
      <c r="W2111"/>
      <c r="Z2111"/>
      <c r="AA2111"/>
      <c r="AC2111"/>
      <c r="AD2111"/>
      <c r="AE2111"/>
      <c r="AI2111" s="960"/>
      <c r="AM2111"/>
    </row>
    <row r="2112" spans="3:39" x14ac:dyDescent="0.2">
      <c r="C2112"/>
      <c r="D2112"/>
      <c r="E2112"/>
      <c r="F2112"/>
      <c r="G2112"/>
      <c r="H2112"/>
      <c r="I2112" s="532"/>
      <c r="V2112"/>
      <c r="W2112"/>
      <c r="Z2112"/>
      <c r="AA2112"/>
      <c r="AC2112"/>
      <c r="AD2112"/>
      <c r="AE2112"/>
      <c r="AI2112" s="960"/>
      <c r="AM2112"/>
    </row>
    <row r="2113" spans="3:39" x14ac:dyDescent="0.2">
      <c r="C2113"/>
      <c r="D2113"/>
      <c r="E2113"/>
      <c r="F2113"/>
      <c r="G2113"/>
      <c r="H2113"/>
      <c r="I2113" s="532"/>
      <c r="V2113"/>
      <c r="W2113"/>
      <c r="Z2113"/>
      <c r="AA2113"/>
      <c r="AC2113"/>
      <c r="AD2113"/>
      <c r="AE2113"/>
      <c r="AI2113" s="960"/>
      <c r="AM2113"/>
    </row>
    <row r="2114" spans="3:39" x14ac:dyDescent="0.2">
      <c r="C2114"/>
      <c r="D2114"/>
      <c r="E2114"/>
      <c r="F2114"/>
      <c r="G2114"/>
      <c r="H2114"/>
      <c r="I2114" s="532"/>
      <c r="V2114"/>
      <c r="W2114"/>
      <c r="Z2114"/>
      <c r="AA2114"/>
      <c r="AC2114"/>
      <c r="AD2114"/>
      <c r="AE2114"/>
      <c r="AI2114" s="960"/>
      <c r="AM2114"/>
    </row>
    <row r="2115" spans="3:39" x14ac:dyDescent="0.2">
      <c r="C2115"/>
      <c r="D2115"/>
      <c r="E2115"/>
      <c r="F2115"/>
      <c r="G2115"/>
      <c r="H2115"/>
      <c r="I2115" s="532"/>
      <c r="V2115"/>
      <c r="W2115"/>
      <c r="Z2115"/>
      <c r="AA2115"/>
      <c r="AC2115"/>
      <c r="AD2115"/>
      <c r="AE2115"/>
      <c r="AI2115" s="960"/>
      <c r="AM2115"/>
    </row>
    <row r="2116" spans="3:39" x14ac:dyDescent="0.2">
      <c r="C2116"/>
      <c r="D2116"/>
      <c r="E2116"/>
      <c r="F2116"/>
      <c r="G2116"/>
      <c r="H2116"/>
      <c r="I2116" s="532"/>
      <c r="V2116"/>
      <c r="W2116"/>
      <c r="Z2116"/>
      <c r="AA2116"/>
      <c r="AC2116"/>
      <c r="AD2116"/>
      <c r="AE2116"/>
      <c r="AI2116" s="960"/>
      <c r="AM2116"/>
    </row>
    <row r="2117" spans="3:39" x14ac:dyDescent="0.2">
      <c r="C2117"/>
      <c r="D2117"/>
      <c r="E2117"/>
      <c r="F2117"/>
      <c r="G2117"/>
      <c r="H2117"/>
      <c r="I2117" s="532"/>
      <c r="V2117"/>
      <c r="W2117"/>
      <c r="Z2117"/>
      <c r="AA2117"/>
      <c r="AC2117"/>
      <c r="AD2117"/>
      <c r="AE2117"/>
      <c r="AI2117" s="960"/>
      <c r="AM2117"/>
    </row>
    <row r="2118" spans="3:39" x14ac:dyDescent="0.2">
      <c r="C2118"/>
      <c r="D2118"/>
      <c r="E2118"/>
      <c r="F2118"/>
      <c r="G2118"/>
      <c r="H2118"/>
      <c r="I2118" s="532"/>
      <c r="V2118"/>
      <c r="W2118"/>
      <c r="Z2118"/>
      <c r="AA2118"/>
      <c r="AC2118"/>
      <c r="AD2118"/>
      <c r="AE2118"/>
      <c r="AI2118" s="960"/>
      <c r="AM2118"/>
    </row>
    <row r="2119" spans="3:39" x14ac:dyDescent="0.2">
      <c r="C2119"/>
      <c r="D2119"/>
      <c r="E2119"/>
      <c r="F2119"/>
      <c r="G2119"/>
      <c r="H2119"/>
      <c r="I2119" s="532"/>
      <c r="V2119"/>
      <c r="W2119"/>
      <c r="Z2119"/>
      <c r="AA2119"/>
      <c r="AC2119"/>
      <c r="AD2119"/>
      <c r="AE2119"/>
      <c r="AI2119" s="960"/>
      <c r="AM2119"/>
    </row>
    <row r="2120" spans="3:39" x14ac:dyDescent="0.2">
      <c r="C2120"/>
      <c r="D2120"/>
      <c r="E2120"/>
      <c r="F2120"/>
      <c r="G2120"/>
      <c r="H2120"/>
      <c r="I2120" s="532"/>
      <c r="V2120"/>
      <c r="W2120"/>
      <c r="Z2120"/>
      <c r="AA2120"/>
      <c r="AC2120"/>
      <c r="AD2120"/>
      <c r="AE2120"/>
      <c r="AI2120" s="960"/>
      <c r="AM2120"/>
    </row>
    <row r="2121" spans="3:39" x14ac:dyDescent="0.2">
      <c r="C2121"/>
      <c r="D2121"/>
      <c r="E2121"/>
      <c r="F2121"/>
      <c r="G2121"/>
      <c r="H2121"/>
      <c r="I2121" s="532"/>
      <c r="V2121"/>
      <c r="W2121"/>
      <c r="Z2121"/>
      <c r="AA2121"/>
      <c r="AC2121"/>
      <c r="AD2121"/>
      <c r="AE2121"/>
      <c r="AI2121" s="960"/>
      <c r="AM2121"/>
    </row>
    <row r="2122" spans="3:39" x14ac:dyDescent="0.2">
      <c r="C2122"/>
      <c r="D2122"/>
      <c r="E2122"/>
      <c r="F2122"/>
      <c r="G2122"/>
      <c r="H2122"/>
      <c r="I2122" s="532"/>
      <c r="V2122"/>
      <c r="W2122"/>
      <c r="Z2122"/>
      <c r="AA2122"/>
      <c r="AC2122"/>
      <c r="AD2122"/>
      <c r="AE2122"/>
      <c r="AI2122" s="960"/>
      <c r="AM2122"/>
    </row>
    <row r="2123" spans="3:39" x14ac:dyDescent="0.2">
      <c r="C2123"/>
      <c r="D2123"/>
      <c r="E2123"/>
      <c r="F2123"/>
      <c r="G2123"/>
      <c r="H2123"/>
      <c r="I2123" s="532"/>
      <c r="V2123"/>
      <c r="W2123"/>
      <c r="Z2123"/>
      <c r="AA2123"/>
      <c r="AC2123"/>
      <c r="AD2123"/>
      <c r="AE2123"/>
      <c r="AI2123" s="960"/>
      <c r="AM2123"/>
    </row>
    <row r="2124" spans="3:39" x14ac:dyDescent="0.2">
      <c r="C2124"/>
      <c r="D2124"/>
      <c r="E2124"/>
      <c r="F2124"/>
      <c r="G2124"/>
      <c r="H2124"/>
      <c r="I2124" s="532"/>
      <c r="V2124"/>
      <c r="W2124"/>
      <c r="Z2124"/>
      <c r="AA2124"/>
      <c r="AC2124"/>
      <c r="AD2124"/>
      <c r="AE2124"/>
      <c r="AI2124" s="960"/>
      <c r="AM2124"/>
    </row>
    <row r="2125" spans="3:39" x14ac:dyDescent="0.2">
      <c r="C2125"/>
      <c r="D2125"/>
      <c r="E2125"/>
      <c r="F2125"/>
      <c r="G2125"/>
      <c r="H2125"/>
      <c r="I2125" s="532"/>
      <c r="V2125"/>
      <c r="W2125"/>
      <c r="Z2125"/>
      <c r="AA2125"/>
      <c r="AC2125"/>
      <c r="AD2125"/>
      <c r="AE2125"/>
      <c r="AI2125" s="960"/>
      <c r="AM2125"/>
    </row>
    <row r="2126" spans="3:39" x14ac:dyDescent="0.2">
      <c r="C2126"/>
      <c r="D2126"/>
      <c r="E2126"/>
      <c r="F2126"/>
      <c r="G2126"/>
      <c r="H2126"/>
      <c r="I2126" s="532"/>
      <c r="V2126"/>
      <c r="W2126"/>
      <c r="Z2126"/>
      <c r="AA2126"/>
      <c r="AC2126"/>
      <c r="AD2126"/>
      <c r="AE2126"/>
      <c r="AI2126" s="960"/>
      <c r="AM2126"/>
    </row>
    <row r="2127" spans="3:39" x14ac:dyDescent="0.2">
      <c r="C2127"/>
      <c r="D2127"/>
      <c r="E2127"/>
      <c r="F2127"/>
      <c r="G2127"/>
      <c r="H2127"/>
      <c r="I2127" s="532"/>
      <c r="V2127"/>
      <c r="W2127"/>
      <c r="Z2127"/>
      <c r="AA2127"/>
      <c r="AC2127"/>
      <c r="AD2127"/>
      <c r="AE2127"/>
      <c r="AI2127" s="960"/>
      <c r="AM2127"/>
    </row>
    <row r="2128" spans="3:39" x14ac:dyDescent="0.2">
      <c r="C2128"/>
      <c r="D2128"/>
      <c r="E2128"/>
      <c r="F2128"/>
      <c r="G2128"/>
      <c r="H2128"/>
      <c r="I2128" s="532"/>
      <c r="V2128"/>
      <c r="W2128"/>
      <c r="Z2128"/>
      <c r="AA2128"/>
      <c r="AC2128"/>
      <c r="AD2128"/>
      <c r="AE2128"/>
      <c r="AI2128" s="960"/>
      <c r="AM2128"/>
    </row>
    <row r="2129" spans="3:39" x14ac:dyDescent="0.2">
      <c r="C2129"/>
      <c r="D2129"/>
      <c r="E2129"/>
      <c r="F2129"/>
      <c r="G2129"/>
      <c r="H2129"/>
      <c r="I2129" s="532"/>
      <c r="V2129"/>
      <c r="W2129"/>
      <c r="Z2129"/>
      <c r="AA2129"/>
      <c r="AC2129"/>
      <c r="AD2129"/>
      <c r="AE2129"/>
      <c r="AI2129" s="960"/>
      <c r="AM2129"/>
    </row>
    <row r="2130" spans="3:39" x14ac:dyDescent="0.2">
      <c r="C2130"/>
      <c r="D2130"/>
      <c r="E2130"/>
      <c r="F2130"/>
      <c r="G2130"/>
      <c r="H2130"/>
      <c r="I2130" s="532"/>
      <c r="V2130"/>
      <c r="W2130"/>
      <c r="Z2130"/>
      <c r="AA2130"/>
      <c r="AC2130"/>
      <c r="AD2130"/>
      <c r="AE2130"/>
      <c r="AI2130" s="960"/>
      <c r="AM2130"/>
    </row>
    <row r="2131" spans="3:39" x14ac:dyDescent="0.2">
      <c r="C2131"/>
      <c r="D2131"/>
      <c r="E2131"/>
      <c r="F2131"/>
      <c r="G2131"/>
      <c r="H2131"/>
      <c r="I2131" s="532"/>
      <c r="V2131"/>
      <c r="W2131"/>
      <c r="Z2131"/>
      <c r="AA2131"/>
      <c r="AC2131"/>
      <c r="AD2131"/>
      <c r="AE2131"/>
      <c r="AI2131" s="960"/>
      <c r="AM2131"/>
    </row>
    <row r="2132" spans="3:39" x14ac:dyDescent="0.2">
      <c r="C2132"/>
      <c r="D2132"/>
      <c r="E2132"/>
      <c r="F2132"/>
      <c r="G2132"/>
      <c r="H2132"/>
      <c r="I2132" s="532"/>
      <c r="V2132"/>
      <c r="W2132"/>
      <c r="Z2132"/>
      <c r="AA2132"/>
      <c r="AC2132"/>
      <c r="AD2132"/>
      <c r="AE2132"/>
      <c r="AI2132" s="960"/>
      <c r="AM2132"/>
    </row>
    <row r="2133" spans="3:39" x14ac:dyDescent="0.2">
      <c r="C2133"/>
      <c r="D2133"/>
      <c r="E2133"/>
      <c r="F2133"/>
      <c r="G2133"/>
      <c r="H2133"/>
      <c r="I2133" s="532"/>
      <c r="V2133"/>
      <c r="W2133"/>
      <c r="Z2133"/>
      <c r="AA2133"/>
      <c r="AC2133"/>
      <c r="AD2133"/>
      <c r="AE2133"/>
      <c r="AI2133" s="960"/>
      <c r="AM2133"/>
    </row>
    <row r="2134" spans="3:39" x14ac:dyDescent="0.2">
      <c r="C2134"/>
      <c r="D2134"/>
      <c r="E2134"/>
      <c r="F2134"/>
      <c r="G2134"/>
      <c r="H2134"/>
      <c r="I2134" s="532"/>
      <c r="V2134"/>
      <c r="W2134"/>
      <c r="Z2134"/>
      <c r="AA2134"/>
      <c r="AC2134"/>
      <c r="AD2134"/>
      <c r="AE2134"/>
      <c r="AI2134" s="960"/>
      <c r="AM2134"/>
    </row>
    <row r="2135" spans="3:39" x14ac:dyDescent="0.2">
      <c r="C2135"/>
      <c r="D2135"/>
      <c r="E2135"/>
      <c r="F2135"/>
      <c r="G2135"/>
      <c r="H2135"/>
      <c r="I2135" s="532"/>
      <c r="V2135"/>
      <c r="W2135"/>
      <c r="Z2135"/>
      <c r="AA2135"/>
      <c r="AC2135"/>
      <c r="AD2135"/>
      <c r="AE2135"/>
      <c r="AI2135" s="960"/>
      <c r="AM2135"/>
    </row>
    <row r="2136" spans="3:39" x14ac:dyDescent="0.2">
      <c r="C2136"/>
      <c r="D2136"/>
      <c r="E2136"/>
      <c r="F2136"/>
      <c r="G2136"/>
      <c r="H2136"/>
      <c r="I2136" s="532"/>
      <c r="V2136"/>
      <c r="W2136"/>
      <c r="Z2136"/>
      <c r="AA2136"/>
      <c r="AC2136"/>
      <c r="AD2136"/>
      <c r="AE2136"/>
      <c r="AI2136" s="960"/>
      <c r="AM2136"/>
    </row>
    <row r="2137" spans="3:39" x14ac:dyDescent="0.2">
      <c r="C2137"/>
      <c r="D2137"/>
      <c r="E2137"/>
      <c r="F2137"/>
      <c r="G2137"/>
      <c r="H2137"/>
      <c r="I2137" s="532"/>
      <c r="V2137"/>
      <c r="W2137"/>
      <c r="Z2137"/>
      <c r="AA2137"/>
      <c r="AC2137"/>
      <c r="AD2137"/>
      <c r="AE2137"/>
      <c r="AI2137" s="960"/>
      <c r="AM2137"/>
    </row>
    <row r="2138" spans="3:39" x14ac:dyDescent="0.2">
      <c r="C2138"/>
      <c r="D2138"/>
      <c r="E2138"/>
      <c r="F2138"/>
      <c r="G2138"/>
      <c r="H2138"/>
      <c r="I2138" s="532"/>
      <c r="V2138"/>
      <c r="W2138"/>
      <c r="Z2138"/>
      <c r="AA2138"/>
      <c r="AC2138"/>
      <c r="AD2138"/>
      <c r="AE2138"/>
      <c r="AI2138" s="960"/>
      <c r="AM2138"/>
    </row>
    <row r="2139" spans="3:39" x14ac:dyDescent="0.2">
      <c r="C2139"/>
      <c r="D2139"/>
      <c r="E2139"/>
      <c r="F2139"/>
      <c r="G2139"/>
      <c r="H2139"/>
      <c r="I2139" s="532"/>
      <c r="V2139"/>
      <c r="W2139"/>
      <c r="Z2139"/>
      <c r="AA2139"/>
      <c r="AC2139"/>
      <c r="AD2139"/>
      <c r="AE2139"/>
      <c r="AI2139" s="960"/>
      <c r="AM2139"/>
    </row>
    <row r="2140" spans="3:39" x14ac:dyDescent="0.2">
      <c r="C2140"/>
      <c r="D2140"/>
      <c r="E2140"/>
      <c r="F2140"/>
      <c r="G2140"/>
      <c r="H2140"/>
      <c r="I2140" s="532"/>
      <c r="V2140"/>
      <c r="W2140"/>
      <c r="Z2140"/>
      <c r="AA2140"/>
      <c r="AC2140"/>
      <c r="AD2140"/>
      <c r="AE2140"/>
      <c r="AI2140" s="960"/>
      <c r="AM2140"/>
    </row>
    <row r="2141" spans="3:39" x14ac:dyDescent="0.2">
      <c r="C2141"/>
      <c r="D2141"/>
      <c r="E2141"/>
      <c r="F2141"/>
      <c r="G2141"/>
      <c r="H2141"/>
      <c r="I2141" s="532"/>
      <c r="V2141"/>
      <c r="W2141"/>
      <c r="Z2141"/>
      <c r="AA2141"/>
      <c r="AC2141"/>
      <c r="AD2141"/>
      <c r="AE2141"/>
      <c r="AI2141" s="960"/>
      <c r="AM2141"/>
    </row>
    <row r="2142" spans="3:39" x14ac:dyDescent="0.2">
      <c r="C2142"/>
      <c r="D2142"/>
      <c r="E2142"/>
      <c r="F2142"/>
      <c r="G2142"/>
      <c r="H2142"/>
      <c r="I2142" s="532"/>
      <c r="V2142"/>
      <c r="W2142"/>
      <c r="Z2142"/>
      <c r="AA2142"/>
      <c r="AC2142"/>
      <c r="AD2142"/>
      <c r="AE2142"/>
      <c r="AI2142" s="960"/>
      <c r="AM2142"/>
    </row>
    <row r="2143" spans="3:39" x14ac:dyDescent="0.2">
      <c r="C2143"/>
      <c r="D2143"/>
      <c r="E2143"/>
      <c r="F2143"/>
      <c r="G2143"/>
      <c r="H2143"/>
      <c r="I2143" s="532"/>
      <c r="V2143"/>
      <c r="W2143"/>
      <c r="Z2143"/>
      <c r="AA2143"/>
      <c r="AC2143"/>
      <c r="AD2143"/>
      <c r="AE2143"/>
      <c r="AI2143" s="960"/>
      <c r="AM2143"/>
    </row>
    <row r="2144" spans="3:39" x14ac:dyDescent="0.2">
      <c r="C2144"/>
      <c r="D2144"/>
      <c r="E2144"/>
      <c r="F2144"/>
      <c r="G2144"/>
      <c r="H2144"/>
      <c r="I2144" s="532"/>
      <c r="V2144"/>
      <c r="W2144"/>
      <c r="Z2144"/>
      <c r="AA2144"/>
      <c r="AC2144"/>
      <c r="AD2144"/>
      <c r="AE2144"/>
      <c r="AI2144" s="960"/>
      <c r="AM2144"/>
    </row>
    <row r="2145" spans="3:39" x14ac:dyDescent="0.2">
      <c r="C2145"/>
      <c r="D2145"/>
      <c r="E2145"/>
      <c r="F2145"/>
      <c r="G2145"/>
      <c r="H2145"/>
      <c r="I2145" s="532"/>
      <c r="V2145"/>
      <c r="W2145"/>
      <c r="Z2145"/>
      <c r="AA2145"/>
      <c r="AC2145"/>
      <c r="AD2145"/>
      <c r="AE2145"/>
      <c r="AI2145" s="960"/>
      <c r="AM2145"/>
    </row>
    <row r="2146" spans="3:39" x14ac:dyDescent="0.2">
      <c r="C2146"/>
      <c r="D2146"/>
      <c r="E2146"/>
      <c r="F2146"/>
      <c r="G2146"/>
      <c r="H2146"/>
      <c r="I2146" s="532"/>
      <c r="V2146"/>
      <c r="W2146"/>
      <c r="Z2146"/>
      <c r="AA2146"/>
      <c r="AC2146"/>
      <c r="AD2146"/>
      <c r="AE2146"/>
      <c r="AI2146" s="960"/>
      <c r="AM2146"/>
    </row>
    <row r="2147" spans="3:39" x14ac:dyDescent="0.2">
      <c r="C2147"/>
      <c r="D2147"/>
      <c r="E2147"/>
      <c r="F2147"/>
      <c r="G2147"/>
      <c r="H2147"/>
      <c r="I2147" s="532"/>
      <c r="V2147"/>
      <c r="W2147"/>
      <c r="Z2147"/>
      <c r="AA2147"/>
      <c r="AC2147"/>
      <c r="AD2147"/>
      <c r="AE2147"/>
      <c r="AI2147" s="960"/>
      <c r="AM2147"/>
    </row>
    <row r="2148" spans="3:39" x14ac:dyDescent="0.2">
      <c r="C2148"/>
      <c r="D2148"/>
      <c r="E2148"/>
      <c r="F2148"/>
      <c r="G2148"/>
      <c r="H2148"/>
      <c r="I2148" s="532"/>
      <c r="V2148"/>
      <c r="W2148"/>
      <c r="Z2148"/>
      <c r="AA2148"/>
      <c r="AC2148"/>
      <c r="AD2148"/>
      <c r="AE2148"/>
      <c r="AI2148" s="960"/>
      <c r="AM2148"/>
    </row>
    <row r="2149" spans="3:39" x14ac:dyDescent="0.2">
      <c r="C2149"/>
      <c r="D2149"/>
      <c r="E2149"/>
      <c r="F2149"/>
      <c r="G2149"/>
      <c r="H2149"/>
      <c r="I2149" s="532"/>
      <c r="V2149"/>
      <c r="W2149"/>
      <c r="Z2149"/>
      <c r="AA2149"/>
      <c r="AC2149"/>
      <c r="AD2149"/>
      <c r="AE2149"/>
      <c r="AI2149" s="960"/>
      <c r="AM2149"/>
    </row>
    <row r="2150" spans="3:39" x14ac:dyDescent="0.2">
      <c r="C2150"/>
      <c r="D2150"/>
      <c r="E2150"/>
      <c r="F2150"/>
      <c r="G2150"/>
      <c r="H2150"/>
      <c r="I2150" s="532"/>
      <c r="V2150"/>
      <c r="W2150"/>
      <c r="Z2150"/>
      <c r="AA2150"/>
      <c r="AC2150"/>
      <c r="AD2150"/>
      <c r="AE2150"/>
      <c r="AI2150" s="960"/>
      <c r="AM2150"/>
    </row>
    <row r="2151" spans="3:39" x14ac:dyDescent="0.2">
      <c r="C2151"/>
      <c r="D2151"/>
      <c r="E2151"/>
      <c r="F2151"/>
      <c r="G2151"/>
      <c r="H2151"/>
      <c r="I2151" s="532"/>
      <c r="V2151"/>
      <c r="W2151"/>
      <c r="Z2151"/>
      <c r="AA2151"/>
      <c r="AC2151"/>
      <c r="AD2151"/>
      <c r="AE2151"/>
      <c r="AI2151" s="960"/>
      <c r="AM2151"/>
    </row>
    <row r="2152" spans="3:39" x14ac:dyDescent="0.2">
      <c r="C2152"/>
      <c r="D2152"/>
      <c r="E2152"/>
      <c r="F2152"/>
      <c r="G2152"/>
      <c r="H2152"/>
      <c r="I2152" s="532"/>
      <c r="V2152"/>
      <c r="W2152"/>
      <c r="Z2152"/>
      <c r="AA2152"/>
      <c r="AC2152"/>
      <c r="AD2152"/>
      <c r="AE2152"/>
      <c r="AI2152" s="960"/>
      <c r="AM2152"/>
    </row>
    <row r="2153" spans="3:39" x14ac:dyDescent="0.2">
      <c r="C2153"/>
      <c r="D2153"/>
      <c r="E2153"/>
      <c r="F2153"/>
      <c r="G2153"/>
      <c r="H2153"/>
      <c r="I2153" s="532"/>
      <c r="V2153"/>
      <c r="W2153"/>
      <c r="Z2153"/>
      <c r="AA2153"/>
      <c r="AC2153"/>
      <c r="AD2153"/>
      <c r="AE2153"/>
      <c r="AI2153" s="960"/>
      <c r="AM2153"/>
    </row>
    <row r="2154" spans="3:39" x14ac:dyDescent="0.2">
      <c r="C2154"/>
      <c r="D2154"/>
      <c r="E2154"/>
      <c r="F2154"/>
      <c r="G2154"/>
      <c r="H2154"/>
      <c r="I2154" s="532"/>
      <c r="V2154"/>
      <c r="W2154"/>
      <c r="Z2154"/>
      <c r="AA2154"/>
      <c r="AC2154"/>
      <c r="AD2154"/>
      <c r="AE2154"/>
      <c r="AI2154" s="960"/>
      <c r="AM2154"/>
    </row>
    <row r="2155" spans="3:39" x14ac:dyDescent="0.2">
      <c r="C2155"/>
      <c r="D2155"/>
      <c r="E2155"/>
      <c r="F2155"/>
      <c r="G2155"/>
      <c r="H2155"/>
      <c r="I2155" s="532"/>
      <c r="V2155"/>
      <c r="W2155"/>
      <c r="Z2155"/>
      <c r="AA2155"/>
      <c r="AC2155"/>
      <c r="AD2155"/>
      <c r="AE2155"/>
      <c r="AI2155" s="960"/>
      <c r="AM2155"/>
    </row>
    <row r="2156" spans="3:39" x14ac:dyDescent="0.2">
      <c r="C2156"/>
      <c r="D2156"/>
      <c r="E2156"/>
      <c r="F2156"/>
      <c r="G2156"/>
      <c r="H2156"/>
      <c r="I2156" s="532"/>
      <c r="V2156"/>
      <c r="W2156"/>
      <c r="Z2156"/>
      <c r="AA2156"/>
      <c r="AC2156"/>
      <c r="AD2156"/>
      <c r="AE2156"/>
      <c r="AI2156" s="960"/>
      <c r="AM2156"/>
    </row>
    <row r="2157" spans="3:39" x14ac:dyDescent="0.2">
      <c r="C2157"/>
      <c r="D2157"/>
      <c r="E2157"/>
      <c r="F2157"/>
      <c r="G2157"/>
      <c r="H2157"/>
      <c r="I2157" s="532"/>
      <c r="V2157"/>
      <c r="W2157"/>
      <c r="Z2157"/>
      <c r="AA2157"/>
      <c r="AC2157"/>
      <c r="AD2157"/>
      <c r="AE2157"/>
      <c r="AI2157" s="960"/>
      <c r="AM2157"/>
    </row>
    <row r="2158" spans="3:39" x14ac:dyDescent="0.2">
      <c r="C2158"/>
      <c r="D2158"/>
      <c r="E2158"/>
      <c r="F2158"/>
      <c r="G2158"/>
      <c r="H2158"/>
      <c r="I2158" s="532"/>
      <c r="V2158"/>
      <c r="W2158"/>
      <c r="Z2158"/>
      <c r="AA2158"/>
      <c r="AC2158"/>
      <c r="AD2158"/>
      <c r="AE2158"/>
      <c r="AI2158" s="960"/>
      <c r="AM2158"/>
    </row>
    <row r="2159" spans="3:39" x14ac:dyDescent="0.2">
      <c r="C2159"/>
      <c r="D2159"/>
      <c r="E2159"/>
      <c r="F2159"/>
      <c r="G2159"/>
      <c r="H2159"/>
      <c r="I2159" s="532"/>
      <c r="V2159"/>
      <c r="W2159"/>
      <c r="Z2159"/>
      <c r="AA2159"/>
      <c r="AC2159"/>
      <c r="AD2159"/>
      <c r="AE2159"/>
      <c r="AI2159" s="960"/>
      <c r="AM2159"/>
    </row>
    <row r="2160" spans="3:39" x14ac:dyDescent="0.2">
      <c r="C2160"/>
      <c r="D2160"/>
      <c r="E2160"/>
      <c r="F2160"/>
      <c r="G2160"/>
      <c r="H2160"/>
      <c r="I2160" s="532"/>
      <c r="V2160"/>
      <c r="W2160"/>
      <c r="Z2160"/>
      <c r="AA2160"/>
      <c r="AC2160"/>
      <c r="AD2160"/>
      <c r="AE2160"/>
      <c r="AI2160" s="960"/>
      <c r="AM2160"/>
    </row>
    <row r="2161" spans="3:39" x14ac:dyDescent="0.2">
      <c r="C2161"/>
      <c r="D2161"/>
      <c r="E2161"/>
      <c r="F2161"/>
      <c r="G2161"/>
      <c r="H2161"/>
      <c r="I2161" s="532"/>
      <c r="V2161"/>
      <c r="W2161"/>
      <c r="Z2161"/>
      <c r="AA2161"/>
      <c r="AC2161"/>
      <c r="AD2161"/>
      <c r="AE2161"/>
      <c r="AI2161" s="960"/>
      <c r="AM2161"/>
    </row>
    <row r="2162" spans="3:39" x14ac:dyDescent="0.2">
      <c r="C2162"/>
      <c r="D2162"/>
      <c r="E2162"/>
      <c r="F2162"/>
      <c r="G2162"/>
      <c r="H2162"/>
      <c r="I2162" s="532"/>
      <c r="V2162"/>
      <c r="W2162"/>
      <c r="Z2162"/>
      <c r="AA2162"/>
      <c r="AC2162"/>
      <c r="AD2162"/>
      <c r="AE2162"/>
      <c r="AI2162" s="960"/>
      <c r="AM2162"/>
    </row>
    <row r="2163" spans="3:39" x14ac:dyDescent="0.2">
      <c r="C2163"/>
      <c r="D2163"/>
      <c r="E2163"/>
      <c r="F2163"/>
      <c r="G2163"/>
      <c r="H2163"/>
      <c r="I2163" s="532"/>
      <c r="V2163"/>
      <c r="W2163"/>
      <c r="Z2163"/>
      <c r="AA2163"/>
      <c r="AC2163"/>
      <c r="AD2163"/>
      <c r="AE2163"/>
      <c r="AI2163" s="960"/>
      <c r="AM2163"/>
    </row>
    <row r="2164" spans="3:39" x14ac:dyDescent="0.2">
      <c r="C2164"/>
      <c r="D2164"/>
      <c r="E2164"/>
      <c r="F2164"/>
      <c r="G2164"/>
      <c r="H2164"/>
      <c r="I2164" s="532"/>
      <c r="V2164"/>
      <c r="W2164"/>
      <c r="Z2164"/>
      <c r="AA2164"/>
      <c r="AC2164"/>
      <c r="AD2164"/>
      <c r="AE2164"/>
      <c r="AI2164" s="960"/>
      <c r="AM2164"/>
    </row>
    <row r="2165" spans="3:39" x14ac:dyDescent="0.2">
      <c r="C2165"/>
      <c r="D2165"/>
      <c r="E2165"/>
      <c r="F2165"/>
      <c r="G2165"/>
      <c r="H2165"/>
      <c r="I2165" s="532"/>
      <c r="V2165"/>
      <c r="W2165"/>
      <c r="Z2165"/>
      <c r="AA2165"/>
      <c r="AC2165"/>
      <c r="AD2165"/>
      <c r="AE2165"/>
      <c r="AI2165" s="960"/>
      <c r="AM2165"/>
    </row>
    <row r="2166" spans="3:39" x14ac:dyDescent="0.2">
      <c r="C2166"/>
      <c r="D2166"/>
      <c r="E2166"/>
      <c r="F2166"/>
      <c r="G2166"/>
      <c r="H2166"/>
      <c r="I2166" s="532"/>
      <c r="V2166"/>
      <c r="W2166"/>
      <c r="Z2166"/>
      <c r="AA2166"/>
      <c r="AC2166"/>
      <c r="AD2166"/>
      <c r="AE2166"/>
      <c r="AI2166" s="960"/>
      <c r="AM2166"/>
    </row>
    <row r="2167" spans="3:39" x14ac:dyDescent="0.2">
      <c r="C2167"/>
      <c r="D2167"/>
      <c r="E2167"/>
      <c r="F2167"/>
      <c r="G2167"/>
      <c r="H2167"/>
      <c r="I2167" s="532"/>
      <c r="V2167"/>
      <c r="W2167"/>
      <c r="Z2167"/>
      <c r="AA2167"/>
      <c r="AC2167"/>
      <c r="AD2167"/>
      <c r="AE2167"/>
      <c r="AI2167" s="960"/>
      <c r="AM2167"/>
    </row>
    <row r="2168" spans="3:39" x14ac:dyDescent="0.2">
      <c r="C2168"/>
      <c r="D2168"/>
      <c r="E2168"/>
      <c r="F2168"/>
      <c r="G2168"/>
      <c r="H2168"/>
      <c r="I2168" s="532"/>
      <c r="V2168"/>
      <c r="W2168"/>
      <c r="Z2168"/>
      <c r="AA2168"/>
      <c r="AC2168"/>
      <c r="AD2168"/>
      <c r="AE2168"/>
      <c r="AI2168" s="960"/>
      <c r="AM2168"/>
    </row>
    <row r="2169" spans="3:39" x14ac:dyDescent="0.2">
      <c r="C2169"/>
      <c r="D2169"/>
      <c r="E2169"/>
      <c r="F2169"/>
      <c r="G2169"/>
      <c r="H2169"/>
      <c r="I2169" s="532"/>
      <c r="V2169"/>
      <c r="W2169"/>
      <c r="Z2169"/>
      <c r="AA2169"/>
      <c r="AC2169"/>
      <c r="AD2169"/>
      <c r="AE2169"/>
      <c r="AI2169" s="960"/>
      <c r="AM2169"/>
    </row>
    <row r="2170" spans="3:39" x14ac:dyDescent="0.2">
      <c r="C2170"/>
      <c r="D2170"/>
      <c r="E2170"/>
      <c r="F2170"/>
      <c r="G2170"/>
      <c r="H2170"/>
      <c r="I2170" s="532"/>
      <c r="V2170"/>
      <c r="W2170"/>
      <c r="Z2170"/>
      <c r="AA2170"/>
      <c r="AC2170"/>
      <c r="AD2170"/>
      <c r="AE2170"/>
      <c r="AI2170" s="960"/>
      <c r="AM2170"/>
    </row>
    <row r="2171" spans="3:39" x14ac:dyDescent="0.2">
      <c r="C2171"/>
      <c r="D2171"/>
      <c r="E2171"/>
      <c r="F2171"/>
      <c r="G2171"/>
      <c r="H2171"/>
      <c r="I2171" s="532"/>
      <c r="V2171"/>
      <c r="W2171"/>
      <c r="Z2171"/>
      <c r="AA2171"/>
      <c r="AC2171"/>
      <c r="AD2171"/>
      <c r="AE2171"/>
      <c r="AI2171" s="960"/>
      <c r="AM2171"/>
    </row>
    <row r="2172" spans="3:39" x14ac:dyDescent="0.2">
      <c r="C2172"/>
      <c r="D2172"/>
      <c r="E2172"/>
      <c r="F2172"/>
      <c r="G2172"/>
      <c r="H2172"/>
      <c r="I2172" s="532"/>
      <c r="V2172"/>
      <c r="W2172"/>
      <c r="Z2172"/>
      <c r="AA2172"/>
      <c r="AC2172"/>
      <c r="AD2172"/>
      <c r="AE2172"/>
      <c r="AI2172" s="960"/>
      <c r="AM2172"/>
    </row>
    <row r="2173" spans="3:39" x14ac:dyDescent="0.2">
      <c r="C2173"/>
      <c r="D2173"/>
      <c r="E2173"/>
      <c r="F2173"/>
      <c r="G2173"/>
      <c r="H2173"/>
      <c r="I2173" s="532"/>
      <c r="V2173"/>
      <c r="W2173"/>
      <c r="Z2173"/>
      <c r="AA2173"/>
      <c r="AC2173"/>
      <c r="AD2173"/>
      <c r="AE2173"/>
      <c r="AI2173" s="960"/>
      <c r="AM2173"/>
    </row>
    <row r="2174" spans="3:39" x14ac:dyDescent="0.2">
      <c r="C2174"/>
      <c r="D2174"/>
      <c r="E2174"/>
      <c r="F2174"/>
      <c r="G2174"/>
      <c r="H2174"/>
      <c r="I2174" s="532"/>
      <c r="V2174"/>
      <c r="W2174"/>
      <c r="Z2174"/>
      <c r="AA2174"/>
      <c r="AC2174"/>
      <c r="AD2174"/>
      <c r="AE2174"/>
      <c r="AI2174" s="960"/>
      <c r="AM2174"/>
    </row>
    <row r="2175" spans="3:39" x14ac:dyDescent="0.2">
      <c r="C2175"/>
      <c r="D2175"/>
      <c r="E2175"/>
      <c r="F2175"/>
      <c r="G2175"/>
      <c r="H2175"/>
      <c r="I2175" s="532"/>
      <c r="V2175"/>
      <c r="W2175"/>
      <c r="Z2175"/>
      <c r="AA2175"/>
      <c r="AC2175"/>
      <c r="AD2175"/>
      <c r="AE2175"/>
      <c r="AI2175" s="960"/>
      <c r="AM2175"/>
    </row>
    <row r="2176" spans="3:39" x14ac:dyDescent="0.2">
      <c r="C2176"/>
      <c r="D2176"/>
      <c r="E2176"/>
      <c r="F2176"/>
      <c r="G2176"/>
      <c r="H2176"/>
      <c r="I2176" s="532"/>
      <c r="V2176"/>
      <c r="W2176"/>
      <c r="Z2176"/>
      <c r="AA2176"/>
      <c r="AC2176"/>
      <c r="AD2176"/>
      <c r="AE2176"/>
      <c r="AI2176" s="960"/>
      <c r="AM2176"/>
    </row>
    <row r="2177" spans="3:39" x14ac:dyDescent="0.2">
      <c r="C2177"/>
      <c r="D2177"/>
      <c r="E2177"/>
      <c r="F2177"/>
      <c r="G2177"/>
      <c r="H2177"/>
      <c r="I2177" s="532"/>
      <c r="V2177"/>
      <c r="W2177"/>
      <c r="Z2177"/>
      <c r="AA2177"/>
      <c r="AC2177"/>
      <c r="AD2177"/>
      <c r="AE2177"/>
      <c r="AI2177" s="960"/>
      <c r="AM2177"/>
    </row>
    <row r="2178" spans="3:39" x14ac:dyDescent="0.2">
      <c r="C2178"/>
      <c r="D2178"/>
      <c r="E2178"/>
      <c r="F2178"/>
      <c r="G2178"/>
      <c r="H2178"/>
      <c r="I2178" s="532"/>
      <c r="V2178"/>
      <c r="W2178"/>
      <c r="Z2178"/>
      <c r="AA2178"/>
      <c r="AC2178"/>
      <c r="AD2178"/>
      <c r="AE2178"/>
      <c r="AI2178" s="960"/>
      <c r="AM2178"/>
    </row>
    <row r="2179" spans="3:39" x14ac:dyDescent="0.2">
      <c r="C2179"/>
      <c r="D2179"/>
      <c r="E2179"/>
      <c r="F2179"/>
      <c r="G2179"/>
      <c r="H2179"/>
      <c r="I2179" s="532"/>
      <c r="V2179"/>
      <c r="W2179"/>
      <c r="Z2179"/>
      <c r="AA2179"/>
      <c r="AC2179"/>
      <c r="AD2179"/>
      <c r="AE2179"/>
      <c r="AI2179" s="960"/>
      <c r="AM2179"/>
    </row>
    <row r="2180" spans="3:39" x14ac:dyDescent="0.2">
      <c r="C2180"/>
      <c r="D2180"/>
      <c r="E2180"/>
      <c r="F2180"/>
      <c r="G2180"/>
      <c r="H2180"/>
      <c r="I2180" s="532"/>
      <c r="V2180"/>
      <c r="W2180"/>
      <c r="Z2180"/>
      <c r="AA2180"/>
      <c r="AC2180"/>
      <c r="AD2180"/>
      <c r="AE2180"/>
      <c r="AI2180" s="960"/>
      <c r="AM2180"/>
    </row>
    <row r="2181" spans="3:39" x14ac:dyDescent="0.2">
      <c r="C2181"/>
      <c r="D2181"/>
      <c r="E2181"/>
      <c r="F2181"/>
      <c r="G2181"/>
      <c r="H2181"/>
      <c r="I2181" s="532"/>
      <c r="V2181"/>
      <c r="W2181"/>
      <c r="Z2181"/>
      <c r="AA2181"/>
      <c r="AC2181"/>
      <c r="AD2181"/>
      <c r="AE2181"/>
      <c r="AI2181" s="960"/>
      <c r="AM2181"/>
    </row>
    <row r="2182" spans="3:39" x14ac:dyDescent="0.2">
      <c r="C2182"/>
      <c r="D2182"/>
      <c r="E2182"/>
      <c r="F2182"/>
      <c r="G2182"/>
      <c r="H2182"/>
      <c r="I2182" s="532"/>
      <c r="V2182"/>
      <c r="W2182"/>
      <c r="Z2182"/>
      <c r="AA2182"/>
      <c r="AC2182"/>
      <c r="AD2182"/>
      <c r="AE2182"/>
      <c r="AI2182" s="960"/>
      <c r="AM2182"/>
    </row>
    <row r="2183" spans="3:39" x14ac:dyDescent="0.2">
      <c r="C2183"/>
      <c r="D2183"/>
      <c r="E2183"/>
      <c r="F2183"/>
      <c r="G2183"/>
      <c r="H2183"/>
      <c r="I2183" s="532"/>
      <c r="V2183"/>
      <c r="W2183"/>
      <c r="Z2183"/>
      <c r="AA2183"/>
      <c r="AC2183"/>
      <c r="AD2183"/>
      <c r="AE2183"/>
      <c r="AI2183" s="960"/>
      <c r="AM2183"/>
    </row>
    <row r="2184" spans="3:39" x14ac:dyDescent="0.2">
      <c r="C2184"/>
      <c r="D2184"/>
      <c r="E2184"/>
      <c r="F2184"/>
      <c r="G2184"/>
      <c r="H2184"/>
      <c r="I2184" s="532"/>
      <c r="V2184"/>
      <c r="W2184"/>
      <c r="Z2184"/>
      <c r="AA2184"/>
      <c r="AC2184"/>
      <c r="AD2184"/>
      <c r="AE2184"/>
      <c r="AI2184" s="960"/>
      <c r="AM2184"/>
    </row>
    <row r="2185" spans="3:39" x14ac:dyDescent="0.2">
      <c r="C2185"/>
      <c r="D2185"/>
      <c r="E2185"/>
      <c r="F2185"/>
      <c r="G2185"/>
      <c r="H2185"/>
      <c r="I2185" s="532"/>
      <c r="V2185"/>
      <c r="W2185"/>
      <c r="Z2185"/>
      <c r="AA2185"/>
      <c r="AC2185"/>
      <c r="AD2185"/>
      <c r="AE2185"/>
      <c r="AI2185" s="960"/>
      <c r="AM2185"/>
    </row>
    <row r="2186" spans="3:39" x14ac:dyDescent="0.2">
      <c r="C2186"/>
      <c r="D2186"/>
      <c r="E2186"/>
      <c r="F2186"/>
      <c r="G2186"/>
      <c r="H2186"/>
      <c r="I2186" s="532"/>
      <c r="V2186"/>
      <c r="W2186"/>
      <c r="Z2186"/>
      <c r="AA2186"/>
      <c r="AC2186"/>
      <c r="AD2186"/>
      <c r="AE2186"/>
      <c r="AI2186" s="960"/>
      <c r="AM2186"/>
    </row>
    <row r="2187" spans="3:39" x14ac:dyDescent="0.2">
      <c r="C2187"/>
      <c r="D2187"/>
      <c r="E2187"/>
      <c r="F2187"/>
      <c r="G2187"/>
      <c r="H2187"/>
      <c r="I2187" s="532"/>
      <c r="V2187"/>
      <c r="W2187"/>
      <c r="Z2187"/>
      <c r="AA2187"/>
      <c r="AC2187"/>
      <c r="AD2187"/>
      <c r="AE2187"/>
      <c r="AI2187" s="960"/>
      <c r="AM2187"/>
    </row>
    <row r="2188" spans="3:39" x14ac:dyDescent="0.2">
      <c r="C2188"/>
      <c r="D2188"/>
      <c r="E2188"/>
      <c r="F2188"/>
      <c r="G2188"/>
      <c r="H2188"/>
      <c r="I2188" s="532"/>
      <c r="V2188"/>
      <c r="W2188"/>
      <c r="Z2188"/>
      <c r="AA2188"/>
      <c r="AC2188"/>
      <c r="AD2188"/>
      <c r="AE2188"/>
      <c r="AI2188" s="960"/>
      <c r="AM2188"/>
    </row>
    <row r="2189" spans="3:39" x14ac:dyDescent="0.2">
      <c r="C2189"/>
      <c r="D2189"/>
      <c r="E2189"/>
      <c r="F2189"/>
      <c r="G2189"/>
      <c r="H2189"/>
      <c r="I2189" s="532"/>
      <c r="V2189"/>
      <c r="W2189"/>
      <c r="Z2189"/>
      <c r="AA2189"/>
      <c r="AC2189"/>
      <c r="AD2189"/>
      <c r="AE2189"/>
      <c r="AI2189" s="960"/>
      <c r="AM2189"/>
    </row>
    <row r="2190" spans="3:39" x14ac:dyDescent="0.2">
      <c r="C2190"/>
      <c r="D2190"/>
      <c r="E2190"/>
      <c r="F2190"/>
      <c r="G2190"/>
      <c r="H2190"/>
      <c r="I2190" s="532"/>
      <c r="V2190"/>
      <c r="W2190"/>
      <c r="Z2190"/>
      <c r="AA2190"/>
      <c r="AC2190"/>
      <c r="AD2190"/>
      <c r="AE2190"/>
      <c r="AI2190" s="960"/>
      <c r="AM2190"/>
    </row>
    <row r="2191" spans="3:39" x14ac:dyDescent="0.2">
      <c r="C2191"/>
      <c r="D2191"/>
      <c r="E2191"/>
      <c r="F2191"/>
      <c r="G2191"/>
      <c r="H2191"/>
      <c r="I2191" s="532"/>
      <c r="V2191"/>
      <c r="W2191"/>
      <c r="Z2191"/>
      <c r="AA2191"/>
      <c r="AC2191"/>
      <c r="AD2191"/>
      <c r="AE2191"/>
      <c r="AI2191" s="960"/>
      <c r="AM2191"/>
    </row>
    <row r="2192" spans="3:39" x14ac:dyDescent="0.2">
      <c r="C2192"/>
      <c r="D2192"/>
      <c r="E2192"/>
      <c r="F2192"/>
      <c r="G2192"/>
      <c r="H2192"/>
      <c r="I2192" s="532"/>
      <c r="V2192"/>
      <c r="W2192"/>
      <c r="Z2192"/>
      <c r="AA2192"/>
      <c r="AC2192"/>
      <c r="AD2192"/>
      <c r="AE2192"/>
      <c r="AI2192" s="960"/>
      <c r="AM2192"/>
    </row>
    <row r="2193" spans="3:39" x14ac:dyDescent="0.2">
      <c r="C2193"/>
      <c r="D2193"/>
      <c r="E2193"/>
      <c r="F2193"/>
      <c r="G2193"/>
      <c r="H2193"/>
      <c r="I2193" s="532"/>
      <c r="V2193"/>
      <c r="W2193"/>
      <c r="Z2193"/>
      <c r="AA2193"/>
      <c r="AC2193"/>
      <c r="AD2193"/>
      <c r="AE2193"/>
      <c r="AI2193" s="960"/>
      <c r="AM2193"/>
    </row>
    <row r="2194" spans="3:39" x14ac:dyDescent="0.2">
      <c r="C2194"/>
      <c r="D2194"/>
      <c r="E2194"/>
      <c r="F2194"/>
      <c r="G2194"/>
      <c r="H2194"/>
      <c r="I2194" s="532"/>
      <c r="V2194"/>
      <c r="W2194"/>
      <c r="Z2194"/>
      <c r="AA2194"/>
      <c r="AC2194"/>
      <c r="AD2194"/>
      <c r="AE2194"/>
      <c r="AI2194" s="960"/>
      <c r="AM2194"/>
    </row>
    <row r="2195" spans="3:39" x14ac:dyDescent="0.2">
      <c r="C2195"/>
      <c r="D2195"/>
      <c r="E2195"/>
      <c r="F2195"/>
      <c r="G2195"/>
      <c r="H2195"/>
      <c r="I2195" s="532"/>
      <c r="V2195"/>
      <c r="W2195"/>
      <c r="Z2195"/>
      <c r="AA2195"/>
      <c r="AC2195"/>
      <c r="AD2195"/>
      <c r="AE2195"/>
      <c r="AI2195" s="960"/>
      <c r="AM2195"/>
    </row>
    <row r="2196" spans="3:39" x14ac:dyDescent="0.2">
      <c r="C2196"/>
      <c r="D2196"/>
      <c r="E2196"/>
      <c r="F2196"/>
      <c r="G2196"/>
      <c r="H2196"/>
      <c r="I2196" s="532"/>
      <c r="V2196"/>
      <c r="W2196"/>
      <c r="Z2196"/>
      <c r="AA2196"/>
      <c r="AC2196"/>
      <c r="AD2196"/>
      <c r="AE2196"/>
      <c r="AI2196" s="960"/>
      <c r="AM2196"/>
    </row>
    <row r="2197" spans="3:39" x14ac:dyDescent="0.2">
      <c r="C2197"/>
      <c r="D2197"/>
      <c r="E2197"/>
      <c r="F2197"/>
      <c r="G2197"/>
      <c r="H2197"/>
      <c r="I2197" s="532"/>
      <c r="V2197"/>
      <c r="W2197"/>
      <c r="Z2197"/>
      <c r="AA2197"/>
      <c r="AC2197"/>
      <c r="AD2197"/>
      <c r="AE2197"/>
      <c r="AI2197" s="960"/>
      <c r="AM2197"/>
    </row>
    <row r="2198" spans="3:39" x14ac:dyDescent="0.2">
      <c r="C2198"/>
      <c r="D2198"/>
      <c r="E2198"/>
      <c r="F2198"/>
      <c r="G2198"/>
      <c r="H2198"/>
      <c r="I2198" s="532"/>
      <c r="V2198"/>
      <c r="W2198"/>
      <c r="Z2198"/>
      <c r="AA2198"/>
      <c r="AC2198"/>
      <c r="AD2198"/>
      <c r="AE2198"/>
      <c r="AI2198" s="960"/>
      <c r="AM2198"/>
    </row>
    <row r="2199" spans="3:39" x14ac:dyDescent="0.2">
      <c r="C2199"/>
      <c r="D2199"/>
      <c r="E2199"/>
      <c r="F2199"/>
      <c r="G2199"/>
      <c r="H2199"/>
      <c r="I2199" s="532"/>
      <c r="V2199"/>
      <c r="W2199"/>
      <c r="Z2199"/>
      <c r="AA2199"/>
      <c r="AC2199"/>
      <c r="AD2199"/>
      <c r="AE2199"/>
      <c r="AI2199" s="960"/>
      <c r="AM2199"/>
    </row>
    <row r="2200" spans="3:39" x14ac:dyDescent="0.2">
      <c r="C2200"/>
      <c r="D2200"/>
      <c r="E2200"/>
      <c r="F2200"/>
      <c r="G2200"/>
      <c r="H2200"/>
      <c r="I2200" s="532"/>
      <c r="V2200"/>
      <c r="W2200"/>
      <c r="Z2200"/>
      <c r="AA2200"/>
      <c r="AC2200"/>
      <c r="AD2200"/>
      <c r="AE2200"/>
      <c r="AI2200" s="960"/>
      <c r="AM2200"/>
    </row>
    <row r="2201" spans="3:39" x14ac:dyDescent="0.2">
      <c r="C2201"/>
      <c r="D2201"/>
      <c r="E2201"/>
      <c r="F2201"/>
      <c r="G2201"/>
      <c r="H2201"/>
      <c r="I2201" s="532"/>
      <c r="V2201"/>
      <c r="W2201"/>
      <c r="Z2201"/>
      <c r="AA2201"/>
      <c r="AC2201"/>
      <c r="AD2201"/>
      <c r="AE2201"/>
      <c r="AI2201" s="960"/>
      <c r="AM2201"/>
    </row>
    <row r="2202" spans="3:39" x14ac:dyDescent="0.2">
      <c r="C2202"/>
      <c r="D2202"/>
      <c r="E2202"/>
      <c r="F2202"/>
      <c r="G2202"/>
      <c r="H2202"/>
      <c r="I2202" s="532"/>
      <c r="V2202"/>
      <c r="W2202"/>
      <c r="Z2202"/>
      <c r="AA2202"/>
      <c r="AC2202"/>
      <c r="AD2202"/>
      <c r="AE2202"/>
      <c r="AI2202" s="960"/>
      <c r="AM2202"/>
    </row>
    <row r="2203" spans="3:39" x14ac:dyDescent="0.2">
      <c r="C2203"/>
      <c r="D2203"/>
      <c r="E2203"/>
      <c r="F2203"/>
      <c r="G2203"/>
      <c r="H2203"/>
      <c r="I2203" s="532"/>
      <c r="V2203"/>
      <c r="W2203"/>
      <c r="Z2203"/>
      <c r="AA2203"/>
      <c r="AC2203"/>
      <c r="AD2203"/>
      <c r="AE2203"/>
      <c r="AI2203" s="960"/>
      <c r="AM2203"/>
    </row>
    <row r="2204" spans="3:39" x14ac:dyDescent="0.2">
      <c r="C2204"/>
      <c r="D2204"/>
      <c r="E2204"/>
      <c r="F2204"/>
      <c r="G2204"/>
      <c r="H2204"/>
      <c r="I2204" s="532"/>
      <c r="V2204"/>
      <c r="W2204"/>
      <c r="Z2204"/>
      <c r="AA2204"/>
      <c r="AC2204"/>
      <c r="AD2204"/>
      <c r="AE2204"/>
      <c r="AI2204" s="960"/>
      <c r="AM2204"/>
    </row>
    <row r="2205" spans="3:39" x14ac:dyDescent="0.2">
      <c r="C2205"/>
      <c r="D2205"/>
      <c r="E2205"/>
      <c r="F2205"/>
      <c r="G2205"/>
      <c r="H2205"/>
      <c r="I2205" s="532"/>
      <c r="V2205"/>
      <c r="W2205"/>
      <c r="Z2205"/>
      <c r="AA2205"/>
      <c r="AC2205"/>
      <c r="AD2205"/>
      <c r="AE2205"/>
      <c r="AI2205" s="960"/>
      <c r="AM2205"/>
    </row>
    <row r="2206" spans="3:39" x14ac:dyDescent="0.2">
      <c r="C2206"/>
      <c r="D2206"/>
      <c r="E2206"/>
      <c r="F2206"/>
      <c r="G2206"/>
      <c r="H2206"/>
      <c r="I2206" s="532"/>
      <c r="V2206"/>
      <c r="W2206"/>
      <c r="Z2206"/>
      <c r="AA2206"/>
      <c r="AC2206"/>
      <c r="AD2206"/>
      <c r="AE2206"/>
      <c r="AI2206" s="960"/>
      <c r="AM2206"/>
    </row>
    <row r="2207" spans="3:39" x14ac:dyDescent="0.2">
      <c r="C2207"/>
      <c r="D2207"/>
      <c r="E2207"/>
      <c r="F2207"/>
      <c r="G2207"/>
      <c r="H2207"/>
      <c r="I2207" s="532"/>
      <c r="V2207"/>
      <c r="W2207"/>
      <c r="Z2207"/>
      <c r="AA2207"/>
      <c r="AC2207"/>
      <c r="AD2207"/>
      <c r="AE2207"/>
      <c r="AI2207" s="960"/>
      <c r="AM2207"/>
    </row>
    <row r="2208" spans="3:39" x14ac:dyDescent="0.2">
      <c r="C2208"/>
      <c r="D2208"/>
      <c r="E2208"/>
      <c r="F2208"/>
      <c r="G2208"/>
      <c r="H2208"/>
      <c r="I2208" s="532"/>
      <c r="V2208"/>
      <c r="W2208"/>
      <c r="Z2208"/>
      <c r="AA2208"/>
      <c r="AC2208"/>
      <c r="AD2208"/>
      <c r="AE2208"/>
      <c r="AI2208" s="960"/>
      <c r="AM2208"/>
    </row>
    <row r="2209" spans="3:39" x14ac:dyDescent="0.2">
      <c r="C2209"/>
      <c r="D2209"/>
      <c r="E2209"/>
      <c r="F2209"/>
      <c r="G2209"/>
      <c r="H2209"/>
      <c r="I2209" s="532"/>
      <c r="V2209"/>
      <c r="W2209"/>
      <c r="Z2209"/>
      <c r="AA2209"/>
      <c r="AC2209"/>
      <c r="AD2209"/>
      <c r="AE2209"/>
      <c r="AI2209" s="960"/>
      <c r="AM2209"/>
    </row>
    <row r="2210" spans="3:39" x14ac:dyDescent="0.2">
      <c r="C2210"/>
      <c r="D2210"/>
      <c r="E2210"/>
      <c r="F2210"/>
      <c r="G2210"/>
      <c r="H2210"/>
      <c r="I2210" s="532"/>
      <c r="V2210"/>
      <c r="W2210"/>
      <c r="Z2210"/>
      <c r="AA2210"/>
      <c r="AC2210"/>
      <c r="AD2210"/>
      <c r="AE2210"/>
      <c r="AI2210" s="960"/>
      <c r="AM2210"/>
    </row>
    <row r="2211" spans="3:39" x14ac:dyDescent="0.2">
      <c r="C2211"/>
      <c r="D2211"/>
      <c r="E2211"/>
      <c r="F2211"/>
      <c r="G2211"/>
      <c r="H2211"/>
      <c r="I2211" s="532"/>
      <c r="V2211"/>
      <c r="W2211"/>
      <c r="Z2211"/>
      <c r="AA2211"/>
      <c r="AC2211"/>
      <c r="AD2211"/>
      <c r="AE2211"/>
      <c r="AI2211" s="960"/>
      <c r="AM2211"/>
    </row>
    <row r="2212" spans="3:39" x14ac:dyDescent="0.2">
      <c r="C2212"/>
      <c r="D2212"/>
      <c r="E2212"/>
      <c r="F2212"/>
      <c r="G2212"/>
      <c r="H2212"/>
      <c r="I2212" s="532"/>
      <c r="V2212"/>
      <c r="W2212"/>
      <c r="Z2212"/>
      <c r="AA2212"/>
      <c r="AC2212"/>
      <c r="AD2212"/>
      <c r="AE2212"/>
      <c r="AI2212" s="960"/>
      <c r="AM2212"/>
    </row>
    <row r="2213" spans="3:39" x14ac:dyDescent="0.2">
      <c r="C2213"/>
      <c r="D2213"/>
      <c r="E2213"/>
      <c r="F2213"/>
      <c r="G2213"/>
      <c r="H2213"/>
      <c r="I2213" s="532"/>
      <c r="V2213"/>
      <c r="W2213"/>
      <c r="Z2213"/>
      <c r="AA2213"/>
      <c r="AC2213"/>
      <c r="AD2213"/>
      <c r="AE2213"/>
      <c r="AI2213" s="960"/>
      <c r="AM2213"/>
    </row>
    <row r="2214" spans="3:39" x14ac:dyDescent="0.2">
      <c r="C2214"/>
      <c r="D2214"/>
      <c r="E2214"/>
      <c r="F2214"/>
      <c r="G2214"/>
      <c r="H2214"/>
      <c r="I2214" s="532"/>
      <c r="V2214"/>
      <c r="W2214"/>
      <c r="Z2214"/>
      <c r="AA2214"/>
      <c r="AC2214"/>
      <c r="AD2214"/>
      <c r="AE2214"/>
      <c r="AI2214" s="960"/>
      <c r="AM2214"/>
    </row>
    <row r="2215" spans="3:39" x14ac:dyDescent="0.2">
      <c r="C2215"/>
      <c r="D2215"/>
      <c r="E2215"/>
      <c r="F2215"/>
      <c r="G2215"/>
      <c r="H2215"/>
      <c r="I2215" s="532"/>
      <c r="V2215"/>
      <c r="W2215"/>
      <c r="Z2215"/>
      <c r="AA2215"/>
      <c r="AC2215"/>
      <c r="AD2215"/>
      <c r="AE2215"/>
      <c r="AI2215" s="960"/>
      <c r="AM2215"/>
    </row>
    <row r="2216" spans="3:39" x14ac:dyDescent="0.2">
      <c r="C2216"/>
      <c r="D2216"/>
      <c r="E2216"/>
      <c r="F2216"/>
      <c r="G2216"/>
      <c r="H2216"/>
      <c r="I2216" s="532"/>
      <c r="V2216"/>
      <c r="W2216"/>
      <c r="Z2216"/>
      <c r="AA2216"/>
      <c r="AC2216"/>
      <c r="AD2216"/>
      <c r="AE2216"/>
      <c r="AI2216" s="960"/>
      <c r="AM2216"/>
    </row>
    <row r="2217" spans="3:39" x14ac:dyDescent="0.2">
      <c r="C2217"/>
      <c r="D2217"/>
      <c r="E2217"/>
      <c r="F2217"/>
      <c r="G2217"/>
      <c r="H2217"/>
      <c r="I2217" s="532"/>
      <c r="V2217"/>
      <c r="W2217"/>
      <c r="Z2217"/>
      <c r="AA2217"/>
      <c r="AC2217"/>
      <c r="AD2217"/>
      <c r="AE2217"/>
      <c r="AI2217" s="960"/>
      <c r="AM2217"/>
    </row>
    <row r="2218" spans="3:39" x14ac:dyDescent="0.2">
      <c r="C2218"/>
      <c r="D2218"/>
      <c r="E2218"/>
      <c r="F2218"/>
      <c r="G2218"/>
      <c r="H2218"/>
      <c r="I2218" s="532"/>
      <c r="V2218"/>
      <c r="W2218"/>
      <c r="Z2218"/>
      <c r="AA2218"/>
      <c r="AC2218"/>
      <c r="AD2218"/>
      <c r="AE2218"/>
      <c r="AI2218" s="960"/>
      <c r="AM2218"/>
    </row>
    <row r="2219" spans="3:39" x14ac:dyDescent="0.2">
      <c r="C2219"/>
      <c r="D2219"/>
      <c r="E2219"/>
      <c r="F2219"/>
      <c r="G2219"/>
      <c r="H2219"/>
      <c r="I2219" s="532"/>
      <c r="V2219"/>
      <c r="W2219"/>
      <c r="Z2219"/>
      <c r="AA2219"/>
      <c r="AC2219"/>
      <c r="AD2219"/>
      <c r="AE2219"/>
      <c r="AI2219" s="960"/>
      <c r="AM2219"/>
    </row>
    <row r="2220" spans="3:39" x14ac:dyDescent="0.2">
      <c r="C2220"/>
      <c r="D2220"/>
      <c r="E2220"/>
      <c r="F2220"/>
      <c r="G2220"/>
      <c r="H2220"/>
      <c r="I2220" s="532"/>
      <c r="V2220"/>
      <c r="W2220"/>
      <c r="Z2220"/>
      <c r="AA2220"/>
      <c r="AC2220"/>
      <c r="AD2220"/>
      <c r="AE2220"/>
      <c r="AI2220" s="960"/>
      <c r="AM2220"/>
    </row>
    <row r="2221" spans="3:39" x14ac:dyDescent="0.2">
      <c r="C2221"/>
      <c r="D2221"/>
      <c r="E2221"/>
      <c r="F2221"/>
      <c r="G2221"/>
      <c r="H2221"/>
      <c r="I2221" s="532"/>
      <c r="V2221"/>
      <c r="W2221"/>
      <c r="Z2221"/>
      <c r="AA2221"/>
      <c r="AC2221"/>
      <c r="AD2221"/>
      <c r="AE2221"/>
      <c r="AI2221" s="960"/>
      <c r="AM2221"/>
    </row>
    <row r="2222" spans="3:39" x14ac:dyDescent="0.2">
      <c r="C2222"/>
      <c r="D2222"/>
      <c r="E2222"/>
      <c r="F2222"/>
      <c r="G2222"/>
      <c r="H2222"/>
      <c r="I2222" s="532"/>
      <c r="V2222"/>
      <c r="W2222"/>
      <c r="Z2222"/>
      <c r="AA2222"/>
      <c r="AC2222"/>
      <c r="AD2222"/>
      <c r="AE2222"/>
      <c r="AI2222" s="960"/>
      <c r="AM2222"/>
    </row>
    <row r="2223" spans="3:39" x14ac:dyDescent="0.2">
      <c r="C2223"/>
      <c r="D2223"/>
      <c r="E2223"/>
      <c r="F2223"/>
      <c r="G2223"/>
      <c r="H2223"/>
      <c r="I2223" s="532"/>
      <c r="V2223"/>
      <c r="W2223"/>
      <c r="Z2223"/>
      <c r="AA2223"/>
      <c r="AC2223"/>
      <c r="AD2223"/>
      <c r="AE2223"/>
      <c r="AI2223" s="960"/>
      <c r="AM2223"/>
    </row>
    <row r="2224" spans="3:39" x14ac:dyDescent="0.2">
      <c r="C2224"/>
      <c r="D2224"/>
      <c r="E2224"/>
      <c r="F2224"/>
      <c r="G2224"/>
      <c r="H2224"/>
      <c r="I2224" s="532"/>
      <c r="V2224"/>
      <c r="W2224"/>
      <c r="Z2224"/>
      <c r="AA2224"/>
      <c r="AC2224"/>
      <c r="AD2224"/>
      <c r="AE2224"/>
      <c r="AI2224" s="960"/>
      <c r="AM2224"/>
    </row>
    <row r="2225" spans="3:39" x14ac:dyDescent="0.2">
      <c r="C2225"/>
      <c r="D2225"/>
      <c r="E2225"/>
      <c r="F2225"/>
      <c r="G2225"/>
      <c r="H2225"/>
      <c r="I2225" s="532"/>
      <c r="V2225"/>
      <c r="W2225"/>
      <c r="Z2225"/>
      <c r="AA2225"/>
      <c r="AC2225"/>
      <c r="AD2225"/>
      <c r="AE2225"/>
      <c r="AI2225" s="960"/>
      <c r="AM2225"/>
    </row>
    <row r="2226" spans="3:39" x14ac:dyDescent="0.2">
      <c r="C2226"/>
      <c r="D2226"/>
      <c r="E2226"/>
      <c r="F2226"/>
      <c r="G2226"/>
      <c r="H2226"/>
      <c r="I2226" s="532"/>
      <c r="V2226"/>
      <c r="W2226"/>
      <c r="Z2226"/>
      <c r="AA2226"/>
      <c r="AC2226"/>
      <c r="AD2226"/>
      <c r="AE2226"/>
      <c r="AI2226" s="960"/>
      <c r="AM2226"/>
    </row>
    <row r="2227" spans="3:39" x14ac:dyDescent="0.2">
      <c r="C2227"/>
      <c r="D2227"/>
      <c r="E2227"/>
      <c r="F2227"/>
      <c r="G2227"/>
      <c r="H2227"/>
      <c r="I2227" s="532"/>
      <c r="V2227"/>
      <c r="W2227"/>
      <c r="Z2227"/>
      <c r="AA2227"/>
      <c r="AC2227"/>
      <c r="AD2227"/>
      <c r="AE2227"/>
      <c r="AI2227" s="960"/>
      <c r="AM2227"/>
    </row>
    <row r="2228" spans="3:39" x14ac:dyDescent="0.2">
      <c r="C2228"/>
      <c r="D2228"/>
      <c r="E2228"/>
      <c r="F2228"/>
      <c r="G2228"/>
      <c r="H2228"/>
      <c r="I2228" s="532"/>
      <c r="V2228"/>
      <c r="W2228"/>
      <c r="Z2228"/>
      <c r="AA2228"/>
      <c r="AC2228"/>
      <c r="AD2228"/>
      <c r="AE2228"/>
      <c r="AI2228" s="960"/>
      <c r="AM2228"/>
    </row>
    <row r="2229" spans="3:39" x14ac:dyDescent="0.2">
      <c r="C2229"/>
      <c r="D2229"/>
      <c r="E2229"/>
      <c r="F2229"/>
      <c r="G2229"/>
      <c r="H2229"/>
      <c r="I2229" s="532"/>
      <c r="V2229"/>
      <c r="W2229"/>
      <c r="Z2229"/>
      <c r="AA2229"/>
      <c r="AC2229"/>
      <c r="AD2229"/>
      <c r="AE2229"/>
      <c r="AI2229" s="960"/>
      <c r="AM2229"/>
    </row>
    <row r="2230" spans="3:39" x14ac:dyDescent="0.2">
      <c r="C2230"/>
      <c r="D2230"/>
      <c r="E2230"/>
      <c r="F2230"/>
      <c r="G2230"/>
      <c r="H2230"/>
      <c r="I2230" s="532"/>
      <c r="V2230"/>
      <c r="W2230"/>
      <c r="Z2230"/>
      <c r="AA2230"/>
      <c r="AC2230"/>
      <c r="AD2230"/>
      <c r="AE2230"/>
      <c r="AI2230" s="960"/>
      <c r="AM2230"/>
    </row>
    <row r="2231" spans="3:39" x14ac:dyDescent="0.2">
      <c r="C2231"/>
      <c r="D2231"/>
      <c r="E2231"/>
      <c r="F2231"/>
      <c r="G2231"/>
      <c r="H2231"/>
      <c r="I2231" s="532"/>
      <c r="V2231"/>
      <c r="W2231"/>
      <c r="Z2231"/>
      <c r="AA2231"/>
      <c r="AC2231"/>
      <c r="AD2231"/>
      <c r="AE2231"/>
      <c r="AI2231" s="960"/>
      <c r="AM2231"/>
    </row>
    <row r="2232" spans="3:39" x14ac:dyDescent="0.2">
      <c r="C2232"/>
      <c r="D2232"/>
      <c r="E2232"/>
      <c r="F2232"/>
      <c r="G2232"/>
      <c r="H2232"/>
      <c r="I2232" s="532"/>
      <c r="V2232"/>
      <c r="W2232"/>
      <c r="Z2232"/>
      <c r="AA2232"/>
      <c r="AC2232"/>
      <c r="AD2232"/>
      <c r="AE2232"/>
      <c r="AI2232" s="960"/>
      <c r="AM2232"/>
    </row>
    <row r="2233" spans="3:39" x14ac:dyDescent="0.2">
      <c r="C2233"/>
      <c r="D2233"/>
      <c r="E2233"/>
      <c r="F2233"/>
      <c r="G2233"/>
      <c r="H2233"/>
      <c r="I2233" s="532"/>
      <c r="V2233"/>
      <c r="W2233"/>
      <c r="Z2233"/>
      <c r="AA2233"/>
      <c r="AC2233"/>
      <c r="AD2233"/>
      <c r="AE2233"/>
      <c r="AI2233" s="960"/>
      <c r="AM2233"/>
    </row>
    <row r="2234" spans="3:39" x14ac:dyDescent="0.2">
      <c r="C2234"/>
      <c r="D2234"/>
      <c r="E2234"/>
      <c r="F2234"/>
      <c r="G2234"/>
      <c r="H2234"/>
      <c r="I2234" s="532"/>
      <c r="V2234"/>
      <c r="W2234"/>
      <c r="Z2234"/>
      <c r="AA2234"/>
      <c r="AC2234"/>
      <c r="AD2234"/>
      <c r="AE2234"/>
      <c r="AI2234" s="960"/>
      <c r="AM2234"/>
    </row>
    <row r="2235" spans="3:39" x14ac:dyDescent="0.2">
      <c r="C2235"/>
      <c r="D2235"/>
      <c r="E2235"/>
      <c r="F2235"/>
      <c r="G2235"/>
      <c r="H2235"/>
      <c r="I2235" s="532"/>
      <c r="V2235"/>
      <c r="W2235"/>
      <c r="Z2235"/>
      <c r="AA2235"/>
      <c r="AC2235"/>
      <c r="AD2235"/>
      <c r="AE2235"/>
      <c r="AI2235" s="960"/>
      <c r="AM2235"/>
    </row>
    <row r="2236" spans="3:39" x14ac:dyDescent="0.2">
      <c r="C2236"/>
      <c r="D2236"/>
      <c r="E2236"/>
      <c r="F2236"/>
      <c r="G2236"/>
      <c r="H2236"/>
      <c r="I2236" s="532"/>
      <c r="V2236"/>
      <c r="W2236"/>
      <c r="Z2236"/>
      <c r="AA2236"/>
      <c r="AC2236"/>
      <c r="AD2236"/>
      <c r="AE2236"/>
      <c r="AI2236" s="960"/>
      <c r="AM2236"/>
    </row>
    <row r="2237" spans="3:39" x14ac:dyDescent="0.2">
      <c r="C2237"/>
      <c r="D2237"/>
      <c r="E2237"/>
      <c r="F2237"/>
      <c r="G2237"/>
      <c r="H2237"/>
      <c r="I2237" s="532"/>
      <c r="V2237"/>
      <c r="W2237"/>
      <c r="Z2237"/>
      <c r="AA2237"/>
      <c r="AC2237"/>
      <c r="AD2237"/>
      <c r="AE2237"/>
      <c r="AI2237" s="960"/>
      <c r="AM2237"/>
    </row>
    <row r="2238" spans="3:39" x14ac:dyDescent="0.2">
      <c r="C2238"/>
      <c r="D2238"/>
      <c r="E2238"/>
      <c r="F2238"/>
      <c r="G2238"/>
      <c r="H2238"/>
      <c r="I2238" s="532"/>
      <c r="V2238"/>
      <c r="W2238"/>
      <c r="Z2238"/>
      <c r="AA2238"/>
      <c r="AC2238"/>
      <c r="AD2238"/>
      <c r="AE2238"/>
      <c r="AI2238" s="960"/>
      <c r="AM2238"/>
    </row>
    <row r="2239" spans="3:39" x14ac:dyDescent="0.2">
      <c r="C2239"/>
      <c r="D2239"/>
      <c r="E2239"/>
      <c r="F2239"/>
      <c r="G2239"/>
      <c r="H2239"/>
      <c r="I2239" s="532"/>
      <c r="V2239"/>
      <c r="W2239"/>
      <c r="Z2239"/>
      <c r="AA2239"/>
      <c r="AC2239"/>
      <c r="AD2239"/>
      <c r="AE2239"/>
      <c r="AI2239" s="960"/>
      <c r="AM2239"/>
    </row>
    <row r="2240" spans="3:39" x14ac:dyDescent="0.2">
      <c r="C2240"/>
      <c r="D2240"/>
      <c r="E2240"/>
      <c r="F2240"/>
      <c r="G2240"/>
      <c r="H2240"/>
      <c r="I2240" s="532"/>
      <c r="V2240"/>
      <c r="W2240"/>
      <c r="Z2240"/>
      <c r="AA2240"/>
      <c r="AC2240"/>
      <c r="AD2240"/>
      <c r="AE2240"/>
      <c r="AI2240" s="960"/>
      <c r="AM2240"/>
    </row>
    <row r="2241" spans="3:39" x14ac:dyDescent="0.2">
      <c r="C2241"/>
      <c r="D2241"/>
      <c r="E2241"/>
      <c r="F2241"/>
      <c r="G2241"/>
      <c r="H2241"/>
      <c r="I2241" s="532"/>
      <c r="V2241"/>
      <c r="W2241"/>
      <c r="Z2241"/>
      <c r="AA2241"/>
      <c r="AC2241"/>
      <c r="AD2241"/>
      <c r="AE2241"/>
      <c r="AI2241" s="960"/>
      <c r="AM2241"/>
    </row>
    <row r="2242" spans="3:39" x14ac:dyDescent="0.2">
      <c r="C2242"/>
      <c r="D2242"/>
      <c r="E2242"/>
      <c r="F2242"/>
      <c r="G2242"/>
      <c r="H2242"/>
      <c r="I2242" s="532"/>
      <c r="V2242"/>
      <c r="W2242"/>
      <c r="Z2242"/>
      <c r="AA2242"/>
      <c r="AC2242"/>
      <c r="AD2242"/>
      <c r="AE2242"/>
      <c r="AI2242" s="960"/>
      <c r="AM2242"/>
    </row>
    <row r="2243" spans="3:39" x14ac:dyDescent="0.2">
      <c r="C2243"/>
      <c r="D2243"/>
      <c r="E2243"/>
      <c r="F2243"/>
      <c r="G2243"/>
      <c r="H2243"/>
      <c r="I2243" s="532"/>
      <c r="V2243"/>
      <c r="W2243"/>
      <c r="Z2243"/>
      <c r="AA2243"/>
      <c r="AC2243"/>
      <c r="AD2243"/>
      <c r="AE2243"/>
      <c r="AI2243" s="960"/>
      <c r="AM2243"/>
    </row>
    <row r="2244" spans="3:39" x14ac:dyDescent="0.2">
      <c r="C2244"/>
      <c r="D2244"/>
      <c r="E2244"/>
      <c r="F2244"/>
      <c r="G2244"/>
      <c r="H2244"/>
      <c r="I2244" s="532"/>
      <c r="V2244"/>
      <c r="W2244"/>
      <c r="Z2244"/>
      <c r="AA2244"/>
      <c r="AC2244"/>
      <c r="AD2244"/>
      <c r="AE2244"/>
      <c r="AI2244" s="960"/>
      <c r="AM2244"/>
    </row>
    <row r="2245" spans="3:39" x14ac:dyDescent="0.2">
      <c r="C2245"/>
      <c r="D2245"/>
      <c r="E2245"/>
      <c r="F2245"/>
      <c r="G2245"/>
      <c r="H2245"/>
      <c r="I2245" s="532"/>
      <c r="V2245"/>
      <c r="W2245"/>
      <c r="Z2245"/>
      <c r="AA2245"/>
      <c r="AC2245"/>
      <c r="AD2245"/>
      <c r="AE2245"/>
      <c r="AI2245" s="960"/>
      <c r="AM2245"/>
    </row>
    <row r="2246" spans="3:39" x14ac:dyDescent="0.2">
      <c r="C2246"/>
      <c r="D2246"/>
      <c r="E2246"/>
      <c r="F2246"/>
      <c r="G2246"/>
      <c r="H2246"/>
      <c r="I2246" s="532"/>
      <c r="V2246"/>
      <c r="W2246"/>
      <c r="Z2246"/>
      <c r="AA2246"/>
      <c r="AC2246"/>
      <c r="AD2246"/>
      <c r="AE2246"/>
      <c r="AI2246" s="960"/>
      <c r="AM2246"/>
    </row>
    <row r="2247" spans="3:39" x14ac:dyDescent="0.2">
      <c r="C2247"/>
      <c r="D2247"/>
      <c r="E2247"/>
      <c r="F2247"/>
      <c r="G2247"/>
      <c r="H2247"/>
      <c r="I2247" s="532"/>
      <c r="V2247"/>
      <c r="W2247"/>
      <c r="Z2247"/>
      <c r="AA2247"/>
      <c r="AC2247"/>
      <c r="AD2247"/>
      <c r="AE2247"/>
      <c r="AI2247" s="960"/>
      <c r="AM2247"/>
    </row>
    <row r="2248" spans="3:39" x14ac:dyDescent="0.2">
      <c r="C2248"/>
      <c r="D2248"/>
      <c r="E2248"/>
      <c r="F2248"/>
      <c r="G2248"/>
      <c r="H2248"/>
      <c r="I2248" s="532"/>
      <c r="V2248"/>
      <c r="W2248"/>
      <c r="Z2248"/>
      <c r="AA2248"/>
      <c r="AC2248"/>
      <c r="AD2248"/>
      <c r="AE2248"/>
      <c r="AI2248" s="960"/>
      <c r="AM2248"/>
    </row>
    <row r="2249" spans="3:39" x14ac:dyDescent="0.2">
      <c r="C2249"/>
      <c r="D2249"/>
      <c r="E2249"/>
      <c r="F2249"/>
      <c r="G2249"/>
      <c r="H2249"/>
      <c r="I2249" s="532"/>
      <c r="V2249"/>
      <c r="W2249"/>
      <c r="Z2249"/>
      <c r="AA2249"/>
      <c r="AC2249"/>
      <c r="AD2249"/>
      <c r="AE2249"/>
      <c r="AI2249" s="960"/>
      <c r="AM2249"/>
    </row>
    <row r="2250" spans="3:39" x14ac:dyDescent="0.2">
      <c r="C2250"/>
      <c r="D2250"/>
      <c r="E2250"/>
      <c r="F2250"/>
      <c r="G2250"/>
      <c r="H2250"/>
      <c r="I2250" s="532"/>
      <c r="V2250"/>
      <c r="W2250"/>
      <c r="Z2250"/>
      <c r="AA2250"/>
      <c r="AC2250"/>
      <c r="AD2250"/>
      <c r="AE2250"/>
      <c r="AI2250" s="960"/>
      <c r="AM2250"/>
    </row>
    <row r="2251" spans="3:39" x14ac:dyDescent="0.2">
      <c r="C2251"/>
      <c r="D2251"/>
      <c r="E2251"/>
      <c r="F2251"/>
      <c r="G2251"/>
      <c r="H2251"/>
      <c r="I2251" s="532"/>
      <c r="V2251"/>
      <c r="W2251"/>
      <c r="Z2251"/>
      <c r="AA2251"/>
      <c r="AC2251"/>
      <c r="AD2251"/>
      <c r="AE2251"/>
      <c r="AI2251" s="960"/>
      <c r="AM2251"/>
    </row>
    <row r="2252" spans="3:39" x14ac:dyDescent="0.2">
      <c r="C2252"/>
      <c r="D2252"/>
      <c r="E2252"/>
      <c r="F2252"/>
      <c r="G2252"/>
      <c r="H2252"/>
      <c r="I2252" s="532"/>
      <c r="V2252"/>
      <c r="W2252"/>
      <c r="Z2252"/>
      <c r="AA2252"/>
      <c r="AC2252"/>
      <c r="AD2252"/>
      <c r="AE2252"/>
      <c r="AI2252" s="960"/>
      <c r="AM2252"/>
    </row>
    <row r="2253" spans="3:39" x14ac:dyDescent="0.2">
      <c r="C2253"/>
      <c r="D2253"/>
      <c r="E2253"/>
      <c r="F2253"/>
      <c r="G2253"/>
      <c r="H2253"/>
      <c r="I2253" s="532"/>
      <c r="V2253"/>
      <c r="W2253"/>
      <c r="Z2253"/>
      <c r="AA2253"/>
      <c r="AC2253"/>
      <c r="AD2253"/>
      <c r="AE2253"/>
      <c r="AI2253" s="960"/>
      <c r="AM2253"/>
    </row>
    <row r="2254" spans="3:39" x14ac:dyDescent="0.2">
      <c r="C2254"/>
      <c r="D2254"/>
      <c r="E2254"/>
      <c r="F2254"/>
      <c r="G2254"/>
      <c r="H2254"/>
      <c r="I2254" s="532"/>
      <c r="V2254"/>
      <c r="W2254"/>
      <c r="Z2254"/>
      <c r="AA2254"/>
      <c r="AC2254"/>
      <c r="AD2254"/>
      <c r="AE2254"/>
      <c r="AI2254" s="960"/>
      <c r="AM2254"/>
    </row>
    <row r="2255" spans="3:39" x14ac:dyDescent="0.2">
      <c r="C2255"/>
      <c r="D2255"/>
      <c r="E2255"/>
      <c r="F2255"/>
      <c r="G2255"/>
      <c r="H2255"/>
      <c r="I2255" s="532"/>
      <c r="V2255"/>
      <c r="W2255"/>
      <c r="Z2255"/>
      <c r="AA2255"/>
      <c r="AC2255"/>
      <c r="AD2255"/>
      <c r="AE2255"/>
      <c r="AI2255" s="960"/>
      <c r="AM2255"/>
    </row>
    <row r="2256" spans="3:39" x14ac:dyDescent="0.2">
      <c r="C2256"/>
      <c r="D2256"/>
      <c r="E2256"/>
      <c r="F2256"/>
      <c r="G2256"/>
      <c r="H2256"/>
      <c r="I2256" s="532"/>
      <c r="V2256"/>
      <c r="W2256"/>
      <c r="Z2256"/>
      <c r="AA2256"/>
      <c r="AC2256"/>
      <c r="AD2256"/>
      <c r="AE2256"/>
      <c r="AI2256" s="960"/>
      <c r="AM2256"/>
    </row>
    <row r="2257" spans="3:39" x14ac:dyDescent="0.2">
      <c r="C2257"/>
      <c r="D2257"/>
      <c r="E2257"/>
      <c r="F2257"/>
      <c r="G2257"/>
      <c r="H2257"/>
      <c r="I2257" s="532"/>
      <c r="V2257"/>
      <c r="W2257"/>
      <c r="Z2257"/>
      <c r="AA2257"/>
      <c r="AC2257"/>
      <c r="AD2257"/>
      <c r="AE2257"/>
      <c r="AI2257" s="960"/>
      <c r="AM2257"/>
    </row>
    <row r="2258" spans="3:39" x14ac:dyDescent="0.2">
      <c r="C2258"/>
      <c r="D2258"/>
      <c r="E2258"/>
      <c r="F2258"/>
      <c r="G2258"/>
      <c r="H2258"/>
      <c r="I2258" s="532"/>
      <c r="V2258"/>
      <c r="W2258"/>
      <c r="Z2258"/>
      <c r="AA2258"/>
      <c r="AC2258"/>
      <c r="AD2258"/>
      <c r="AE2258"/>
      <c r="AI2258" s="960"/>
      <c r="AM2258"/>
    </row>
    <row r="2259" spans="3:39" x14ac:dyDescent="0.2">
      <c r="C2259"/>
      <c r="D2259"/>
      <c r="E2259"/>
      <c r="F2259"/>
      <c r="G2259"/>
      <c r="H2259"/>
      <c r="I2259" s="532"/>
      <c r="V2259"/>
      <c r="W2259"/>
      <c r="Z2259"/>
      <c r="AA2259"/>
      <c r="AC2259"/>
      <c r="AD2259"/>
      <c r="AE2259"/>
      <c r="AI2259" s="960"/>
      <c r="AM2259"/>
    </row>
    <row r="2260" spans="3:39" x14ac:dyDescent="0.2">
      <c r="C2260"/>
      <c r="D2260"/>
      <c r="E2260"/>
      <c r="F2260"/>
      <c r="G2260"/>
      <c r="H2260"/>
      <c r="I2260" s="532"/>
      <c r="V2260"/>
      <c r="W2260"/>
      <c r="Z2260"/>
      <c r="AA2260"/>
      <c r="AC2260"/>
      <c r="AD2260"/>
      <c r="AE2260"/>
      <c r="AI2260" s="960"/>
      <c r="AM2260"/>
    </row>
    <row r="2261" spans="3:39" x14ac:dyDescent="0.2">
      <c r="C2261"/>
      <c r="D2261"/>
      <c r="E2261"/>
      <c r="F2261"/>
      <c r="G2261"/>
      <c r="H2261"/>
      <c r="I2261" s="532"/>
      <c r="V2261"/>
      <c r="W2261"/>
      <c r="Z2261"/>
      <c r="AA2261"/>
      <c r="AC2261"/>
      <c r="AD2261"/>
      <c r="AE2261"/>
      <c r="AI2261" s="960"/>
      <c r="AM2261"/>
    </row>
    <row r="2262" spans="3:39" x14ac:dyDescent="0.2">
      <c r="C2262"/>
      <c r="D2262"/>
      <c r="E2262"/>
      <c r="F2262"/>
      <c r="G2262"/>
      <c r="H2262"/>
      <c r="I2262" s="532"/>
      <c r="V2262"/>
      <c r="W2262"/>
      <c r="Z2262"/>
      <c r="AA2262"/>
      <c r="AC2262"/>
      <c r="AD2262"/>
      <c r="AE2262"/>
      <c r="AI2262" s="960"/>
      <c r="AM2262"/>
    </row>
    <row r="2263" spans="3:39" x14ac:dyDescent="0.2">
      <c r="C2263"/>
      <c r="D2263"/>
      <c r="E2263"/>
      <c r="F2263"/>
      <c r="G2263"/>
      <c r="H2263"/>
      <c r="I2263" s="532"/>
      <c r="V2263"/>
      <c r="W2263"/>
      <c r="Z2263"/>
      <c r="AA2263"/>
      <c r="AC2263"/>
      <c r="AD2263"/>
      <c r="AE2263"/>
      <c r="AI2263" s="960"/>
      <c r="AM2263"/>
    </row>
    <row r="2264" spans="3:39" x14ac:dyDescent="0.2">
      <c r="C2264"/>
      <c r="D2264"/>
      <c r="E2264"/>
      <c r="F2264"/>
      <c r="G2264"/>
      <c r="H2264"/>
      <c r="I2264" s="532"/>
      <c r="V2264"/>
      <c r="W2264"/>
      <c r="Z2264"/>
      <c r="AA2264"/>
      <c r="AC2264"/>
      <c r="AD2264"/>
      <c r="AE2264"/>
      <c r="AI2264" s="960"/>
      <c r="AM2264"/>
    </row>
    <row r="2265" spans="3:39" x14ac:dyDescent="0.2">
      <c r="C2265"/>
      <c r="D2265"/>
      <c r="E2265"/>
      <c r="F2265"/>
      <c r="G2265"/>
      <c r="H2265"/>
      <c r="I2265" s="532"/>
      <c r="V2265"/>
      <c r="W2265"/>
      <c r="Z2265"/>
      <c r="AA2265"/>
      <c r="AC2265"/>
      <c r="AD2265"/>
      <c r="AE2265"/>
      <c r="AI2265" s="960"/>
      <c r="AM2265"/>
    </row>
    <row r="2266" spans="3:39" x14ac:dyDescent="0.2">
      <c r="C2266"/>
      <c r="D2266"/>
      <c r="E2266"/>
      <c r="F2266"/>
      <c r="G2266"/>
      <c r="H2266"/>
      <c r="I2266" s="532"/>
      <c r="V2266"/>
      <c r="W2266"/>
      <c r="Z2266"/>
      <c r="AA2266"/>
      <c r="AC2266"/>
      <c r="AD2266"/>
      <c r="AE2266"/>
      <c r="AI2266" s="960"/>
      <c r="AM2266"/>
    </row>
    <row r="2267" spans="3:39" x14ac:dyDescent="0.2">
      <c r="C2267"/>
      <c r="D2267"/>
      <c r="E2267"/>
      <c r="F2267"/>
      <c r="G2267"/>
      <c r="H2267"/>
      <c r="I2267" s="532"/>
      <c r="V2267"/>
      <c r="W2267"/>
      <c r="Z2267"/>
      <c r="AA2267"/>
      <c r="AC2267"/>
      <c r="AD2267"/>
      <c r="AE2267"/>
      <c r="AI2267" s="960"/>
      <c r="AM2267"/>
    </row>
    <row r="2268" spans="3:39" x14ac:dyDescent="0.2">
      <c r="C2268"/>
      <c r="D2268"/>
      <c r="E2268"/>
      <c r="F2268"/>
      <c r="G2268"/>
      <c r="H2268"/>
      <c r="I2268" s="532"/>
      <c r="V2268"/>
      <c r="W2268"/>
      <c r="Z2268"/>
      <c r="AA2268"/>
      <c r="AC2268"/>
      <c r="AD2268"/>
      <c r="AE2268"/>
      <c r="AI2268" s="960"/>
      <c r="AM2268"/>
    </row>
    <row r="2269" spans="3:39" x14ac:dyDescent="0.2">
      <c r="C2269"/>
      <c r="D2269"/>
      <c r="E2269"/>
      <c r="F2269"/>
      <c r="G2269"/>
      <c r="H2269"/>
      <c r="I2269" s="532"/>
      <c r="V2269"/>
      <c r="W2269"/>
      <c r="Z2269"/>
      <c r="AA2269"/>
      <c r="AC2269"/>
      <c r="AD2269"/>
      <c r="AE2269"/>
      <c r="AI2269" s="960"/>
      <c r="AM2269"/>
    </row>
    <row r="2270" spans="3:39" x14ac:dyDescent="0.2">
      <c r="C2270"/>
      <c r="D2270"/>
      <c r="E2270"/>
      <c r="F2270"/>
      <c r="G2270"/>
      <c r="H2270"/>
      <c r="I2270" s="532"/>
      <c r="V2270"/>
      <c r="W2270"/>
      <c r="Z2270"/>
      <c r="AA2270"/>
      <c r="AC2270"/>
      <c r="AD2270"/>
      <c r="AE2270"/>
      <c r="AI2270" s="960"/>
      <c r="AM2270"/>
    </row>
    <row r="2271" spans="3:39" x14ac:dyDescent="0.2">
      <c r="C2271"/>
      <c r="D2271"/>
      <c r="E2271"/>
      <c r="F2271"/>
      <c r="G2271"/>
      <c r="H2271"/>
      <c r="I2271" s="532"/>
      <c r="V2271"/>
      <c r="W2271"/>
      <c r="Z2271"/>
      <c r="AA2271"/>
      <c r="AC2271"/>
      <c r="AD2271"/>
      <c r="AE2271"/>
      <c r="AI2271" s="960"/>
      <c r="AM2271"/>
    </row>
    <row r="2272" spans="3:39" x14ac:dyDescent="0.2">
      <c r="C2272"/>
      <c r="D2272"/>
      <c r="E2272"/>
      <c r="F2272"/>
      <c r="G2272"/>
      <c r="H2272"/>
      <c r="I2272" s="532"/>
      <c r="V2272"/>
      <c r="W2272"/>
      <c r="Z2272"/>
      <c r="AA2272"/>
      <c r="AC2272"/>
      <c r="AD2272"/>
      <c r="AE2272"/>
      <c r="AI2272" s="960"/>
      <c r="AM2272"/>
    </row>
    <row r="2273" spans="3:39" x14ac:dyDescent="0.2">
      <c r="C2273"/>
      <c r="D2273"/>
      <c r="E2273"/>
      <c r="F2273"/>
      <c r="G2273"/>
      <c r="H2273"/>
      <c r="I2273" s="532"/>
      <c r="V2273"/>
      <c r="W2273"/>
      <c r="Z2273"/>
      <c r="AA2273"/>
      <c r="AC2273"/>
      <c r="AD2273"/>
      <c r="AE2273"/>
      <c r="AI2273" s="960"/>
      <c r="AM2273"/>
    </row>
    <row r="2274" spans="3:39" x14ac:dyDescent="0.2">
      <c r="C2274"/>
      <c r="D2274"/>
      <c r="E2274"/>
      <c r="F2274"/>
      <c r="G2274"/>
      <c r="H2274"/>
      <c r="I2274" s="532"/>
      <c r="V2274"/>
      <c r="W2274"/>
      <c r="Z2274"/>
      <c r="AA2274"/>
      <c r="AC2274"/>
      <c r="AD2274"/>
      <c r="AE2274"/>
      <c r="AI2274" s="960"/>
      <c r="AM2274"/>
    </row>
    <row r="2275" spans="3:39" x14ac:dyDescent="0.2">
      <c r="C2275"/>
      <c r="D2275"/>
      <c r="E2275"/>
      <c r="F2275"/>
      <c r="G2275"/>
      <c r="H2275"/>
      <c r="I2275" s="532"/>
      <c r="V2275"/>
      <c r="W2275"/>
      <c r="Z2275"/>
      <c r="AA2275"/>
      <c r="AC2275"/>
      <c r="AD2275"/>
      <c r="AE2275"/>
      <c r="AI2275" s="960"/>
      <c r="AM2275"/>
    </row>
    <row r="2276" spans="3:39" x14ac:dyDescent="0.2">
      <c r="C2276"/>
      <c r="D2276"/>
      <c r="E2276"/>
      <c r="F2276"/>
      <c r="G2276"/>
      <c r="H2276"/>
      <c r="I2276" s="532"/>
      <c r="V2276"/>
      <c r="W2276"/>
      <c r="Z2276"/>
      <c r="AA2276"/>
      <c r="AC2276"/>
      <c r="AD2276"/>
      <c r="AE2276"/>
      <c r="AI2276" s="960"/>
      <c r="AM2276"/>
    </row>
    <row r="2277" spans="3:39" x14ac:dyDescent="0.2">
      <c r="C2277"/>
      <c r="D2277"/>
      <c r="E2277"/>
      <c r="F2277"/>
      <c r="G2277"/>
      <c r="H2277"/>
      <c r="I2277" s="532"/>
      <c r="V2277"/>
      <c r="W2277"/>
      <c r="Z2277"/>
      <c r="AA2277"/>
      <c r="AC2277"/>
      <c r="AD2277"/>
      <c r="AE2277"/>
      <c r="AI2277" s="960"/>
      <c r="AM2277"/>
    </row>
    <row r="2278" spans="3:39" x14ac:dyDescent="0.2">
      <c r="C2278"/>
      <c r="D2278"/>
      <c r="E2278"/>
      <c r="F2278"/>
      <c r="G2278"/>
      <c r="H2278"/>
      <c r="I2278" s="532"/>
      <c r="V2278"/>
      <c r="W2278"/>
      <c r="Z2278"/>
      <c r="AA2278"/>
      <c r="AC2278"/>
      <c r="AD2278"/>
      <c r="AE2278"/>
      <c r="AI2278" s="960"/>
      <c r="AM2278"/>
    </row>
    <row r="2279" spans="3:39" x14ac:dyDescent="0.2">
      <c r="C2279"/>
      <c r="D2279"/>
      <c r="E2279"/>
      <c r="F2279"/>
      <c r="G2279"/>
      <c r="H2279"/>
      <c r="I2279" s="532"/>
      <c r="V2279"/>
      <c r="W2279"/>
      <c r="Z2279"/>
      <c r="AA2279"/>
      <c r="AC2279"/>
      <c r="AD2279"/>
      <c r="AE2279"/>
      <c r="AI2279" s="960"/>
      <c r="AM2279"/>
    </row>
    <row r="2280" spans="3:39" x14ac:dyDescent="0.2">
      <c r="C2280"/>
      <c r="D2280"/>
      <c r="E2280"/>
      <c r="F2280"/>
      <c r="G2280"/>
      <c r="H2280"/>
      <c r="I2280" s="532"/>
      <c r="V2280"/>
      <c r="W2280"/>
      <c r="Z2280"/>
      <c r="AA2280"/>
      <c r="AC2280"/>
      <c r="AD2280"/>
      <c r="AE2280"/>
      <c r="AI2280" s="960"/>
      <c r="AM2280"/>
    </row>
    <row r="2281" spans="3:39" x14ac:dyDescent="0.2">
      <c r="C2281"/>
      <c r="D2281"/>
      <c r="E2281"/>
      <c r="F2281"/>
      <c r="G2281"/>
      <c r="H2281"/>
      <c r="I2281" s="532"/>
      <c r="V2281"/>
      <c r="W2281"/>
      <c r="Z2281"/>
      <c r="AA2281"/>
      <c r="AC2281"/>
      <c r="AD2281"/>
      <c r="AE2281"/>
      <c r="AI2281" s="960"/>
      <c r="AM2281"/>
    </row>
    <row r="2282" spans="3:39" x14ac:dyDescent="0.2">
      <c r="C2282"/>
      <c r="D2282"/>
      <c r="E2282"/>
      <c r="F2282"/>
      <c r="G2282"/>
      <c r="H2282"/>
      <c r="I2282" s="532"/>
      <c r="V2282"/>
      <c r="W2282"/>
      <c r="Z2282"/>
      <c r="AA2282"/>
      <c r="AC2282"/>
      <c r="AD2282"/>
      <c r="AE2282"/>
      <c r="AI2282" s="960"/>
      <c r="AM2282"/>
    </row>
    <row r="2283" spans="3:39" x14ac:dyDescent="0.2">
      <c r="C2283"/>
      <c r="D2283"/>
      <c r="E2283"/>
      <c r="F2283"/>
      <c r="G2283"/>
      <c r="H2283"/>
      <c r="I2283" s="532"/>
      <c r="V2283"/>
      <c r="W2283"/>
      <c r="Z2283"/>
      <c r="AA2283"/>
      <c r="AC2283"/>
      <c r="AD2283"/>
      <c r="AE2283"/>
      <c r="AI2283" s="960"/>
      <c r="AM2283"/>
    </row>
    <row r="2284" spans="3:39" x14ac:dyDescent="0.2">
      <c r="C2284"/>
      <c r="D2284"/>
      <c r="E2284"/>
      <c r="F2284"/>
      <c r="G2284"/>
      <c r="H2284"/>
      <c r="I2284" s="532"/>
      <c r="V2284"/>
      <c r="W2284"/>
      <c r="Z2284"/>
      <c r="AA2284"/>
      <c r="AC2284"/>
      <c r="AD2284"/>
      <c r="AE2284"/>
      <c r="AI2284" s="960"/>
      <c r="AM2284"/>
    </row>
    <row r="2285" spans="3:39" x14ac:dyDescent="0.2">
      <c r="C2285"/>
      <c r="D2285"/>
      <c r="E2285"/>
      <c r="F2285"/>
      <c r="G2285"/>
      <c r="H2285"/>
      <c r="I2285" s="532"/>
      <c r="V2285"/>
      <c r="W2285"/>
      <c r="Z2285"/>
      <c r="AA2285"/>
      <c r="AC2285"/>
      <c r="AD2285"/>
      <c r="AE2285"/>
      <c r="AI2285" s="960"/>
      <c r="AM2285"/>
    </row>
    <row r="2286" spans="3:39" x14ac:dyDescent="0.2">
      <c r="C2286"/>
      <c r="D2286"/>
      <c r="E2286"/>
      <c r="F2286"/>
      <c r="G2286"/>
      <c r="H2286"/>
      <c r="I2286" s="532"/>
      <c r="V2286"/>
      <c r="W2286"/>
      <c r="Z2286"/>
      <c r="AA2286"/>
      <c r="AC2286"/>
      <c r="AD2286"/>
      <c r="AE2286"/>
      <c r="AI2286" s="960"/>
      <c r="AM2286"/>
    </row>
    <row r="2287" spans="3:39" x14ac:dyDescent="0.2">
      <c r="C2287"/>
      <c r="D2287"/>
      <c r="E2287"/>
      <c r="F2287"/>
      <c r="G2287"/>
      <c r="H2287"/>
      <c r="I2287" s="532"/>
      <c r="V2287"/>
      <c r="W2287"/>
      <c r="Z2287"/>
      <c r="AA2287"/>
      <c r="AC2287"/>
      <c r="AD2287"/>
      <c r="AE2287"/>
      <c r="AI2287" s="960"/>
      <c r="AM2287"/>
    </row>
    <row r="2288" spans="3:39" x14ac:dyDescent="0.2">
      <c r="C2288"/>
      <c r="D2288"/>
      <c r="E2288"/>
      <c r="F2288"/>
      <c r="G2288"/>
      <c r="H2288"/>
      <c r="I2288" s="532"/>
      <c r="V2288"/>
      <c r="W2288"/>
      <c r="Z2288"/>
      <c r="AA2288"/>
      <c r="AC2288"/>
      <c r="AD2288"/>
      <c r="AE2288"/>
      <c r="AI2288" s="960"/>
      <c r="AM2288"/>
    </row>
    <row r="2289" spans="3:39" x14ac:dyDescent="0.2">
      <c r="C2289"/>
      <c r="D2289"/>
      <c r="E2289"/>
      <c r="F2289"/>
      <c r="G2289"/>
      <c r="H2289"/>
      <c r="I2289" s="532"/>
      <c r="V2289"/>
      <c r="W2289"/>
      <c r="Z2289"/>
      <c r="AA2289"/>
      <c r="AC2289"/>
      <c r="AD2289"/>
      <c r="AE2289"/>
      <c r="AI2289" s="960"/>
      <c r="AM2289"/>
    </row>
    <row r="2290" spans="3:39" x14ac:dyDescent="0.2">
      <c r="C2290"/>
      <c r="D2290"/>
      <c r="E2290"/>
      <c r="F2290"/>
      <c r="G2290"/>
      <c r="H2290"/>
      <c r="I2290" s="532"/>
      <c r="V2290"/>
      <c r="W2290"/>
      <c r="Z2290"/>
      <c r="AA2290"/>
      <c r="AC2290"/>
      <c r="AD2290"/>
      <c r="AE2290"/>
      <c r="AI2290" s="960"/>
      <c r="AM2290"/>
    </row>
    <row r="2291" spans="3:39" x14ac:dyDescent="0.2">
      <c r="C2291"/>
      <c r="D2291"/>
      <c r="E2291"/>
      <c r="F2291"/>
      <c r="G2291"/>
      <c r="H2291"/>
      <c r="I2291" s="532"/>
      <c r="V2291"/>
      <c r="W2291"/>
      <c r="Z2291"/>
      <c r="AA2291"/>
      <c r="AC2291"/>
      <c r="AD2291"/>
      <c r="AE2291"/>
      <c r="AI2291" s="960"/>
      <c r="AM2291"/>
    </row>
    <row r="2292" spans="3:39" x14ac:dyDescent="0.2">
      <c r="C2292"/>
      <c r="D2292"/>
      <c r="E2292"/>
      <c r="F2292"/>
      <c r="G2292"/>
      <c r="H2292"/>
      <c r="I2292" s="532"/>
      <c r="V2292"/>
      <c r="W2292"/>
      <c r="Z2292"/>
      <c r="AA2292"/>
      <c r="AC2292"/>
      <c r="AD2292"/>
      <c r="AE2292"/>
      <c r="AI2292" s="960"/>
      <c r="AM2292"/>
    </row>
    <row r="2293" spans="3:39" x14ac:dyDescent="0.2">
      <c r="C2293"/>
      <c r="D2293"/>
      <c r="E2293"/>
      <c r="F2293"/>
      <c r="G2293"/>
      <c r="H2293"/>
      <c r="I2293" s="532"/>
      <c r="V2293"/>
      <c r="W2293"/>
      <c r="Z2293"/>
      <c r="AA2293"/>
      <c r="AC2293"/>
      <c r="AD2293"/>
      <c r="AE2293"/>
      <c r="AI2293" s="960"/>
      <c r="AM2293"/>
    </row>
    <row r="2294" spans="3:39" x14ac:dyDescent="0.2">
      <c r="C2294"/>
      <c r="D2294"/>
      <c r="E2294"/>
      <c r="F2294"/>
      <c r="G2294"/>
      <c r="H2294"/>
      <c r="I2294" s="532"/>
      <c r="V2294"/>
      <c r="W2294"/>
      <c r="Z2294"/>
      <c r="AA2294"/>
      <c r="AC2294"/>
      <c r="AD2294"/>
      <c r="AE2294"/>
      <c r="AI2294" s="960"/>
      <c r="AM2294"/>
    </row>
    <row r="2295" spans="3:39" x14ac:dyDescent="0.2">
      <c r="C2295"/>
      <c r="D2295"/>
      <c r="E2295"/>
      <c r="F2295"/>
      <c r="G2295"/>
      <c r="H2295"/>
      <c r="I2295" s="532"/>
      <c r="V2295"/>
      <c r="W2295"/>
      <c r="Z2295"/>
      <c r="AA2295"/>
      <c r="AC2295"/>
      <c r="AD2295"/>
      <c r="AE2295"/>
      <c r="AI2295" s="960"/>
      <c r="AM2295"/>
    </row>
    <row r="2296" spans="3:39" x14ac:dyDescent="0.2">
      <c r="C2296"/>
      <c r="D2296"/>
      <c r="E2296"/>
      <c r="F2296"/>
      <c r="G2296"/>
      <c r="H2296"/>
      <c r="I2296" s="532"/>
      <c r="V2296"/>
      <c r="W2296"/>
      <c r="Z2296"/>
      <c r="AA2296"/>
      <c r="AC2296"/>
      <c r="AD2296"/>
      <c r="AE2296"/>
      <c r="AI2296" s="960"/>
      <c r="AM2296"/>
    </row>
    <row r="2297" spans="3:39" x14ac:dyDescent="0.2">
      <c r="C2297"/>
      <c r="D2297"/>
      <c r="E2297"/>
      <c r="F2297"/>
      <c r="G2297"/>
      <c r="H2297"/>
      <c r="I2297" s="532"/>
      <c r="V2297"/>
      <c r="W2297"/>
      <c r="Z2297"/>
      <c r="AA2297"/>
      <c r="AC2297"/>
      <c r="AD2297"/>
      <c r="AE2297"/>
      <c r="AI2297" s="960"/>
      <c r="AM2297"/>
    </row>
    <row r="2298" spans="3:39" x14ac:dyDescent="0.2">
      <c r="C2298"/>
      <c r="D2298"/>
      <c r="E2298"/>
      <c r="F2298"/>
      <c r="G2298"/>
      <c r="H2298"/>
      <c r="I2298" s="532"/>
      <c r="V2298"/>
      <c r="W2298"/>
      <c r="Z2298"/>
      <c r="AA2298"/>
      <c r="AC2298"/>
      <c r="AD2298"/>
      <c r="AE2298"/>
      <c r="AI2298" s="960"/>
      <c r="AM2298"/>
    </row>
    <row r="2299" spans="3:39" x14ac:dyDescent="0.2">
      <c r="C2299"/>
      <c r="D2299"/>
      <c r="E2299"/>
      <c r="F2299"/>
      <c r="G2299"/>
      <c r="H2299"/>
      <c r="I2299" s="532"/>
      <c r="V2299"/>
      <c r="W2299"/>
      <c r="Z2299"/>
      <c r="AA2299"/>
      <c r="AC2299"/>
      <c r="AD2299"/>
      <c r="AE2299"/>
      <c r="AI2299" s="960"/>
      <c r="AM2299"/>
    </row>
    <row r="2300" spans="3:39" x14ac:dyDescent="0.2">
      <c r="C2300"/>
      <c r="D2300"/>
      <c r="E2300"/>
      <c r="F2300"/>
      <c r="G2300"/>
      <c r="H2300"/>
      <c r="I2300" s="532"/>
      <c r="V2300"/>
      <c r="W2300"/>
      <c r="Z2300"/>
      <c r="AA2300"/>
      <c r="AC2300"/>
      <c r="AD2300"/>
      <c r="AE2300"/>
      <c r="AI2300" s="960"/>
      <c r="AM2300"/>
    </row>
    <row r="2301" spans="3:39" x14ac:dyDescent="0.2">
      <c r="C2301"/>
      <c r="D2301"/>
      <c r="E2301"/>
      <c r="F2301"/>
      <c r="G2301"/>
      <c r="H2301"/>
      <c r="I2301" s="532"/>
      <c r="V2301"/>
      <c r="W2301"/>
      <c r="Z2301"/>
      <c r="AA2301"/>
      <c r="AC2301"/>
      <c r="AD2301"/>
      <c r="AE2301"/>
      <c r="AI2301" s="960"/>
      <c r="AM2301"/>
    </row>
    <row r="2302" spans="3:39" x14ac:dyDescent="0.2">
      <c r="C2302"/>
      <c r="D2302"/>
      <c r="E2302"/>
      <c r="F2302"/>
      <c r="G2302"/>
      <c r="H2302"/>
      <c r="I2302" s="532"/>
      <c r="V2302"/>
      <c r="W2302"/>
      <c r="Z2302"/>
      <c r="AA2302"/>
      <c r="AC2302"/>
      <c r="AD2302"/>
      <c r="AE2302"/>
      <c r="AI2302" s="960"/>
      <c r="AM2302"/>
    </row>
    <row r="2303" spans="3:39" x14ac:dyDescent="0.2">
      <c r="C2303"/>
      <c r="D2303"/>
      <c r="E2303"/>
      <c r="F2303"/>
      <c r="G2303"/>
      <c r="H2303"/>
      <c r="I2303" s="532"/>
      <c r="V2303"/>
      <c r="W2303"/>
      <c r="Z2303"/>
      <c r="AA2303"/>
      <c r="AC2303"/>
      <c r="AD2303"/>
      <c r="AE2303"/>
      <c r="AI2303" s="960"/>
      <c r="AM2303"/>
    </row>
    <row r="2304" spans="3:39" x14ac:dyDescent="0.2">
      <c r="C2304"/>
      <c r="D2304"/>
      <c r="E2304"/>
      <c r="F2304"/>
      <c r="G2304"/>
      <c r="H2304"/>
      <c r="I2304" s="532"/>
      <c r="V2304"/>
      <c r="W2304"/>
      <c r="Z2304"/>
      <c r="AA2304"/>
      <c r="AC2304"/>
      <c r="AD2304"/>
      <c r="AE2304"/>
      <c r="AI2304" s="960"/>
      <c r="AM2304"/>
    </row>
    <row r="2305" spans="3:39" x14ac:dyDescent="0.2">
      <c r="C2305"/>
      <c r="D2305"/>
      <c r="E2305"/>
      <c r="F2305"/>
      <c r="G2305"/>
      <c r="H2305"/>
      <c r="I2305" s="532"/>
      <c r="V2305"/>
      <c r="W2305"/>
      <c r="Z2305"/>
      <c r="AA2305"/>
      <c r="AC2305"/>
      <c r="AD2305"/>
      <c r="AE2305"/>
      <c r="AI2305" s="960"/>
      <c r="AM2305"/>
    </row>
    <row r="2306" spans="3:39" x14ac:dyDescent="0.2">
      <c r="C2306"/>
      <c r="D2306"/>
      <c r="E2306"/>
      <c r="F2306"/>
      <c r="G2306"/>
      <c r="H2306"/>
      <c r="I2306" s="532"/>
      <c r="V2306"/>
      <c r="W2306"/>
      <c r="Z2306"/>
      <c r="AA2306"/>
      <c r="AC2306"/>
      <c r="AD2306"/>
      <c r="AE2306"/>
      <c r="AI2306" s="960"/>
      <c r="AM2306"/>
    </row>
    <row r="2307" spans="3:39" x14ac:dyDescent="0.2">
      <c r="C2307"/>
      <c r="D2307"/>
      <c r="E2307"/>
      <c r="F2307"/>
      <c r="G2307"/>
      <c r="H2307"/>
      <c r="I2307" s="532"/>
      <c r="V2307"/>
      <c r="W2307"/>
      <c r="Z2307"/>
      <c r="AA2307"/>
      <c r="AC2307"/>
      <c r="AD2307"/>
      <c r="AE2307"/>
      <c r="AI2307" s="960"/>
      <c r="AM2307"/>
    </row>
    <row r="2308" spans="3:39" x14ac:dyDescent="0.2">
      <c r="C2308"/>
      <c r="D2308"/>
      <c r="E2308"/>
      <c r="F2308"/>
      <c r="G2308"/>
      <c r="H2308"/>
      <c r="I2308" s="532"/>
      <c r="V2308"/>
      <c r="W2308"/>
      <c r="Z2308"/>
      <c r="AA2308"/>
      <c r="AC2308"/>
      <c r="AD2308"/>
      <c r="AE2308"/>
      <c r="AI2308" s="960"/>
      <c r="AM2308"/>
    </row>
    <row r="2309" spans="3:39" x14ac:dyDescent="0.2">
      <c r="C2309"/>
      <c r="D2309"/>
      <c r="E2309"/>
      <c r="F2309"/>
      <c r="G2309"/>
      <c r="H2309"/>
      <c r="I2309" s="532"/>
      <c r="V2309"/>
      <c r="W2309"/>
      <c r="Z2309"/>
      <c r="AA2309"/>
      <c r="AC2309"/>
      <c r="AD2309"/>
      <c r="AE2309"/>
      <c r="AI2309" s="960"/>
      <c r="AM2309"/>
    </row>
    <row r="2310" spans="3:39" x14ac:dyDescent="0.2">
      <c r="C2310"/>
      <c r="D2310"/>
      <c r="E2310"/>
      <c r="F2310"/>
      <c r="G2310"/>
      <c r="H2310"/>
      <c r="I2310" s="532"/>
      <c r="V2310"/>
      <c r="W2310"/>
      <c r="Z2310"/>
      <c r="AA2310"/>
      <c r="AC2310"/>
      <c r="AD2310"/>
      <c r="AE2310"/>
      <c r="AI2310" s="960"/>
      <c r="AM2310"/>
    </row>
    <row r="2311" spans="3:39" x14ac:dyDescent="0.2">
      <c r="C2311"/>
      <c r="D2311"/>
      <c r="E2311"/>
      <c r="F2311"/>
      <c r="G2311"/>
      <c r="H2311"/>
      <c r="I2311" s="532"/>
      <c r="V2311"/>
      <c r="W2311"/>
      <c r="Z2311"/>
      <c r="AA2311"/>
      <c r="AC2311"/>
      <c r="AD2311"/>
      <c r="AE2311"/>
      <c r="AI2311" s="960"/>
      <c r="AM2311"/>
    </row>
    <row r="2312" spans="3:39" x14ac:dyDescent="0.2">
      <c r="C2312"/>
      <c r="D2312"/>
      <c r="E2312"/>
      <c r="F2312"/>
      <c r="G2312"/>
      <c r="H2312"/>
      <c r="I2312" s="532"/>
      <c r="V2312"/>
      <c r="W2312"/>
      <c r="Z2312"/>
      <c r="AA2312"/>
      <c r="AC2312"/>
      <c r="AD2312"/>
      <c r="AE2312"/>
      <c r="AI2312" s="960"/>
      <c r="AM2312"/>
    </row>
    <row r="2313" spans="3:39" x14ac:dyDescent="0.2">
      <c r="C2313"/>
      <c r="D2313"/>
      <c r="E2313"/>
      <c r="F2313"/>
      <c r="G2313"/>
      <c r="H2313"/>
      <c r="I2313" s="532"/>
      <c r="V2313"/>
      <c r="W2313"/>
      <c r="Z2313"/>
      <c r="AA2313"/>
      <c r="AC2313"/>
      <c r="AD2313"/>
      <c r="AE2313"/>
      <c r="AI2313" s="960"/>
      <c r="AM2313"/>
    </row>
    <row r="2314" spans="3:39" x14ac:dyDescent="0.2">
      <c r="C2314"/>
      <c r="D2314"/>
      <c r="E2314"/>
      <c r="F2314"/>
      <c r="G2314"/>
      <c r="H2314"/>
      <c r="I2314" s="532"/>
      <c r="V2314"/>
      <c r="W2314"/>
      <c r="Z2314"/>
      <c r="AA2314"/>
      <c r="AC2314"/>
      <c r="AD2314"/>
      <c r="AE2314"/>
      <c r="AI2314" s="960"/>
      <c r="AM2314"/>
    </row>
    <row r="2315" spans="3:39" x14ac:dyDescent="0.2">
      <c r="C2315"/>
      <c r="D2315"/>
      <c r="E2315"/>
      <c r="F2315"/>
      <c r="G2315"/>
      <c r="H2315"/>
      <c r="I2315" s="532"/>
      <c r="V2315"/>
      <c r="W2315"/>
      <c r="Z2315"/>
      <c r="AA2315"/>
      <c r="AC2315"/>
      <c r="AD2315"/>
      <c r="AE2315"/>
      <c r="AI2315" s="960"/>
      <c r="AM2315"/>
    </row>
    <row r="2316" spans="3:39" x14ac:dyDescent="0.2">
      <c r="C2316"/>
      <c r="D2316"/>
      <c r="E2316"/>
      <c r="F2316"/>
      <c r="G2316"/>
      <c r="H2316"/>
      <c r="I2316" s="532"/>
      <c r="V2316"/>
      <c r="W2316"/>
      <c r="Z2316"/>
      <c r="AA2316"/>
      <c r="AC2316"/>
      <c r="AD2316"/>
      <c r="AE2316"/>
      <c r="AI2316" s="960"/>
      <c r="AM2316"/>
    </row>
    <row r="2317" spans="3:39" x14ac:dyDescent="0.2">
      <c r="C2317"/>
      <c r="D2317"/>
      <c r="E2317"/>
      <c r="F2317"/>
      <c r="G2317"/>
      <c r="H2317"/>
      <c r="I2317" s="532"/>
      <c r="V2317"/>
      <c r="W2317"/>
      <c r="Z2317"/>
      <c r="AA2317"/>
      <c r="AC2317"/>
      <c r="AD2317"/>
      <c r="AE2317"/>
      <c r="AI2317" s="960"/>
      <c r="AM2317"/>
    </row>
    <row r="2318" spans="3:39" x14ac:dyDescent="0.2">
      <c r="C2318"/>
      <c r="D2318"/>
      <c r="E2318"/>
      <c r="F2318"/>
      <c r="G2318"/>
      <c r="H2318"/>
      <c r="I2318" s="532"/>
      <c r="V2318"/>
      <c r="W2318"/>
      <c r="Z2318"/>
      <c r="AA2318"/>
      <c r="AC2318"/>
      <c r="AD2318"/>
      <c r="AE2318"/>
      <c r="AI2318" s="960"/>
      <c r="AM2318"/>
    </row>
    <row r="2319" spans="3:39" x14ac:dyDescent="0.2">
      <c r="C2319"/>
      <c r="D2319"/>
      <c r="E2319"/>
      <c r="F2319"/>
      <c r="G2319"/>
      <c r="H2319"/>
      <c r="I2319" s="532"/>
      <c r="V2319"/>
      <c r="W2319"/>
      <c r="Z2319"/>
      <c r="AA2319"/>
      <c r="AC2319"/>
      <c r="AD2319"/>
      <c r="AE2319"/>
      <c r="AI2319" s="960"/>
      <c r="AM2319"/>
    </row>
    <row r="2320" spans="3:39" x14ac:dyDescent="0.2">
      <c r="C2320"/>
      <c r="D2320"/>
      <c r="E2320"/>
      <c r="F2320"/>
      <c r="G2320"/>
      <c r="H2320"/>
      <c r="I2320" s="532"/>
      <c r="V2320"/>
      <c r="W2320"/>
      <c r="Z2320"/>
      <c r="AA2320"/>
      <c r="AC2320"/>
      <c r="AD2320"/>
      <c r="AE2320"/>
      <c r="AI2320" s="960"/>
      <c r="AM2320"/>
    </row>
    <row r="2321" spans="3:39" x14ac:dyDescent="0.2">
      <c r="C2321"/>
      <c r="D2321"/>
      <c r="E2321"/>
      <c r="F2321"/>
      <c r="G2321"/>
      <c r="H2321"/>
      <c r="I2321" s="532"/>
      <c r="V2321"/>
      <c r="W2321"/>
      <c r="Z2321"/>
      <c r="AA2321"/>
      <c r="AC2321"/>
      <c r="AD2321"/>
      <c r="AE2321"/>
      <c r="AI2321" s="960"/>
      <c r="AM2321"/>
    </row>
    <row r="2322" spans="3:39" x14ac:dyDescent="0.2">
      <c r="C2322"/>
      <c r="D2322"/>
      <c r="E2322"/>
      <c r="F2322"/>
      <c r="G2322"/>
      <c r="H2322"/>
      <c r="I2322" s="532"/>
      <c r="V2322"/>
      <c r="W2322"/>
      <c r="Z2322"/>
      <c r="AA2322"/>
      <c r="AC2322"/>
      <c r="AD2322"/>
      <c r="AE2322"/>
      <c r="AI2322" s="960"/>
      <c r="AM2322"/>
    </row>
    <row r="2323" spans="3:39" x14ac:dyDescent="0.2">
      <c r="C2323"/>
      <c r="D2323"/>
      <c r="E2323"/>
      <c r="F2323"/>
      <c r="G2323"/>
      <c r="H2323"/>
      <c r="I2323" s="532"/>
      <c r="V2323"/>
      <c r="W2323"/>
      <c r="Z2323"/>
      <c r="AA2323"/>
      <c r="AC2323"/>
      <c r="AD2323"/>
      <c r="AE2323"/>
      <c r="AI2323" s="960"/>
      <c r="AM2323"/>
    </row>
    <row r="2324" spans="3:39" x14ac:dyDescent="0.2">
      <c r="C2324"/>
      <c r="D2324"/>
      <c r="E2324"/>
      <c r="F2324"/>
      <c r="G2324"/>
      <c r="H2324"/>
      <c r="I2324" s="532"/>
      <c r="V2324"/>
      <c r="W2324"/>
      <c r="Z2324"/>
      <c r="AA2324"/>
      <c r="AC2324"/>
      <c r="AD2324"/>
      <c r="AE2324"/>
      <c r="AI2324" s="960"/>
      <c r="AM2324"/>
    </row>
    <row r="2325" spans="3:39" x14ac:dyDescent="0.2">
      <c r="C2325"/>
      <c r="D2325"/>
      <c r="E2325"/>
      <c r="F2325"/>
      <c r="G2325"/>
      <c r="H2325"/>
      <c r="I2325" s="532"/>
      <c r="V2325"/>
      <c r="W2325"/>
      <c r="Z2325"/>
      <c r="AA2325"/>
      <c r="AC2325"/>
      <c r="AD2325"/>
      <c r="AE2325"/>
      <c r="AI2325" s="960"/>
      <c r="AM2325"/>
    </row>
    <row r="2326" spans="3:39" x14ac:dyDescent="0.2">
      <c r="C2326"/>
      <c r="D2326"/>
      <c r="E2326"/>
      <c r="F2326"/>
      <c r="G2326"/>
      <c r="H2326"/>
      <c r="I2326" s="532"/>
      <c r="V2326"/>
      <c r="W2326"/>
      <c r="Z2326"/>
      <c r="AA2326"/>
      <c r="AC2326"/>
      <c r="AD2326"/>
      <c r="AE2326"/>
      <c r="AI2326" s="960"/>
      <c r="AM2326"/>
    </row>
    <row r="2327" spans="3:39" x14ac:dyDescent="0.2">
      <c r="C2327"/>
      <c r="D2327"/>
      <c r="E2327"/>
      <c r="F2327"/>
      <c r="G2327"/>
      <c r="H2327"/>
      <c r="I2327" s="532"/>
      <c r="V2327"/>
      <c r="W2327"/>
      <c r="Z2327"/>
      <c r="AA2327"/>
      <c r="AC2327"/>
      <c r="AD2327"/>
      <c r="AE2327"/>
      <c r="AI2327" s="960"/>
      <c r="AM2327"/>
    </row>
    <row r="2328" spans="3:39" x14ac:dyDescent="0.2">
      <c r="C2328"/>
      <c r="D2328"/>
      <c r="E2328"/>
      <c r="F2328"/>
      <c r="G2328"/>
      <c r="H2328"/>
      <c r="I2328" s="532"/>
      <c r="V2328"/>
      <c r="W2328"/>
      <c r="Z2328"/>
      <c r="AA2328"/>
      <c r="AC2328"/>
      <c r="AD2328"/>
      <c r="AE2328"/>
      <c r="AI2328" s="960"/>
      <c r="AM2328"/>
    </row>
    <row r="2329" spans="3:39" x14ac:dyDescent="0.2">
      <c r="C2329"/>
      <c r="D2329"/>
      <c r="E2329"/>
      <c r="F2329"/>
      <c r="G2329"/>
      <c r="H2329"/>
      <c r="I2329" s="532"/>
      <c r="V2329"/>
      <c r="W2329"/>
      <c r="Z2329"/>
      <c r="AA2329"/>
      <c r="AC2329"/>
      <c r="AD2329"/>
      <c r="AE2329"/>
      <c r="AI2329" s="960"/>
      <c r="AM2329"/>
    </row>
    <row r="2330" spans="3:39" x14ac:dyDescent="0.2">
      <c r="C2330"/>
      <c r="D2330"/>
      <c r="E2330"/>
      <c r="F2330"/>
      <c r="G2330"/>
      <c r="H2330"/>
      <c r="I2330" s="532"/>
      <c r="V2330"/>
      <c r="W2330"/>
      <c r="Z2330"/>
      <c r="AA2330"/>
      <c r="AC2330"/>
      <c r="AD2330"/>
      <c r="AE2330"/>
      <c r="AI2330" s="960"/>
      <c r="AM2330"/>
    </row>
    <row r="2331" spans="3:39" x14ac:dyDescent="0.2">
      <c r="C2331"/>
      <c r="D2331"/>
      <c r="E2331"/>
      <c r="F2331"/>
      <c r="G2331"/>
      <c r="H2331"/>
      <c r="I2331" s="532"/>
      <c r="V2331"/>
      <c r="W2331"/>
      <c r="Z2331"/>
      <c r="AA2331"/>
      <c r="AC2331"/>
      <c r="AD2331"/>
      <c r="AE2331"/>
      <c r="AI2331" s="960"/>
      <c r="AM2331"/>
    </row>
    <row r="2332" spans="3:39" x14ac:dyDescent="0.2">
      <c r="C2332"/>
      <c r="D2332"/>
      <c r="E2332"/>
      <c r="F2332"/>
      <c r="G2332"/>
      <c r="H2332"/>
      <c r="I2332" s="532"/>
      <c r="V2332"/>
      <c r="W2332"/>
      <c r="Z2332"/>
      <c r="AA2332"/>
      <c r="AC2332"/>
      <c r="AD2332"/>
      <c r="AE2332"/>
      <c r="AI2332" s="960"/>
      <c r="AM2332"/>
    </row>
    <row r="2333" spans="3:39" x14ac:dyDescent="0.2">
      <c r="C2333"/>
      <c r="D2333"/>
      <c r="E2333"/>
      <c r="F2333"/>
      <c r="G2333"/>
      <c r="H2333"/>
      <c r="I2333" s="532"/>
      <c r="V2333"/>
      <c r="W2333"/>
      <c r="Z2333"/>
      <c r="AA2333"/>
      <c r="AC2333"/>
      <c r="AD2333"/>
      <c r="AE2333"/>
      <c r="AI2333" s="960"/>
      <c r="AM2333"/>
    </row>
    <row r="2334" spans="3:39" x14ac:dyDescent="0.2">
      <c r="C2334"/>
      <c r="D2334"/>
      <c r="E2334"/>
      <c r="F2334"/>
      <c r="G2334"/>
      <c r="H2334"/>
      <c r="I2334" s="532"/>
      <c r="V2334"/>
      <c r="W2334"/>
      <c r="Z2334"/>
      <c r="AA2334"/>
      <c r="AC2334"/>
      <c r="AD2334"/>
      <c r="AE2334"/>
      <c r="AI2334" s="960"/>
      <c r="AM2334"/>
    </row>
    <row r="2335" spans="3:39" x14ac:dyDescent="0.2">
      <c r="C2335"/>
      <c r="D2335"/>
      <c r="E2335"/>
      <c r="F2335"/>
      <c r="G2335"/>
      <c r="H2335"/>
      <c r="I2335" s="532"/>
      <c r="V2335"/>
      <c r="W2335"/>
      <c r="Z2335"/>
      <c r="AA2335"/>
      <c r="AC2335"/>
      <c r="AD2335"/>
      <c r="AE2335"/>
      <c r="AI2335" s="960"/>
      <c r="AM2335"/>
    </row>
    <row r="2336" spans="3:39" x14ac:dyDescent="0.2">
      <c r="C2336"/>
      <c r="D2336"/>
      <c r="E2336"/>
      <c r="F2336"/>
      <c r="G2336"/>
      <c r="H2336"/>
      <c r="I2336" s="532"/>
      <c r="V2336"/>
      <c r="W2336"/>
      <c r="Z2336"/>
      <c r="AA2336"/>
      <c r="AC2336"/>
      <c r="AD2336"/>
      <c r="AE2336"/>
      <c r="AI2336" s="960"/>
      <c r="AM2336"/>
    </row>
  </sheetData>
  <sheetProtection formatCells="0" formatColumns="0" formatRows="0" insertRows="0" insertHyperlinks="0" deleteRows="0" autoFilter="0"/>
  <mergeCells count="46">
    <mergeCell ref="AS3:AY3"/>
    <mergeCell ref="D166:F166"/>
    <mergeCell ref="D168:F168"/>
    <mergeCell ref="D169:F169"/>
    <mergeCell ref="D170:F170"/>
    <mergeCell ref="B5:F5"/>
    <mergeCell ref="C3:F3"/>
    <mergeCell ref="C27:G27"/>
    <mergeCell ref="C42:G42"/>
    <mergeCell ref="G43:H44"/>
    <mergeCell ref="D155:G155"/>
    <mergeCell ref="D154:G154"/>
    <mergeCell ref="D148:G148"/>
    <mergeCell ref="C524:G524"/>
    <mergeCell ref="D696:G696"/>
    <mergeCell ref="B473:F473"/>
    <mergeCell ref="C521:G521"/>
    <mergeCell ref="G590:H590"/>
    <mergeCell ref="F805:G805"/>
    <mergeCell ref="F804:G804"/>
    <mergeCell ref="B775:H775"/>
    <mergeCell ref="B653:H653"/>
    <mergeCell ref="G551:H551"/>
    <mergeCell ref="D635:G635"/>
    <mergeCell ref="G593:H593"/>
    <mergeCell ref="D629:G629"/>
    <mergeCell ref="G1:H1"/>
    <mergeCell ref="D165:H165"/>
    <mergeCell ref="D167:F167"/>
    <mergeCell ref="D149:G149"/>
    <mergeCell ref="D150:G150"/>
    <mergeCell ref="D151:G151"/>
    <mergeCell ref="C146:H146"/>
    <mergeCell ref="C160:G160"/>
    <mergeCell ref="D152:G152"/>
    <mergeCell ref="D153:G153"/>
    <mergeCell ref="D171:F171"/>
    <mergeCell ref="B437:H437"/>
    <mergeCell ref="F184:G188"/>
    <mergeCell ref="C519:G519"/>
    <mergeCell ref="C520:G520"/>
    <mergeCell ref="D173:F173"/>
    <mergeCell ref="D174:F174"/>
    <mergeCell ref="D172:F172"/>
    <mergeCell ref="B471:H471"/>
    <mergeCell ref="B231:H231"/>
  </mergeCells>
  <conditionalFormatting sqref="H6:H21 H30:H33 H23:H28 H35:H45 H47:H861">
    <cfRule type="expression" dxfId="25" priority="460" stopIfTrue="1">
      <formula>IF(WORKDAY($H6-1,1,S.DDL_DEQClosed)&lt;&gt;$H6,TRUE)</formula>
    </cfRule>
  </conditionalFormatting>
  <conditionalFormatting sqref="B30 B32">
    <cfRule type="expression" dxfId="24" priority="467">
      <formula>IF(AND(S.General.RuleType="P",S.Notice.HearingInvolved="Y",S.Notice.Involved="N"),TRUE,FALSE)</formula>
    </cfRule>
  </conditionalFormatting>
  <conditionalFormatting sqref="B19">
    <cfRule type="expression" dxfId="23" priority="571">
      <formula>IF(ISERROR($H$19)=TRUE,TRUE,)</formula>
    </cfRule>
  </conditionalFormatting>
  <conditionalFormatting sqref="B32">
    <cfRule type="expression" dxfId="22" priority="903">
      <formula>IF($AJ$32=1,TRUE)</formula>
    </cfRule>
  </conditionalFormatting>
  <conditionalFormatting sqref="G6:G21 G30:G33 G23:G28 G35:G45 G47:G861">
    <cfRule type="expression" dxfId="21" priority="458" stopIfTrue="1">
      <formula>IF(WORKDAY($G6-1,1,S.DDL_DEQClosed)&lt;&gt;$G6,TRUE)</formula>
    </cfRule>
  </conditionalFormatting>
  <conditionalFormatting sqref="C564">
    <cfRule type="expression" dxfId="20" priority="924" stopIfTrue="1">
      <formula>IF(#REF!=0,TRUE)</formula>
    </cfRule>
  </conditionalFormatting>
  <conditionalFormatting sqref="F755:F759">
    <cfRule type="expression" dxfId="19" priority="950" stopIfTrue="1">
      <formula>IF(WORKDAY($F755-1,1,S.DDL_DEQClosed)&lt;&gt;$F755,TRUE)</formula>
    </cfRule>
  </conditionalFormatting>
  <conditionalFormatting sqref="C56 B18:H21 B30:H33 B29:F29 B22:F22 B23:H28 B35:H45 B34:F34 B47:H49 B46:F46">
    <cfRule type="expression" dxfId="18" priority="980">
      <formula>IF($AC18=2,TRUE)</formula>
    </cfRule>
  </conditionalFormatting>
  <conditionalFormatting sqref="D6:D90 D93:D94 B544:H544 B542:H542 B476:H476 B480:H481 B637:H637 H624:H736 G625:G736 D593:D737 D740:D748 C565:C748 B755:G759 G741:H748 B748:H754 G760:G771 H760:H780 G773:G780 B781:H861 G738:H738 B760:F780 G6:H21 B6:B748 C6:C563 D96:D591 E6:F748 G30:H33 G23:H28 G35:H45 G47:G623 H47:H621">
    <cfRule type="expression" dxfId="17" priority="982" stopIfTrue="1">
      <formula>IF($AC6=0,TRUE)</formula>
    </cfRule>
  </conditionalFormatting>
  <conditionalFormatting sqref="H622 D738 G738:H738">
    <cfRule type="expression" dxfId="16" priority="1009" stopIfTrue="1">
      <formula>IF($AC623=0,TRUE)</formula>
    </cfRule>
  </conditionalFormatting>
  <conditionalFormatting sqref="H23">
    <cfRule type="expression" dxfId="15" priority="1" stopIfTrue="1">
      <formula>IF(WORKDAY($G23-1,1,S.DDL_DEQClosed)&lt;&gt;$G23,TRUE)</formula>
    </cfRule>
  </conditionalFormatting>
  <dataValidations xWindow="353" yWindow="554" count="200">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64">
      <formula1>H459</formula1>
      <formula2>S.3Fee.END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443 H829">
      <formula1>G443</formula1>
      <formula2>S.3Fee.END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177">
      <formula1>G177</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59">
      <formula1>G459</formula1>
      <formula2>S.3Fee.END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48 H450:H454">
      <formula1>G448</formula1>
      <formula2>S.3Fee.END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283:H284">
      <formula1>G283</formula1>
      <formula2>S.2AC.END</formula2>
    </dataValidation>
    <dataValidation type="date" allowBlank="1" showErrorMessage="1" errorTitle="INVALID DATE" error="If you need a differenct date, change the Submit notice to SOS under Key dates." sqref="H649">
      <formula1>G649</formula1>
      <formula2>G649</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92 H697">
      <formula1>G692</formula1>
      <formula2>S.5Comment.END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62">
      <formula1>H460</formula1>
      <formula2>S.3Fee.END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S.0Overview.END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74 H126 H118">
      <formula1>G74</formula1>
      <formula2>S.1Planning.END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64">
      <formula1>G464</formula1>
      <formula2>S.3Fee.END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63">
      <formula1>G463</formula1>
      <formula2>S.3Fee.END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65">
      <formula1>G465</formula1>
      <formula2>S.3Fee.END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26 H728:H730">
      <formula1>G726</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527 H531 H535">
      <formula1>G527</formula1>
      <formula2>S.EQC.SubmitStaffRpt</formula2>
    </dataValidation>
    <dataValidation type="date" allowBlank="1" showInputMessage="1" showErrorMessage="1" errorTitle="DATE RANGE ERROR" error="Enter a date between the start draft concept date in the active cell above and the End Task date on the Planning banner" promptTitle="END DATE" prompt="DEFAULT          The start draft concept date in active cell above_x000a__x000a_OVERWRITE      Yes, to  a date between the date in the active cell above and the End Task date on the Planning banner." sqref="H73">
      <formula1>H61</formula1>
      <formula2>S.1Planning.END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272 H269 H274:H275">
      <formula1>G269</formula1>
      <formula2>S.2AC.END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13:H314 H329 H311 H431:H432 H375:H376 H296 H324 H341:H342 H429 H319:H320 H357 H333:H336 H352 H369:H370 H417:H420 H347:H348 H385 H361:H364 H380 H397:H398 H305:H308 H408 H413 H389:H392 H401 H403:H404 H425:H426 H423 H395 H367 H339 H317 H345 H373">
      <formula1>G296</formula1>
      <formula2>S.2AC.END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7">
      <formula1>G667</formula1>
      <formula2>S.5Comment.END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7">
      <formula1>MAX(H662:H666)</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61">
      <formula1>G661</formula1>
      <formula2>S.5Comment.END</formula2>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54 H528:H530 H532:H534 H536:H538">
      <formula1>G528</formula1>
      <formula2>S.EQC.SubmitStaffRpt</formula2>
    </dataValidation>
    <dataValidation type="date" allowBlank="1" showInputMessage="1" showErrorMessage="1" errorTitle="OUTSIDE VALID DATE RANGE" error="Enter a date between the date to the left and staff report submittal date " promptTitle="TASK END" prompt="DEFUALT        1st workday before staff report submittal_x000a__x000a_OVERWRITE     Yes, to a date between the date to the left and staff report submittal_x000a_" sqref="H745">
      <formula1>G745</formula1>
      <formula2>S.EQC.SubmitStaffRpt</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41 H589 H646">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68 H650">
      <formula1>G468</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239 H248 H261">
      <formula1>G239</formula1>
      <formula2>S.2AC.END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2">
      <formula1>H600</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144:H145">
      <formula1>G144</formula1>
      <formula2>S.Hearing.1stDate</formula2>
    </dataValidation>
    <dataValidation type="date" allowBlank="1" showInputMessage="1" showErrorMessage="1" errorTitle="OUTSIDE VALID DATE RANGE" error="Enter a date between the date to the left and the END date on the Draft Rules banner" promptTitle="ENTER TASK END DATE" prompt="DEFUALT           The date entered in the cell to the left_x000a__x000a_OVER WRITE    Yes, to a date between the date to the left and the END date on the Draft Rules banner" sqref="H198">
      <formula1>G198</formula1>
      <formula2>S.6EQC.END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6">
      <formula1>G706</formula1>
      <formula2>S.5Comment.END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11:H715">
      <formula1>G711</formula1>
      <formula2>S.5Comment.END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61">
      <formula1>G461</formula1>
      <formula2>S.3Fee.END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62">
      <formula1>G462</formula1>
      <formula2>S.3Fee.END</formula2>
    </dataValidation>
    <dataValidation type="date" allowBlank="1" showInputMessage="1" showErrorMessage="1" errorTitle="DATE RANGE ERROR" error="The date entered must be between the START and END date on the Planning section heade." sqref="G60:G61">
      <formula1>G25</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478 H495">
      <formula1>G478</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S.2AC.BEGIN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6">
      <formula1>G516</formula1>
      <formula2>S.Notice.Submit.ToSponsoringMgr</formula2>
    </dataValidation>
    <dataValidation type="date" operator="greaterThan" allowBlank="1" showInputMessage="1" showErrorMessage="1" promptTitle="LOCKED" prompt="Date set under Overview of Key Dates_x000a__x000a__x000a_" sqref="H553">
      <formula1>G553</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6">
      <formula1>G576</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5">
      <formula1>#REF!</formula1>
      <formula2>H587</formula2>
    </dataValidation>
    <dataValidation type="date" operator="greaterThanOrEqual" allowBlank="1" showInputMessage="1" showErrorMessage="1" errorTitle="OUTSIDE VALID DATE RANGE" error="Enter a date between the START task date on the Advisory committee banner and at least 7 days before the meeting." promptTitle="TASK END" prompt="DEFAULT              14 days before  meeting dates_x000a__x000a_OVERWRITE         Yes, to a date between the START task date on the Advisory committee banner and at least 7 days before the meeting._x000a__x000a_" sqref="H414 H386 H358 H330 H302">
      <formula1>AI302</formula1>
    </dataValidation>
    <dataValidation type="whole" operator="greaterThan" allowBlank="1" showInputMessage="1" showErrorMessage="1" errorTitle="OUTSIDE DATE RANGE" error="Enter date greater than or equal to the START date on the Planning banner" promptTitle="ENTER DATE" prompt="DEFAULT  Start date on Planning banner_x000a__x000a_OVERWRITE   Yes, to a later date" sqref="H59">
      <formula1>G54</formula1>
    </dataValidation>
    <dataValidation type="whole" operator="greaterThan" allowBlank="1" showInputMessage="1" showErrorMessage="1" errorTitle="OUTSIDE DATE RANGE" error="Enter date greater than or equal to the START date on the Planning banner" promptTitle="ENTER DATE" prompt="DEFAULT  Start date on Planning banner_x000a__x000a_OVERWRITE   Yes, to a later date" sqref="H61">
      <formula1>H59</formula1>
    </dataValidation>
    <dataValidation type="date" allowBlank="1" showInputMessage="1" showErrorMessage="1" errorTitle="OUT OF RANGE" error="Enter a date between the date active cell above and the END date on the Planning banner" promptTitle="ENTER DATE" prompt="DEFAULT  The date in the active cell above_x000a__x000a_OVERWRITE   Yes, to a date between the DEFAULT and the END date on the Planning banner" sqref="H77">
      <formula1>H74</formula1>
      <formula2>S.1Planning.END</formula2>
    </dataValidation>
    <dataValidation type="date" allowBlank="1" showInputMessage="1" showErrorMessage="1" errorTitle="OUT OF RANGE" error="Enter a date between the date active cell above and the END date on the Planning banner" promptTitle="ENTER DATE" prompt="DEFAULT  The date in the active cell above_x000a__x000a_OVERWRITE   Yes, to a date between the DEFAULT and the END date on the Planning banner" sqref="H78:H80">
      <formula1>H77</formula1>
      <formula2>S.1Planning.END</formula2>
    </dataValidation>
    <dataValidation type="date" allowBlank="1" showInputMessage="1" showErrorMessage="1" errorTitle="OUT OF RANGE" error="Enter a date between the date active cell above and the END date on the Planning banner" promptTitle="ENTER DATE" prompt="DEFAULT  The date in the active cell above_x000a__x000a_OVERWRITE   Yes, to a date between the DEFAULT and the END date on the Planning banner" sqref="H84 H86">
      <formula1>H80</formula1>
      <formula2>S.1Planning.END</formula2>
    </dataValidation>
    <dataValidation type="date" allowBlank="1" showInputMessage="1" showErrorMessage="1" errorTitle="OUT OF RANGE" error="Enter a date between the date active cell above and the END date on the Planning banner" promptTitle="ENTER DATE" prompt="DEFAULT  The date in the active cell above_x000a__x000a_OVERWRITE   Yes, to a date between the DEFAULT and the END date on the Planning banner" sqref="H88">
      <formula1>H86</formula1>
      <formula2>S.1Planning.END</formula2>
    </dataValidation>
    <dataValidation type="date" allowBlank="1" showInputMessage="1" showErrorMessage="1" errorTitle="OUTSIDE VALID DATE RANGE" error="Enter a date between communications planning meeting and END date on the Planning banner" promptTitle="START LINE TASK" prompt="DEFUALT           The date of the communications planning meeting_x000a__x000a_OVERWRITE      Yes, to a date between DEFAULT  and END date on the Planning banner_x000a__x000a__x000a_" sqref="G135">
      <formula1>H126</formula1>
      <formula2>S.4Notice.END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135 H137:H138 H140">
      <formula1>G135</formula1>
      <formula2>S.4Notice.END</formula2>
    </dataValidation>
    <dataValidation type="date" allowBlank="1" showInputMessage="1" showErrorMessage="1" errorTitle="OUTSIDE VALID DATE RANGE" error="Enter a date between the date to the left and the open public comment date_x000a_" promptTitle="TASK END" prompt="DEFUALT       Open punlic comment date_x000a__x000a_OVERWRITE      Yes, to a date between the date to the left and the 1st hearing date. WARNING! It is up to you to maintain all deadlines for advertisements!_x000a__x000a__x000a_" sqref="H161:H162">
      <formula1>G161</formula1>
      <formula2>S.Notice.OpenComment</formula2>
    </dataValidation>
    <dataValidation type="date" allowBlank="1" showInputMessage="1" showErrorMessage="1" errorTitle="OUTSIDE VALID DATE RANGE" error="Enter a date between the date to the left and staff report submittal date" promptTitle="TASK END" prompt="DEFUALT         7 workdays after date to left_x000a__x000a_OVERWRITE     Yes, to a date between the date to the left and staff report submittal date_x000a__x000a__x000a_" sqref="H738">
      <formula1>G738</formula1>
      <formula2>S.EQC.SubmitStaffRpt</formula2>
    </dataValidation>
    <dataValidation type="date" allowBlank="1" showInputMessage="1" showErrorMessage="1" errorTitle="OUTSIDE VALID DATE RANGE" error="Enter a date after Rule Publication work ends and staff report submittal date" promptTitle="TASK START" prompt="DEFUALT         The first workday after Rule Publication work ends_x000a__x000a_OVERWRITE      Yes, to a date between the default and submittal date to EQC Assistant_x000a__x000a__x000a_" sqref="G745">
      <formula1>H738</formula1>
      <formula2>S.EQC.SubmitStaffRpt</formula2>
    </dataValidation>
    <dataValidation type="whole" allowBlank="1" showInputMessage="1" showErrorMessage="1" sqref="AH738">
      <formula1>G738</formula1>
      <formula2>G738</formula2>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taff report submittal date" sqref="H732">
      <formula1>G732</formula1>
      <formula2>S.EQC.SubmitStaffRpt</formula2>
    </dataValidation>
    <dataValidation allowBlank="1" showInputMessage="1" showErrorMessage="1" promptTitle="TEAM DISCRETION" prompt="The team may place an &quot;X&quot; in this location to indicate the task has been completed." sqref="D859:E860 E793 D762:E770 D772:E772 D659:E659 E745 D711:E717 D636:E639 D611:D613 D616:D620 E592 D527:E527 D531:E531 D535:E535 D541:E541 D208:D214 D77:E90 D57:E74 E92:E97 D93:D94 D96:D98 D101 E443:E448 D228:E229 D444:D448 D431:E434 D413:E414 D422:E429 D416:E420 D403:E409 D385:E386 D394:E401 D388:E392 D375:E381 D357:E358 D366:E373 D360:E364 D347:E353 D329:E330 D338:E345 D332:E336 D319:E325 D295:E297 D304:E308 D291:E291 D301:E302 D279 D282:E284 D293:E293 D277 D274:E275 D281 D242:D247 D254:E254 D219:E225 E238:E253 D249:D253 D235:E235 D841 D310:E317 D450:E454 D459:E466 D456:E456 D468:E468 D166:E166 D216:E217 D112:D113 D116:E118 D126:E126 D114:E114 D110:E110 E105:E109 D106:D109 D135:E145 D198 D161:E162 C147:E147 D157:E159 E185:E188 D177:E178 D202 D190:E190 E198:E215 D564 D549:E549 D607:E607 D578:E578 D574:E574 D576:E576 D579:D581 D542:D548 E585 D586:D588 D595:E600 D602:E602 E569:E570 D603 D605:E605 D630:E634 D623:E623 D641:E651 D700:E703 D705:E706 D697:D698 E698 D692:E695 D664:E672 D674:E674 D661:E662 D780:E780 E813 D803:E804 E805 D796:E799 D746:D753 D791:E791 D824:E824 E816 D809 D829:E829 E826 D806:E808 D833:E834 D837:E837 D850:E851 D845:E848 E839 D842:E842 E255:E272 D257:D260 D262:D268 D270:D272"/>
    <dataValidation type="list" allowBlank="1" showInputMessage="1" showErrorMessage="1" sqref="C848 C754 C713:C715 C527 C531 C535 C31 C14:C15 C12 C18 C22 C6 C29 C49 C37:C39 C421 C406 C393 C378 C365 C350 C337 C322 C294 C259 C309 C452:C454 C463:C465 C167:C174 C128:C133 C110 C184:C188 C560:C562 C602 C669:C671 C846">
      <formula1>"Y,N"</formula1>
    </dataValidation>
    <dataValidation allowBlank="1" showErrorMessage="1" sqref="B848:B849 B791 AB848:AB849 AB842 B842 AB791"/>
    <dataValidation allowBlank="1" showInputMessage="1" showErrorMessage="1" errorTitle="LOCKED" error="Modify under Overview of Key Dates." promptTitle="LOCKED" prompt="The EQC meeting date. Modify under Overview of Key Dates." sqref="G847"/>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47">
      <formula1>S.EQC.Meeting</formula1>
      <formula2>WORKDAY(S.EQC.Meeting+58,1,S.DDL_DEQClosed)</formula2>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8 B812 B825 B817"/>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37 H824">
      <formula1>S.PostEQC.FileRuleWithSOS</formula1>
    </dataValidation>
    <dataValidation allowBlank="1" showInputMessage="1" showErrorMessage="1" promptTitle="ADDRESS" prompt="SHUTTLE LABLELS stored with Agency rules coordinator_x000a__x000a_Legislative Counsel_x000a_900 Court St NE S101_x000a_Salem, OR 97301_x000a_142000 " sqref="B837 B824"/>
    <dataValidation type="date" allowBlank="1" showInputMessage="1" showErrorMessage="1" sqref="H782:H783 H785">
      <formula1>S.EQC.Meeting</formula1>
      <formula2>S.7PostEQC.END</formula2>
    </dataValidation>
    <dataValidation allowBlank="1" showInputMessage="1" showErrorMessage="1" errorTitle="LOCKED" error="Set under Overview of Key Dates." sqref="H804:H805 G777:H777 G722:H722 G439:H439 G655:H655"/>
    <dataValidation allowBlank="1" sqref="AG768:AG770"/>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661">
      <formula1>S.4Notice.BEGIN</formula1>
      <formula2>S.Notice.CloseComment</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776 H721 H2 H53 H232 H472 H438 H194 H654"/>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776 G721 G1:G2 G53 G232 G472 G438 G194 G654"/>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62">
      <formula1>S.6EQC.BEGIN</formula1>
      <formula2>S.6EQC.END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62">
      <formula1>S.6EQC.BEGIN</formula1>
      <formula2>S.6EQC.END</formula2>
    </dataValidation>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776 F721 F53 F232 F438 F194 F654"/>
    <dataValidation operator="greaterThanOrEqual" allowBlank="1" showInputMessage="1" showErrorMessage="1" sqref="AG738 AG745 AG495 AG478 AG523 AH524 AH521 AG177 AG144 AG576 AG527:AG538 AG509:AG517 AG646 AG641 AG760:AH760"/>
    <dataValidation allowBlank="1" showErrorMessage="1" promptTitle="OUTCOME BASED MEASURE" prompt="The number of loops is a reportable measure for outcome-based measures. Please track the start and end date for each loop. Ask the PE to add more loop lines if needed." sqref="B566 B745 B712:B715 B541 B527 B531 B535 B500:B501 B516 B560:B562 B549 B574 B576:B581 B760"/>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54">
      <formula1>S.6EQC.BEGIN</formula1>
      <formula2>S.6EQC.END</formula2>
    </dataValidation>
    <dataValidation type="date" allowBlank="1" showInputMessage="1" showErrorMessage="1" errorTitle="OUTSIDE VALID DATE RANGE" error="Enter a date between the Start task date on EQC Preparation banner and staff report submittal date" promptTitle="TASK START" prompt="DEFUALT         1 workday after finalizing EQC Packet_x000a__x000a_OVERWRITE      Yes, to a date between the default and staff report submittal date_x000a__x000a__x000a_" sqref="G738">
      <formula1>S.6EQC.BEGIN</formula1>
      <formula2>S.EQC.SubmitStaffRpt</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145">
      <formula1>S.4Notice.BEGIN</formula1>
      <formula2>S.Notice.OpenComment</formula2>
    </dataValidation>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32 G728:G730 G536:G538 G528:G530 G532:G534">
      <formula1>S.6EQC.BEGIN</formula1>
      <formula2>S.6EQC.END</formula2>
    </dataValidation>
    <dataValidation allowBlank="1" showErrorMessage="1" promptTitle="TEAM DISCRETION" prompt="The team may place an &quot;X&quot; in this location to indicate the task has been completed." sqref="D301:E302 C89 D295:E297 D317:E317 D413:E414 D407:E409 D429:E429 D385:E386 D379:E381 D401:E401 D357:E358 D351:E353 D373:E373 D329:E330 D323:E325 D345:E345 AL244 C209 C135"/>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12:G715">
      <formula1>S.Notice.CloseComment</formula1>
      <formula2>S.4Notice.END</formula2>
    </dataValidation>
    <dataValidation allowBlank="1" showInputMessage="1" showErrorMessage="1" errorTitle="LOCKED" error="Change under Overview of Key Dates" promptTitle="LOCKED" prompt="Change under Overview of Key Dates" sqref="H696"/>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97 G692">
      <formula1>S.HearingFirst</formula1>
      <formula2>S.5Comment.END</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5">
      <formula1>S.5Comment.BEGIN</formula1>
      <formula2>S.5Comment.END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6">
      <formula1>S.4Notice.BEGIN</formula1>
      <formula2>S.4Notice.END</formula2>
    </dataValidation>
    <dataValidation allowBlank="1" showInputMessage="1" showErrorMessage="1" errorTitle="LOCKED:CHANGE UNDER NOTICE" sqref="AB690 AB688 AB686 AB684 AB682 AB680 AB678"/>
    <dataValidation allowBlank="1" showInputMessage="1" showErrorMessage="1" errorTitle="LOCKED:CHANGE UNDER NOTICE" error="Change the city name under 4-Notice banner" sqref="B690 B676 B678 B680 B682 B684 B686 B688 AB676"/>
    <dataValidation allowBlank="1" showInputMessage="1" showErrorMessage="1" promptTitle="LOCKED: CANNOT CHANGE DATE HERE" prompt="Change the hearing dates under Public notice section." sqref="AH690 H690 H676 H688 H686 H684 H682 H680 H678 AH676 AH678 AH680 AH682 AH684 AH686 AH688"/>
    <dataValidation allowBlank="1" showInputMessage="1" sqref="AG667:AG671"/>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59 H668:H672">
      <formula1>S.5Comment.BEGIN</formula1>
      <formula2>S.5Comment.END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9 G668:G672">
      <formula1>S.5Comment.BEGIN</formula1>
      <formula2>S.5Comment.END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1">
      <formula1>S.5Comment.BEGIN</formula1>
      <formula2>S.5Comment.END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9">
      <formula1>S.Notice.OpenComment</formula1>
      <formula2>S.4Notice.BEGIN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50 G468">
      <formula1>S.4Notice.BEGIN</formula1>
    </dataValidation>
    <dataValidation type="date" allowBlank="1" showErrorMessage="1" errorTitle="INVALID DATE" error="If you need a differenct date, change the Submit notice to SOS under Key dates." sqref="H635 H632">
      <formula1>#REF!</formula1>
      <formula2>#REF!</formula2>
    </dataValidation>
    <dataValidation allowBlank="1" showInputMessage="1" showErrorMessage="1" errorTitle="LOCKED" error="To make changes" sqref="H629"/>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8 B159 B145:B147"/>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2">
      <formula1>S.Notice.PreviewEnd</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2">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592"/>
    <dataValidation allowBlank="1" showInputMessage="1" showErrorMessage="1" promptTitle="START DATE" prompt="DEFAULT   1st work day after the end of the rule publication work period_x000a__x000a_" sqref="G576"/>
    <dataValidation allowBlank="1" showInputMessage="1" showErrorMessage="1" errorTitle="LOCKED" error="Date set under Overview of Key Dates banner by Rules Group Lead" promptTitle="LOCKED" prompt="Date set under Overview of Key Dates banner by Rules Group Lead_x000a__x000a__x000a_" sqref="G553"/>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60:H562 H541 H549"/>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535 G531">
      <formula1>#REF!</formula1>
      <formula2>S.EQC.SubmitStaffRpt</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27">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1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20:H521 H524"/>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16">
      <formula1>S.4Notice.BEGIN</formula1>
      <formula2>S.4Notice.END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5">
      <formula1>S.4Notice.BEGIN</formula1>
      <formula2>S.4Notice.END</formula2>
    </dataValidation>
    <dataValidation allowBlank="1" showInputMessage="1" showErrorMessage="1" errorTitle="LOCKED" error="Set under Overview of Key Dates" sqref="G473"/>
    <dataValidation allowBlank="1" showInputMessage="1" showErrorMessage="1" errorTitle="LOCKED" error="Set under Overview of Key Dates  by Rules Group Lead" promptTitle="LOCKED" prompt="Set under Overview of Key Dates  by Rules Group Lead" sqref="H473"/>
    <dataValidation type="date" allowBlank="1" showInputMessage="1" showErrorMessage="1" errorTitle="LOCKED" error="Change under notice section of OVerview of Key Dates" promptTitle="LOCKED" prompt="Change under notice section of Overview of Key Dates_x000a__x000a__x000a_" sqref="H456">
      <formula1>S.3Fee.BEGIN</formula1>
      <formula2>S.3Fee.END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66">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65 G463 G451:G454 G448">
      <formula1>#REF!</formula1>
      <formula2>S.3Fee.END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61">
      <formula1>S.3Fee.BEGIN</formula1>
      <formula2>S.3Fee.END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78">
      <formula1>S.4Notice.BEGIN</formula1>
      <formula2>S.4Notice.END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43">
      <formula1>S.3Fee.BEGIN</formula1>
      <formula2>S.3Fee.END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34">
      <formula1>S.2AC.BEGIN</formula1>
      <formula2>S.2AC.END</formula2>
    </dataValidation>
    <dataValidation allowBlank="1" showInputMessage="1" showErrorMessage="1" promptTitle="ENTER TIME" prompt="Enter the time of the advisory committee meeting as hh:mm followed by a.m. or p.m._x000a__x000a__x000a_" sqref="H294 H406 H378 H350 H322"/>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6">
      <formula1>S.AC.DateMeeting4</formula1>
      <formula2>S.2AC.END</formula2>
    </dataValidation>
    <dataValidation allowBlank="1" showInputMessage="1" showErrorMessage="1" promptTitle="ENTER LOCATION" prompt="Enter location of advisory committee meeting." sqref="F322 F406 F378 F350"/>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78">
      <formula1>S.AC.DateMeeting3</formula1>
      <formula2>S.2AC.END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0">
      <formula1>S.AC.DateMeeting2</formula1>
      <formula2>S.2AC.END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22">
      <formula1>S.AC.DateMeeting1</formula1>
      <formula2>S.2AC.END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19:G320 G431:G432 G403:G404 G375:G376 G347:G348">
      <formula1>S.AC.DateMeeting1</formula1>
      <formula2>S.2AC.END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373 G429 G345">
      <formula1>S.AC.SendInvitation</formula1>
      <formula2>S.2AC.END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294">
      <formula1>S.AC.SendInvitation</formula1>
      <formula2>S.2AC.END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284">
      <formula1>S.2AC.BEGIN</formula1>
      <formula2>S.2AC.END</formula2>
    </dataValidation>
    <dataValidation type="date" allowBlank="1" showErrorMessage="1" errorTitle="OUTSIDE VALID DATE RANGE" error="Enter a date between START and END Task dates on Advisory Committee banner_x000a_" promptTitle="TASK END" prompt="DEFAULT              The date to the left_x000a__x000a_OVERWRITE          Yes, to a date that is between the date to the left and the End Task date on the Advisory committee banner._x000a__x000a_" sqref="H276">
      <formula1>S.2AC.BEGIN</formula1>
      <formula2>S.2AC.END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269 G239 G261">
      <formula1>S.2AC.BEGIN</formula1>
      <formula2>S.2AC.END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274">
      <formula1>#REF!</formula1>
      <formula2>S.2AC.END</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244 B182"/>
    <dataValidation allowBlank="1" showErrorMessage="1" errorTitle="LOCKED" error="Set under Overview of Key Dates.      " promptTitle="LOCKED" prompt="Change advisory committee Start Task date under Overview of Key Dates     _x000a__x000a_" sqref="G233"/>
    <dataValidation allowBlank="1" showErrorMessage="1" errorTitle="LOCKED" error="Set under Overview of Key Dates" promptTitle="LOCKED" prompt="Change advisory committee End Task under Overview of Key Dates_x000a__x000a_" sqref="H233"/>
    <dataValidation type="date" allowBlank="1" showErrorMessage="1" errorTitle="OUSIDE VALID DATE RANGE" error="Enter a date between the START and END Task dates on the Advisory Committee banner" promptTitle="ENTER END TASK DATE" prompt="DEFAULT              The date to the left_x000a__x000a_OVERWRITE          Yes, to a date that is between the date to the left and the End Task date on the Advisory committee banner._x000a__x000a_" sqref="H282">
      <formula1>S.2AC.BEGIN</formula1>
      <formula2>S.2AC.END</formula2>
    </dataValidation>
    <dataValidation type="date" allowBlank="1" showInputMessage="1" showErrorMessage="1" errorTitle="OUTSIDE VALID DATE RANGE" error="Enter a date between the START and END Tasks dates on the Advisory Committee banner.   _x000a_" promptTitle="ENTER START TASK DATE" prompt="DEFAULT          The START task date on the Advisory Committee Banner_x000a__x000a_OVERWRITE       Yes, to a date between the START and END Tasks dates on the Advisory Committee banner.   _x000a_" sqref="G305:G308 G317 G425:G426 G423 G401 G397:G398 G395 G369:G370 G367 G341:G342 G339 G313:G314 G311 G417:G420 G389:G392 G361:G364 G333:G336">
      <formula1>S.2AC.BEGIN</formula1>
      <formula2>S.2AC.END</formula2>
    </dataValidation>
    <dataValidation type="date" allowBlank="1" showInputMessage="1" showErrorMessage="1" errorTitle="OUTSIDE VALID DATE RANGE" error="Enter a date between the START and END task dates Advisory Committee banner.   _x000a_" promptTitle="ENTER START TASK DATE" prompt="DEFAULT          28 days before the meeting date_x000a__x000a_OVERWRITE     Yes, START and END Task dates on the Advisory Committee banner.   _x000a_" sqref="G408 G296 G324 G352 G380">
      <formula1>S.2AC.BEGIN</formula1>
      <formula2>S.2AC.END</formula2>
    </dataValidation>
    <dataValidation type="date" allowBlank="1" showInputMessage="1" showErrorMessage="1" errorTitle="OUTSIDE VALID DATE RANGE" error="Enter a date between the START and END date on the Advisory Committee banner." promptTitle="TASK START" prompt="DEFAULT           Equals ENDTask date on the Advisory Committee banner _x000a__x000a_OVERWRITE       Yes, to a date between the START and END dates on the advisory committee banner.   _x000a_" sqref="H434">
      <formula1>S.2AC.BEGIN</formula1>
      <formula2>S.2AC.END</formula2>
    </dataValidation>
    <dataValidation type="date" allowBlank="1" showInputMessage="1" showErrorMessage="1" errorTitle="OUT OF RANGE" error="Enter a date between the date the Director added concept to the plan _x000a_and the End Task dates on the Planning banner" promptTitle="ENTER END DATE" prompt="DEFAULT  The date the Director added concpt to ruleamking plan_x000a__x000a_OVERWRITE   Yes, to a date between DEFAULT and the End Task date on the Planning banner" sqref="H209">
      <formula1>S.Planning.AddConceptToPlanDate</formula1>
      <formula2>S.1Planning.END</formula2>
    </dataValidation>
    <dataValidation type="date" allowBlank="1" showInputMessage="1" showErrorMessage="1" errorTitle="OUTSIDE VALID DATE RANGE" error="Enter date between START date on Planning banner and the date of the LAST hearing " promptTitle="START LINE TASK" prompt="DEFUALT         START date on Planning banner_x000a__x000a_OVERWRITE      Yes, to a date between DEFAULT and the date of the LAST hearing (If only 1 hearing, defaults to FIRST hearing date.)_x000a__x000a__x000a_" sqref="G177 G144">
      <formula1>S.1Planning.BEGIN</formula1>
      <formula2>S.Notice.LastHearingDate</formula2>
    </dataValidation>
    <dataValidation allowBlank="1" showInputMessage="1" showErrorMessage="1" promptTitle="LOCKED CELL" prompt="Change first hearing date under Overview of Key Dates banner." sqref="G167 G175:G176"/>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168:G174">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167:H174"/>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110 H116:H117 H114 H190">
      <formula1>S.Planning.AddConceptToPlanDate</formula1>
      <formula2>S.1Planning.END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148:H156">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184:H188">
      <formula1>S.DDL.EQC.FacHearingDates</formula1>
    </dataValidation>
    <dataValidation type="date" allowBlank="1" showInputMessage="1" showErrorMessage="1" errorTitle="OUT OF RANGE" error="Enter a date between the Start Active Rulemaking date enterd in cell G7  and End Task date on the Planning banner" promptTitle="ENTER START DATE" prompt="DEFAULT  The date Director added rulemaking to plan _x000a__x000a_OVERWRITE   Yes, to a date between the DEFAULT and the End Task date on the Planning banner" sqref="G161:G162">
      <formula1>S.DIRECTOR.Approves.ForDEQRulemakingPlan</formula1>
      <formula2>S.1Planning.END</formula2>
    </dataValidation>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89 G21 G124 G103 G163">
      <formula1>S.StartRulemaking</formula1>
      <formula2>S.Notice.SubmitToEPA</formula2>
    </dataValidation>
    <dataValidation allowBlank="1" showInputMessage="1" showErrorMessage="1" promptTitle="ADD PUBLICATION" prompt="After &quot;NOTICE.AD##.&quot; enter the name of the publication._x000a__x000a_See Notice for partial list of publications" sqref="B148:B156"/>
    <dataValidation type="list" allowBlank="1" showInputMessage="1" showErrorMessage="1" sqref="D148:G155">
      <formula1>S.DDL_Newspapers</formula1>
    </dataValidation>
    <dataValidation allowBlank="1" showInputMessage="1" showErrorMessage="1" promptTitle="ENTER HEARING NUMBER" prompt="Enter hearing number from Hearing Table above." sqref="C148:C155"/>
    <dataValidation type="whole" allowBlank="1" showInputMessage="1" showErrorMessage="1" promptTitle="ENTER MEETING NUMBER" prompt="Enter themeeting number from the Hearing Table above for the date when the commissioner on the left will facilitate the hearing. _x000a__x000a__x000a_" sqref="E184">
      <formula1>1</formula1>
      <formula2>15</formula2>
    </dataValidation>
    <dataValidation type="date" operator="lessThanOrEqual" allowBlank="1" showInputMessage="1" showErrorMessage="1" errorTitle="AFTER HEARING DATE" error="Enter a date earlier than first hearing date. _x000a_" promptTitle="TASK END" prompt="DEFUALT         10 workdays before 1st hearing date_x000a__x000a_OVERWRITE      Yes, to a date earlier than first hearing date. WARNING! It is up to you to maintain all deadlines for advertisements!_x000a__x000a__x000a_" sqref="H160">
      <formula1>S.Hearing.1stDate</formula1>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140 G137:G138">
      <formula1>#REF!</formula1>
      <formula2>S.4Notice.END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18">
      <formula1>S.Planning.AddConceptToPlanDate</formula1>
      <formula2>S.1Planning.END</formula2>
    </dataValidation>
    <dataValidation allowBlank="1" showInputMessage="1" showErrorMessage="1" errorTitle="LOCKED " error="Same as start date on the Overview of Key Dates." sqref="G195 G54"/>
    <dataValidation type="date" allowBlank="1" showInputMessage="1" showErrorMessage="1" errorTitle="OUT OF RANGE" error="Enter a date bewteen the date the Director added concept to the plan_x000a_and End Task date on the Planning banner" promptTitle="ENTER START DATE" prompt="DEFAULT  The date the Director added concept to the plan_x000a__x000a_OVERWRITE   Yes, to a date between the default and the End Task date on the Planning banner" sqref="G126">
      <formula1>S.Planning.AddConceptToPlanDate</formula1>
      <formula2>S.1Planning.END</formula2>
    </dataValidation>
    <dataValidation type="date" allowBlank="1" showInputMessage="1" showErrorMessage="1" errorTitle="OUT OF RANGE" error="Enter a date between the two dates on the Draft Rules banner" promptTitle="ENTER START DATE" prompt="DEFAULT  The date Director added rulemaking to plan _x000a__x000a_OVERWRITE   Yes, to a date between the two dates on the D_x000a_raft Rules banner" sqref="G198">
      <formula1>S.DIRECTOR.Approves.ForDEQRulemakingPlan</formula1>
      <formula2>S.6EQC.END</formula2>
    </dataValidation>
    <dataValidation type="list" allowBlank="1" showInputMessage="1" showErrorMessage="1" sqref="C91">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74">
      <formula1>S.1Planning.BEGIN</formula1>
      <formula2>S.1Planning.END</formula2>
    </dataValidation>
    <dataValidation type="date" allowBlank="1" showInputMessage="1" showErrorMessage="1" errorTitle="DATE RANGE ERROR" error="The date entered must be between the START and END date on the Planning section heade." sqref="G59">
      <formula1>#REF!</formula1>
      <formula2>#REF!</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S.0Overview.END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S.0Overview.END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28 H45 H35">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DATE ENTRY" prompt="DEFAULT  Lookup from table of EQC meeting dates and associated staff report submittal dates_x000a__x000a_OVERWRITE   Yes, to an earlier date" sqref="H41">
      <formula1>VLOOKUP(S.EQC.Meeting,S.VL_EQCActivities,2,FALSE)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VLOOKUP(S.Notice.InOregonBulletin,S.VL_Bulletin,2,FALSE)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H29 G22:H22 G34:H34 G46:H46"/>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90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SOS submittal_x000a_DAS email notification - date of SOS submittal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LOCKED " error="Date Director approved adding concept to plan under Overview of Key Dates" sqref="H91"/>
    <dataValidation type="date" allowBlank="1" showInputMessage="1" showErrorMessage="1" errorTitle="OUT OF RANGE" error="Enter a date between the START TASK date on the  6-EQC banner and the EQC meeting date" promptTitle="ENTER DATE" prompt="DEFAULT  Start tast date on 6-EQC Preparation banner_x000a__x000a_OVERWRITE  Yes, to a date between the default and the date of the EQC meeting" sqref="G768:G770">
      <formula1>S.6EQC.BEGIN</formula1>
      <formula2>S.EQC.Meeting</formula2>
    </dataValidation>
    <dataValidation allowBlank="1" showInputMessage="1" showErrorMessage="1" errorTitle="LOCKED" error="Set under Overview of Key Dates banner" sqref="H761"/>
    <dataValidation type="date" allowBlank="1" showInputMessage="1" showErrorMessage="1" errorTitle="OUT OF RANGE" error="Enter a date between the Start task date on the 6-EQC banner and the EQC meeting date" promptTitle="ENTER DATE" prompt="DEFAULT   One day before the EQC meeting_x000a__x000a_OVERWRITE  Yes, to a date between the Start task date on the 6-EQC Preparation banner and EQC meeting date" sqref="H768:H770">
      <formula1>S.6EQC.BEGIN</formula1>
      <formula2>S.EQC.Meeting</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60">
      <formula1>AC460</formula1>
      <formula2>S.3Fee.END</formula2>
    </dataValidation>
    <dataValidation allowBlank="1" showInputMessage="1" showErrorMessage="1" errorTitle="LOCKED" error="Date entered above" sqref="H318"/>
  </dataValidations>
  <hyperlinks>
    <hyperlink ref="C319" r:id="rId1" display="i"/>
    <hyperlink ref="C137" r:id="rId2" display="i"/>
    <hyperlink ref="C659" r:id="rId3" display="Q"/>
    <hyperlink ref="C302" r:id="rId4" display="i"/>
    <hyperlink ref="C209" r:id="rId5" display="i"/>
    <hyperlink ref="C824" r:id="rId6" display="i"/>
    <hyperlink ref="C674" r:id="rId7" display="Q"/>
    <hyperlink ref="C315" r:id="rId8" display="i"/>
    <hyperlink ref="C632" r:id="rId9"/>
    <hyperlink ref="C161" location="HearingAndAdDates!A1" display="i"/>
    <hyperlink ref="C633" r:id="rId10"/>
    <hyperlink ref="C135" r:id="rId11" display="i"/>
    <hyperlink ref="C663" r:id="rId12" display="Q"/>
    <hyperlink ref="C729" r:id="rId13" display="i"/>
    <hyperlink ref="C158" r:id="rId14" display="i"/>
    <hyperlink ref="C705" r:id="rId15"/>
    <hyperlink ref="C182" r:id="rId16" display="i"/>
    <hyperlink ref="C106" r:id="rId17" display="i"/>
    <hyperlink ref="C298" r:id="rId18" display="i"/>
    <hyperlink ref="B185" r:id="rId19" display="mailto:JoKRanch@hotmail.com"/>
    <hyperlink ref="B186" r:id="rId20"/>
    <hyperlink ref="B187" r:id="rId21"/>
    <hyperlink ref="B188" r:id="rId22"/>
    <hyperlink ref="B286" r:id="rId23"/>
    <hyperlink ref="B287" r:id="rId24"/>
    <hyperlink ref="B288" r:id="rId25"/>
    <hyperlink ref="B289" r:id="rId26"/>
    <hyperlink ref="B285" r:id="rId27" display="mailto:MEden@neea.org"/>
    <hyperlink ref="C202" r:id="rId28" display="i"/>
    <hyperlink ref="B184" r:id="rId29" display="mailto:MEden@neea.org"/>
    <hyperlink ref="C178" location="S.HearingsOfficers" display="i"/>
    <hyperlink ref="B756" r:id="rId30"/>
    <hyperlink ref="B757" r:id="rId31"/>
    <hyperlink ref="B758" r:id="rId32"/>
    <hyperlink ref="B759" r:id="rId33"/>
    <hyperlink ref="B755" r:id="rId34" display="mailto:MEden@neea.org"/>
    <hyperlink ref="B280" r:id="rId35" display="http://www.oregon.gov/deq/RulesandRegulations/Pages/2014/&quot;&amp;S.General.CcodeName&amp;&quot;.aspx "/>
    <hyperlink ref="AB280" r:id="rId36" display="mailto:Comment-CodeName@deq.state,or,us"/>
    <hyperlink ref="AL244" r:id="rId37"/>
    <hyperlink ref="C243" r:id="rId38" display="i"/>
    <hyperlink ref="C347" r:id="rId39" display="i"/>
    <hyperlink ref="C330" r:id="rId40" display="i"/>
    <hyperlink ref="C343" r:id="rId41" display="i"/>
    <hyperlink ref="C326" r:id="rId42" display="i"/>
    <hyperlink ref="C375" r:id="rId43" display="i"/>
    <hyperlink ref="C358" r:id="rId44" display="i"/>
    <hyperlink ref="C371" r:id="rId45" display="i"/>
    <hyperlink ref="C354" r:id="rId46" display="i"/>
    <hyperlink ref="C403" r:id="rId47" display="i"/>
    <hyperlink ref="C386" r:id="rId48" display="i"/>
    <hyperlink ref="C399" r:id="rId49" display="i"/>
    <hyperlink ref="C382" r:id="rId50" display="i"/>
    <hyperlink ref="C431" r:id="rId51" display="i"/>
    <hyperlink ref="C414" r:id="rId52" display="i"/>
    <hyperlink ref="C427" r:id="rId53" display="i"/>
    <hyperlink ref="C410" r:id="rId54" display="i"/>
    <hyperlink ref="C611" r:id="rId55"/>
    <hyperlink ref="C797" r:id="rId56" display="i"/>
    <hyperlink ref="C837" r:id="rId57" display="i"/>
  </hyperlinks>
  <pageMargins left="0.53" right="0.25" top="1" bottom="0.36" header="0.3" footer="0.3"/>
  <pageSetup orientation="portrait" horizontalDpi="4294967293" r:id="rId58"/>
  <headerFooter>
    <oddHeader xml:space="preserve">&amp;L&amp;"Times New Roman,Bold"&amp;22&amp;K04-035Schedule of Tasks&amp;C&amp;"Times New Roman,Regular"&amp;14&amp;K04-043
&amp;R&amp;"Times New Roman,Regular"&amp;12&amp;K04-040
&amp;D
&amp;P of &amp;N
</oddHeader>
  </headerFooter>
  <rowBreaks count="8" manualBreakCount="8">
    <brk id="51" min="1" max="7" man="1"/>
    <brk id="230" min="1" max="7" man="1"/>
    <brk id="321" min="1" max="7" man="1"/>
    <brk id="377" min="1" max="7" man="1"/>
    <brk id="436" min="1" max="7" man="1"/>
    <brk id="470" min="1" max="7" man="1"/>
    <brk id="652" min="1" max="7" man="1"/>
    <brk id="774" min="1" max="7" man="1"/>
  </rowBreaks>
  <ignoredErrors>
    <ignoredError sqref="G659:H659 H459:H460 G668:H671 G716:H716 G856:H858 G712:G715 H847 D316 H450 F378 G443:H443 D378 G434 D434 G273:H274 H275 G451:H454 F406 D406 C319:D319 H794 G754:H754 G728:H730 B149:H155 H18 G17:H17 C6:H7 C33:H33 C103:H107 C19:H19 C13:H13 C17:F17 C30:F30 G30:H32 C160:H172 G173:H174 F177:H183 C483:H490 C478:F478 C482 E482:H482 C493:H524 C491:C492 E491:H492 B148:C148 H148 D12:H12 C32:F32 D31:F31 C92 E91:H91 C98:H99 C100:H100 C95 C93 E93:H93 C94 E94:H94 E92:H92 E95:H95 C16:H16 D15 E479:H479 C479 C28:H28 C27:G27 C43:H45 C42:G42 G773:H773 C9:H9 D8:H8 D14:H14 D18:F18 C23:H26 D22:F22 F189:H190 F184:G184 C41:H41 C110:H144 C108 E108:H108 C109 E109:H109 B168:B174 F185:G185 F186:G186 F187:G187 F188:G188 H406 H378 G333:H377 G379:H405 G378 G407:H433 G406 C298 G294:G296 H276:H282 C302 H305:H314 G319 G311:G318 G320:G322 H317 H319:H320 C315 C427 C431 G463:G465 G461:H462 G466:H468 H463:H465 H456 H632 H622 H624 H635 G732:H732 G738:H738 G745:H745 G771:H771 G761:H770 G772:H772 H782:H785 G198:H198 F15:H15 C38:H40 C37:D37 F37:H37 G239:H249 G269:H269 G261:H268 G270:H272 C29:F29 C35:H36 C34:F34 C47:H90 C46:F46 C11:H11 D10:H10 C21:H21 C20:G20" unlockedFormula="1"/>
  </ignoredErrors>
  <drawing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6"/>
  <sheetViews>
    <sheetView topLeftCell="A5" workbookViewId="0">
      <selection activeCell="D20" sqref="D20"/>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34"/>
      <c r="B1" s="321" t="s">
        <v>123</v>
      </c>
      <c r="C1" s="132" t="s">
        <v>85</v>
      </c>
      <c r="D1" s="34"/>
      <c r="E1" s="34"/>
      <c r="F1" s="34"/>
      <c r="G1" s="34"/>
      <c r="H1" s="34"/>
      <c r="I1" s="34"/>
      <c r="J1" s="34"/>
      <c r="K1" s="34"/>
      <c r="L1" s="34"/>
      <c r="M1" s="34"/>
      <c r="N1" s="34"/>
    </row>
    <row r="2" spans="1:22" s="6" customFormat="1" ht="18.75" x14ac:dyDescent="0.3">
      <c r="A2" s="34"/>
      <c r="B2" s="130" t="s">
        <v>431</v>
      </c>
      <c r="C2" s="130" t="s">
        <v>85</v>
      </c>
      <c r="D2" s="335" t="str">
        <f>HYPERLINK("\\deqhq1\Rule_Resources\i\4-Caption.pdf","i")</f>
        <v>i</v>
      </c>
      <c r="E2" s="34"/>
      <c r="F2" s="34"/>
      <c r="G2" s="34"/>
      <c r="H2" s="34"/>
      <c r="I2" s="34"/>
      <c r="J2" s="34"/>
      <c r="K2" s="34"/>
      <c r="L2" s="34"/>
      <c r="M2" s="34"/>
      <c r="N2" s="34"/>
    </row>
    <row r="3" spans="1:22" x14ac:dyDescent="0.2">
      <c r="A3" s="34"/>
      <c r="B3" s="34"/>
      <c r="C3" s="34"/>
      <c r="D3" s="34"/>
      <c r="E3" s="34"/>
      <c r="F3" s="34"/>
      <c r="G3" s="34"/>
      <c r="H3" s="34"/>
      <c r="I3" s="34"/>
      <c r="J3" s="34"/>
      <c r="K3" s="34"/>
      <c r="L3" s="34"/>
      <c r="M3" s="34"/>
      <c r="N3" s="34"/>
    </row>
    <row r="4" spans="1:22" s="6" customFormat="1" ht="54.75" customHeight="1" x14ac:dyDescent="0.2">
      <c r="A4" s="34"/>
      <c r="B4" s="1082" t="s">
        <v>282</v>
      </c>
      <c r="C4" s="1082"/>
      <c r="D4" s="1082"/>
      <c r="E4" s="1082"/>
      <c r="F4" s="1082"/>
      <c r="G4" s="1082"/>
      <c r="H4" s="1082"/>
      <c r="I4" s="34"/>
      <c r="J4" s="34"/>
      <c r="K4" s="34"/>
      <c r="L4"/>
      <c r="M4"/>
      <c r="N4"/>
      <c r="O4"/>
      <c r="P4"/>
      <c r="Q4"/>
      <c r="R4"/>
      <c r="S4"/>
      <c r="T4"/>
      <c r="U4"/>
      <c r="V4"/>
    </row>
    <row r="5" spans="1:22" ht="36" customHeight="1" x14ac:dyDescent="0.2">
      <c r="A5" s="34"/>
      <c r="B5" s="34"/>
      <c r="C5" s="455" t="s">
        <v>279</v>
      </c>
      <c r="D5" s="455" t="s">
        <v>280</v>
      </c>
      <c r="E5" s="132" t="s">
        <v>163</v>
      </c>
      <c r="F5" s="132" t="s">
        <v>164</v>
      </c>
      <c r="G5" s="132" t="s">
        <v>361</v>
      </c>
      <c r="H5" s="34"/>
      <c r="I5" s="34"/>
      <c r="J5" s="34"/>
      <c r="K5" s="34"/>
    </row>
    <row r="6" spans="1:22" ht="18.75" x14ac:dyDescent="0.3">
      <c r="A6" s="34"/>
      <c r="B6" s="131" t="s">
        <v>757</v>
      </c>
      <c r="C6" s="130" t="s">
        <v>451</v>
      </c>
      <c r="D6" s="130" t="s">
        <v>0</v>
      </c>
      <c r="E6" s="373" t="s">
        <v>0</v>
      </c>
      <c r="F6" s="373" t="s">
        <v>0</v>
      </c>
      <c r="G6" s="373" t="s">
        <v>363</v>
      </c>
      <c r="H6" s="34"/>
      <c r="I6" s="34"/>
      <c r="J6" s="34"/>
      <c r="K6" s="34"/>
    </row>
    <row r="7" spans="1:22" ht="18.75" x14ac:dyDescent="0.3">
      <c r="A7" s="34"/>
      <c r="B7" s="131" t="s">
        <v>758</v>
      </c>
      <c r="C7" s="373" t="s">
        <v>755</v>
      </c>
      <c r="D7" s="373" t="s">
        <v>0</v>
      </c>
      <c r="E7" s="373" t="s">
        <v>0</v>
      </c>
      <c r="F7" s="130" t="s">
        <v>0</v>
      </c>
      <c r="G7" s="373" t="s">
        <v>363</v>
      </c>
      <c r="H7" s="34"/>
      <c r="I7" s="34"/>
      <c r="J7" s="34"/>
      <c r="K7" s="34"/>
    </row>
    <row r="8" spans="1:22" s="6" customFormat="1" ht="18.75" x14ac:dyDescent="0.3">
      <c r="A8" s="34"/>
      <c r="B8" s="131" t="s">
        <v>759</v>
      </c>
      <c r="C8" s="130" t="s">
        <v>492</v>
      </c>
      <c r="D8" s="130" t="s">
        <v>0</v>
      </c>
      <c r="E8" s="130" t="s">
        <v>0</v>
      </c>
      <c r="F8" s="130" t="s">
        <v>0</v>
      </c>
      <c r="G8" s="130" t="s">
        <v>362</v>
      </c>
      <c r="H8" s="34"/>
      <c r="I8" s="34"/>
      <c r="J8" s="34"/>
      <c r="K8" s="34"/>
      <c r="L8"/>
      <c r="M8"/>
      <c r="N8"/>
      <c r="O8"/>
      <c r="P8"/>
      <c r="Q8"/>
      <c r="R8"/>
      <c r="S8"/>
      <c r="T8"/>
      <c r="U8"/>
      <c r="V8"/>
    </row>
    <row r="9" spans="1:22" ht="18.75" x14ac:dyDescent="0.3">
      <c r="A9" s="34"/>
      <c r="B9" s="131" t="s">
        <v>453</v>
      </c>
      <c r="C9" s="373" t="s">
        <v>445</v>
      </c>
      <c r="D9" s="373" t="s">
        <v>0</v>
      </c>
      <c r="E9" s="373" t="s">
        <v>0</v>
      </c>
      <c r="F9" s="373" t="s">
        <v>0</v>
      </c>
      <c r="G9" s="373" t="s">
        <v>362</v>
      </c>
      <c r="H9" s="34"/>
      <c r="I9" s="34"/>
      <c r="J9" s="34"/>
      <c r="K9" s="34"/>
    </row>
    <row r="10" spans="1:22" ht="18.75" x14ac:dyDescent="0.3">
      <c r="A10" s="34"/>
      <c r="B10" s="131" t="s">
        <v>281</v>
      </c>
      <c r="C10" s="130" t="s">
        <v>455</v>
      </c>
      <c r="D10" s="34" t="s">
        <v>449</v>
      </c>
      <c r="E10" s="34"/>
      <c r="F10" s="585"/>
      <c r="G10" s="34"/>
      <c r="H10" s="34"/>
      <c r="I10" s="34"/>
      <c r="J10" s="34"/>
    </row>
    <row r="11" spans="1:22" ht="19.5" thickBot="1" x14ac:dyDescent="0.35">
      <c r="A11" s="34"/>
      <c r="B11" s="131" t="s">
        <v>358</v>
      </c>
      <c r="C11" s="373" t="s">
        <v>661</v>
      </c>
      <c r="D11" s="34" t="s">
        <v>447</v>
      </c>
      <c r="E11" s="34"/>
      <c r="F11" s="585"/>
      <c r="G11" s="34"/>
      <c r="H11" s="34"/>
      <c r="I11" s="34"/>
      <c r="J11" s="34"/>
      <c r="K11" s="34"/>
      <c r="L11" s="34"/>
      <c r="M11" s="34"/>
      <c r="N11" s="34"/>
    </row>
    <row r="12" spans="1:22" ht="18.75" x14ac:dyDescent="0.3">
      <c r="A12" s="34"/>
      <c r="B12" s="131" t="s">
        <v>34</v>
      </c>
      <c r="C12" s="130" t="s">
        <v>456</v>
      </c>
      <c r="D12" s="34" t="s">
        <v>446</v>
      </c>
      <c r="E12" s="34"/>
      <c r="F12" s="586" t="s">
        <v>381</v>
      </c>
      <c r="G12" s="34"/>
      <c r="H12" s="34"/>
      <c r="I12" s="34"/>
      <c r="J12" s="34"/>
      <c r="K12" s="34"/>
      <c r="L12" s="34"/>
      <c r="M12" s="34"/>
      <c r="N12" s="34"/>
    </row>
    <row r="13" spans="1:22" ht="18.75" x14ac:dyDescent="0.3">
      <c r="A13" s="34"/>
      <c r="B13" s="131" t="s">
        <v>133</v>
      </c>
      <c r="C13" s="373" t="s">
        <v>457</v>
      </c>
      <c r="D13" s="34"/>
      <c r="E13" s="34"/>
      <c r="F13" s="587" t="s">
        <v>383</v>
      </c>
      <c r="G13" s="34"/>
      <c r="H13" s="34"/>
      <c r="I13" s="34"/>
      <c r="J13" s="34"/>
      <c r="K13" s="34"/>
      <c r="L13" s="34"/>
      <c r="M13" s="34"/>
      <c r="N13" s="34"/>
    </row>
    <row r="14" spans="1:22" ht="18.75" x14ac:dyDescent="0.3">
      <c r="A14" s="34"/>
      <c r="B14" s="131" t="s">
        <v>33</v>
      </c>
      <c r="C14" s="130" t="s">
        <v>475</v>
      </c>
      <c r="D14" s="34" t="s">
        <v>448</v>
      </c>
      <c r="E14" s="34"/>
      <c r="F14" s="588"/>
      <c r="G14" s="34"/>
      <c r="H14" s="34"/>
      <c r="I14" s="34"/>
      <c r="J14" s="34"/>
      <c r="K14" s="34"/>
      <c r="L14" s="34"/>
      <c r="M14" s="34"/>
      <c r="N14" s="34"/>
    </row>
    <row r="15" spans="1:22" ht="18.75" x14ac:dyDescent="0.3">
      <c r="A15" s="34"/>
      <c r="B15" s="131" t="s">
        <v>152</v>
      </c>
      <c r="C15" s="373" t="s">
        <v>458</v>
      </c>
      <c r="D15" s="34" t="s">
        <v>449</v>
      </c>
      <c r="E15" s="34"/>
      <c r="F15" s="588" t="s">
        <v>382</v>
      </c>
      <c r="G15" s="34"/>
      <c r="H15" s="34"/>
      <c r="I15" s="34"/>
      <c r="J15" s="34"/>
      <c r="K15" s="34"/>
      <c r="L15" s="34"/>
      <c r="M15" s="34"/>
      <c r="N15" s="34"/>
    </row>
    <row r="16" spans="1:22" s="6" customFormat="1" ht="18.75" x14ac:dyDescent="0.3">
      <c r="A16" s="34"/>
      <c r="B16" s="131" t="s">
        <v>58</v>
      </c>
      <c r="C16" s="130" t="s">
        <v>435</v>
      </c>
      <c r="D16" s="34" t="s">
        <v>450</v>
      </c>
      <c r="E16" s="34"/>
      <c r="F16" s="587" t="s">
        <v>392</v>
      </c>
      <c r="G16" s="34"/>
      <c r="H16" s="34"/>
      <c r="I16" s="34"/>
      <c r="J16" s="34"/>
      <c r="K16" s="34"/>
      <c r="L16" s="34"/>
      <c r="M16" s="34"/>
      <c r="N16" s="34"/>
    </row>
    <row r="17" spans="1:14" ht="18.75" x14ac:dyDescent="0.3">
      <c r="A17" s="34"/>
      <c r="B17" s="131" t="s">
        <v>35</v>
      </c>
      <c r="C17" s="373" t="s">
        <v>439</v>
      </c>
      <c r="D17" s="34" t="s">
        <v>450</v>
      </c>
      <c r="E17" s="34"/>
      <c r="F17" s="587" t="s">
        <v>384</v>
      </c>
      <c r="G17" s="34"/>
      <c r="H17" s="34"/>
      <c r="I17" s="34"/>
      <c r="J17" s="34"/>
      <c r="K17" s="34"/>
      <c r="L17" s="34"/>
      <c r="M17" s="34"/>
      <c r="N17" s="34"/>
    </row>
    <row r="18" spans="1:14" ht="18.75" x14ac:dyDescent="0.3">
      <c r="A18" s="34"/>
      <c r="B18" s="131" t="s">
        <v>134</v>
      </c>
      <c r="C18" s="130" t="s">
        <v>436</v>
      </c>
      <c r="D18" s="34"/>
      <c r="E18" s="6"/>
      <c r="F18" s="587" t="s">
        <v>387</v>
      </c>
      <c r="G18" s="34"/>
      <c r="H18" s="34"/>
      <c r="I18" s="34"/>
      <c r="J18" s="34"/>
      <c r="K18" s="34"/>
      <c r="L18" s="34"/>
      <c r="M18" s="34"/>
      <c r="N18" s="34"/>
    </row>
    <row r="19" spans="1:14" ht="18.75" customHeight="1" x14ac:dyDescent="0.3">
      <c r="A19" s="34"/>
      <c r="B19" s="131" t="s">
        <v>762</v>
      </c>
      <c r="C19" s="373" t="s">
        <v>761</v>
      </c>
      <c r="D19" s="580" t="s">
        <v>0</v>
      </c>
      <c r="E19" s="581"/>
      <c r="F19" s="589" t="s">
        <v>385</v>
      </c>
      <c r="G19" s="34"/>
      <c r="H19" s="34"/>
      <c r="I19" s="34"/>
      <c r="J19" s="34"/>
      <c r="K19" s="34"/>
      <c r="L19" s="34"/>
      <c r="M19" s="34"/>
      <c r="N19" s="34"/>
    </row>
    <row r="20" spans="1:14" s="6" customFormat="1" ht="18.75" x14ac:dyDescent="0.3">
      <c r="A20" s="34"/>
      <c r="B20" s="131" t="s">
        <v>36</v>
      </c>
      <c r="C20" s="130" t="s">
        <v>48</v>
      </c>
      <c r="D20" s="34" t="s">
        <v>48</v>
      </c>
      <c r="E20" s="434"/>
      <c r="F20" s="590" t="s">
        <v>386</v>
      </c>
      <c r="G20" s="34"/>
      <c r="H20" s="34"/>
      <c r="I20" s="34"/>
      <c r="J20" s="34"/>
      <c r="K20" s="34"/>
      <c r="L20" s="34"/>
      <c r="M20" s="34"/>
      <c r="N20" s="34"/>
    </row>
    <row r="21" spans="1:14" ht="18.75" x14ac:dyDescent="0.3">
      <c r="A21" s="34"/>
      <c r="B21" s="131" t="s">
        <v>37</v>
      </c>
      <c r="C21" s="373" t="s">
        <v>38</v>
      </c>
      <c r="D21" s="34" t="s">
        <v>38</v>
      </c>
      <c r="E21" s="434"/>
      <c r="F21" s="589" t="s">
        <v>388</v>
      </c>
      <c r="G21" s="34"/>
      <c r="H21" s="34"/>
      <c r="I21" s="34"/>
      <c r="J21" s="34"/>
      <c r="K21" s="34"/>
      <c r="L21" s="34"/>
      <c r="M21" s="34"/>
      <c r="N21" s="34"/>
    </row>
    <row r="22" spans="1:14" ht="18.75" x14ac:dyDescent="0.3">
      <c r="A22" s="34"/>
      <c r="B22" s="131" t="s">
        <v>47</v>
      </c>
      <c r="C22" s="130" t="s">
        <v>286</v>
      </c>
      <c r="D22" s="34"/>
      <c r="E22" s="34"/>
      <c r="F22" s="591" t="s">
        <v>391</v>
      </c>
      <c r="G22" s="34"/>
      <c r="H22" s="34"/>
      <c r="I22" s="34"/>
      <c r="J22" s="34"/>
      <c r="K22" s="34"/>
      <c r="L22" s="34"/>
      <c r="M22" s="34"/>
      <c r="N22" s="34"/>
    </row>
    <row r="23" spans="1:14" s="6" customFormat="1" ht="18.75" x14ac:dyDescent="0.3">
      <c r="A23" s="34"/>
      <c r="B23" s="131" t="s">
        <v>303</v>
      </c>
      <c r="C23" s="373" t="s">
        <v>438</v>
      </c>
      <c r="D23" s="34"/>
      <c r="E23" s="34"/>
      <c r="F23" s="592" t="s">
        <v>389</v>
      </c>
      <c r="G23" s="34"/>
      <c r="H23" s="34"/>
      <c r="I23" s="34"/>
      <c r="J23" s="34"/>
      <c r="K23" s="34"/>
      <c r="L23" s="34"/>
      <c r="M23" s="34"/>
      <c r="N23" s="34"/>
    </row>
    <row r="24" spans="1:14" s="6" customFormat="1" ht="18.75" x14ac:dyDescent="0.3">
      <c r="A24" s="34"/>
      <c r="B24" s="131" t="s">
        <v>302</v>
      </c>
      <c r="C24" s="373" t="s">
        <v>437</v>
      </c>
      <c r="D24" s="34"/>
      <c r="E24" s="34"/>
      <c r="F24" s="592" t="s">
        <v>390</v>
      </c>
      <c r="G24" s="34"/>
      <c r="H24" s="34"/>
      <c r="I24" s="34"/>
      <c r="J24" s="34"/>
      <c r="K24" s="34"/>
      <c r="L24" s="34"/>
      <c r="M24" s="34"/>
      <c r="N24" s="34"/>
    </row>
    <row r="25" spans="1:14" ht="18.75" x14ac:dyDescent="0.3">
      <c r="A25" s="34"/>
      <c r="B25" s="131" t="s">
        <v>132</v>
      </c>
      <c r="C25" s="130" t="s">
        <v>570</v>
      </c>
      <c r="D25" s="34"/>
      <c r="E25" s="34"/>
      <c r="F25" s="588"/>
      <c r="G25" s="34"/>
      <c r="H25" s="34"/>
      <c r="I25" s="34"/>
      <c r="J25" s="34"/>
      <c r="K25" s="34"/>
      <c r="L25" s="34"/>
      <c r="M25" s="34"/>
      <c r="N25" s="34"/>
    </row>
    <row r="26" spans="1:14" ht="19.5" thickBot="1" x14ac:dyDescent="0.35">
      <c r="A26" s="34"/>
      <c r="B26" s="131" t="s">
        <v>124</v>
      </c>
      <c r="C26" s="130" t="s">
        <v>760</v>
      </c>
      <c r="D26" s="34"/>
      <c r="E26" s="34"/>
      <c r="F26" s="593"/>
      <c r="G26" s="34"/>
      <c r="H26" s="34"/>
      <c r="I26" s="34"/>
      <c r="J26" s="34"/>
      <c r="K26" s="34"/>
      <c r="L26" s="34"/>
      <c r="M26" s="34"/>
      <c r="N26" s="34"/>
    </row>
    <row r="27" spans="1:14" ht="18.75" x14ac:dyDescent="0.3">
      <c r="A27" s="34"/>
      <c r="B27" s="34"/>
      <c r="C27" s="34"/>
      <c r="D27" s="34"/>
      <c r="E27" s="34"/>
      <c r="F27" s="585"/>
      <c r="G27" s="34"/>
      <c r="H27" s="34"/>
      <c r="I27" s="34"/>
      <c r="J27" s="34"/>
      <c r="K27" s="34"/>
      <c r="L27" s="34"/>
      <c r="M27" s="34"/>
      <c r="N27" s="34"/>
    </row>
    <row r="28" spans="1:14" ht="18.75" x14ac:dyDescent="0.3">
      <c r="A28" s="34"/>
      <c r="B28" s="34"/>
      <c r="C28" s="34"/>
      <c r="D28" s="34"/>
      <c r="E28" s="34"/>
      <c r="F28" s="585"/>
      <c r="G28" s="34"/>
      <c r="H28" s="34"/>
      <c r="I28" s="34"/>
      <c r="J28" s="34"/>
      <c r="K28" s="34"/>
      <c r="L28" s="34"/>
      <c r="M28" s="34"/>
      <c r="N28" s="34"/>
    </row>
    <row r="29" spans="1:14" s="6" customFormat="1" ht="18.75" x14ac:dyDescent="0.3">
      <c r="A29" s="34"/>
      <c r="C29" s="34"/>
      <c r="D29" s="34"/>
      <c r="E29" s="34"/>
      <c r="F29" s="585"/>
      <c r="G29" s="34"/>
      <c r="H29" s="34"/>
      <c r="I29" s="34"/>
      <c r="J29" s="34"/>
      <c r="K29" s="34"/>
      <c r="L29" s="34"/>
      <c r="M29" s="34"/>
      <c r="N29" s="34"/>
    </row>
    <row r="30" spans="1:14" s="6" customFormat="1" ht="15" thickBot="1" x14ac:dyDescent="0.25">
      <c r="A30" s="34"/>
      <c r="B30" s="34"/>
      <c r="C30" s="34"/>
      <c r="D30" s="34"/>
      <c r="E30" s="34"/>
      <c r="F30" s="34"/>
      <c r="G30" s="34"/>
      <c r="H30" s="34"/>
      <c r="I30" s="34"/>
      <c r="J30" s="34"/>
      <c r="K30" s="34"/>
      <c r="L30" s="34"/>
      <c r="M30" s="34"/>
      <c r="N30" s="34"/>
    </row>
    <row r="31" spans="1:14" ht="15.75" customHeight="1" x14ac:dyDescent="0.2">
      <c r="A31" s="34"/>
      <c r="B31" s="1080" t="s">
        <v>452</v>
      </c>
      <c r="C31" s="1081"/>
      <c r="D31" s="34"/>
      <c r="E31" s="34"/>
      <c r="F31" s="34"/>
      <c r="G31" s="34"/>
      <c r="H31" s="34"/>
      <c r="I31" s="34"/>
      <c r="J31" s="34"/>
      <c r="K31" s="34"/>
      <c r="L31" s="579"/>
    </row>
    <row r="32" spans="1:14" ht="15.75" x14ac:dyDescent="0.25">
      <c r="A32" s="34"/>
      <c r="B32" s="594" t="s">
        <v>754</v>
      </c>
      <c r="C32" s="595" t="s">
        <v>147</v>
      </c>
      <c r="D32" s="34"/>
      <c r="E32" s="34"/>
      <c r="F32" s="34"/>
      <c r="G32" s="34"/>
      <c r="H32" s="34"/>
      <c r="I32" s="34"/>
      <c r="J32" s="34"/>
      <c r="K32" s="34"/>
      <c r="L32" s="34"/>
    </row>
    <row r="33" spans="1:12" s="742" customFormat="1" ht="15.75" x14ac:dyDescent="0.25">
      <c r="A33" s="34"/>
      <c r="B33" s="594" t="s">
        <v>753</v>
      </c>
      <c r="C33" s="595" t="s">
        <v>150</v>
      </c>
      <c r="D33" s="34"/>
      <c r="E33" s="34"/>
      <c r="F33" s="34"/>
      <c r="G33" s="34"/>
      <c r="H33" s="34"/>
      <c r="I33" s="34"/>
      <c r="J33" s="34"/>
      <c r="K33" s="34"/>
      <c r="L33" s="34"/>
    </row>
    <row r="34" spans="1:12" ht="15.75" x14ac:dyDescent="0.25">
      <c r="A34" s="34"/>
      <c r="B34" s="594" t="s">
        <v>752</v>
      </c>
      <c r="C34" s="595" t="s">
        <v>149</v>
      </c>
      <c r="D34" s="34"/>
      <c r="E34" s="34"/>
      <c r="F34" s="34"/>
      <c r="G34" s="34"/>
      <c r="H34" s="34"/>
      <c r="I34" s="34"/>
      <c r="J34" s="34"/>
      <c r="K34" s="34"/>
      <c r="L34" s="34"/>
    </row>
    <row r="35" spans="1:12" ht="16.5" thickBot="1" x14ac:dyDescent="0.3">
      <c r="A35" s="34"/>
      <c r="B35" s="596" t="s">
        <v>492</v>
      </c>
      <c r="C35" s="597" t="s">
        <v>433</v>
      </c>
      <c r="D35" s="34"/>
      <c r="E35" s="34"/>
      <c r="F35" s="34"/>
      <c r="G35" s="34"/>
      <c r="H35" s="34"/>
      <c r="I35" s="34"/>
      <c r="J35" s="34"/>
      <c r="K35" s="34"/>
    </row>
    <row r="36" spans="1:12" ht="15" thickBot="1" x14ac:dyDescent="0.25">
      <c r="A36" s="34"/>
      <c r="B36" s="34"/>
      <c r="C36" s="34"/>
      <c r="D36" s="34"/>
      <c r="E36" s="34"/>
      <c r="F36" s="34"/>
      <c r="G36" s="34"/>
      <c r="H36" s="34"/>
      <c r="I36" s="34"/>
      <c r="J36" s="34"/>
      <c r="K36" s="34"/>
    </row>
    <row r="37" spans="1:12" x14ac:dyDescent="0.2">
      <c r="A37" s="34"/>
      <c r="B37" s="1080" t="s">
        <v>153</v>
      </c>
      <c r="C37" s="1081"/>
      <c r="D37" s="34"/>
      <c r="E37" s="34"/>
      <c r="F37" s="34"/>
      <c r="G37" s="34"/>
      <c r="H37" s="34"/>
      <c r="I37" s="34"/>
      <c r="J37" s="34"/>
      <c r="K37" s="34"/>
    </row>
    <row r="38" spans="1:12" ht="15.75" x14ac:dyDescent="0.25">
      <c r="A38" s="34"/>
      <c r="B38" s="594" t="s">
        <v>140</v>
      </c>
      <c r="C38" s="595" t="s">
        <v>147</v>
      </c>
      <c r="D38" s="34"/>
      <c r="E38" s="34"/>
      <c r="F38" s="34"/>
      <c r="G38" s="34"/>
      <c r="H38" s="34"/>
      <c r="I38" s="34"/>
      <c r="J38" s="34"/>
      <c r="K38" s="34"/>
    </row>
    <row r="39" spans="1:12" s="742" customFormat="1" ht="15.75" x14ac:dyDescent="0.25">
      <c r="A39" s="34"/>
      <c r="B39" s="594" t="s">
        <v>432</v>
      </c>
      <c r="C39" s="595" t="s">
        <v>149</v>
      </c>
      <c r="D39" s="34"/>
      <c r="E39" s="34"/>
      <c r="F39" s="34"/>
      <c r="G39" s="34"/>
      <c r="H39" s="34"/>
      <c r="I39" s="34"/>
      <c r="J39" s="34"/>
      <c r="K39" s="34"/>
    </row>
    <row r="40" spans="1:12" ht="15.75" x14ac:dyDescent="0.25">
      <c r="A40" s="34"/>
      <c r="B40" s="594" t="s">
        <v>434</v>
      </c>
      <c r="C40" s="595" t="s">
        <v>150</v>
      </c>
      <c r="D40" s="34"/>
      <c r="E40" s="34"/>
      <c r="F40" s="34"/>
      <c r="G40" s="34"/>
      <c r="H40" s="34"/>
      <c r="I40" s="34"/>
      <c r="J40" s="34"/>
      <c r="K40" s="34"/>
    </row>
    <row r="41" spans="1:12" ht="16.5" thickBot="1" x14ac:dyDescent="0.3">
      <c r="A41" s="34"/>
      <c r="B41" s="596" t="s">
        <v>435</v>
      </c>
      <c r="C41" s="597" t="s">
        <v>150</v>
      </c>
      <c r="D41" s="34"/>
      <c r="E41" s="34"/>
      <c r="F41" s="34"/>
      <c r="G41" s="34"/>
      <c r="H41" s="34"/>
      <c r="I41" s="34"/>
      <c r="J41" s="34"/>
      <c r="K41" s="34"/>
    </row>
    <row r="42" spans="1:12" ht="15" thickBot="1" x14ac:dyDescent="0.25">
      <c r="A42" s="34"/>
      <c r="C42" s="34"/>
      <c r="D42" s="34"/>
      <c r="E42" s="34"/>
      <c r="F42" s="34"/>
      <c r="G42" s="34"/>
      <c r="H42" s="34"/>
      <c r="I42" s="34"/>
      <c r="J42" s="34"/>
      <c r="K42" s="34"/>
    </row>
    <row r="43" spans="1:12" x14ac:dyDescent="0.2">
      <c r="A43" s="34"/>
      <c r="B43" s="598" t="s">
        <v>146</v>
      </c>
      <c r="C43" s="599"/>
      <c r="D43" s="34"/>
      <c r="E43" s="34"/>
      <c r="F43" s="34"/>
      <c r="G43" s="34"/>
      <c r="H43" s="34"/>
      <c r="I43" s="34"/>
      <c r="J43" s="34"/>
      <c r="K43" s="34"/>
    </row>
    <row r="44" spans="1:12" ht="15.75" x14ac:dyDescent="0.25">
      <c r="A44" s="34"/>
      <c r="B44" s="594" t="s">
        <v>139</v>
      </c>
      <c r="C44" s="595" t="s">
        <v>147</v>
      </c>
      <c r="D44" s="34"/>
      <c r="E44" s="34"/>
      <c r="F44" s="34"/>
      <c r="G44" s="34"/>
      <c r="H44" s="34"/>
      <c r="I44" s="34"/>
      <c r="J44" s="34"/>
      <c r="K44" s="34"/>
    </row>
    <row r="45" spans="1:12" s="742" customFormat="1" ht="15.75" x14ac:dyDescent="0.25">
      <c r="A45" s="34"/>
      <c r="B45" s="594" t="s">
        <v>148</v>
      </c>
      <c r="C45" s="595" t="s">
        <v>149</v>
      </c>
      <c r="D45" s="34"/>
      <c r="E45" s="34"/>
      <c r="F45" s="34"/>
      <c r="G45" s="34"/>
      <c r="H45" s="34"/>
      <c r="I45" s="34"/>
      <c r="J45" s="34"/>
      <c r="K45" s="34"/>
    </row>
    <row r="46" spans="1:12" ht="15.75" x14ac:dyDescent="0.25">
      <c r="A46" s="34"/>
      <c r="B46" s="594" t="s">
        <v>151</v>
      </c>
      <c r="C46" s="595" t="s">
        <v>150</v>
      </c>
      <c r="D46" s="34"/>
      <c r="E46" s="34"/>
      <c r="F46" s="34"/>
      <c r="G46" s="34"/>
      <c r="H46" s="34"/>
      <c r="I46" s="34"/>
      <c r="J46" s="34"/>
      <c r="K46" s="34"/>
    </row>
    <row r="47" spans="1:12" ht="16.5" thickBot="1" x14ac:dyDescent="0.3">
      <c r="A47" s="34"/>
      <c r="B47" s="596" t="s">
        <v>436</v>
      </c>
      <c r="C47" s="597" t="s">
        <v>150</v>
      </c>
      <c r="D47" s="34"/>
      <c r="E47" s="34"/>
      <c r="F47" s="34"/>
      <c r="G47" s="34"/>
      <c r="H47" s="34"/>
      <c r="I47" s="34"/>
      <c r="J47" s="34"/>
      <c r="K47" s="34"/>
    </row>
    <row r="48" spans="1:12" x14ac:dyDescent="0.2">
      <c r="A48" s="34"/>
      <c r="D48" s="34"/>
      <c r="E48" s="34"/>
      <c r="F48" s="34"/>
      <c r="G48" s="34"/>
      <c r="H48" s="34"/>
      <c r="I48" s="34"/>
      <c r="J48" s="34"/>
      <c r="K48" s="34"/>
    </row>
    <row r="49" spans="1:11" ht="15" thickBot="1" x14ac:dyDescent="0.25">
      <c r="A49" s="34"/>
      <c r="B49" s="34"/>
      <c r="C49" s="34"/>
      <c r="D49" s="34"/>
      <c r="E49" s="34"/>
      <c r="F49" s="34"/>
      <c r="G49" s="34"/>
      <c r="H49" s="34"/>
      <c r="I49" s="34"/>
      <c r="J49" s="34"/>
      <c r="K49" s="34"/>
    </row>
    <row r="50" spans="1:11" x14ac:dyDescent="0.2">
      <c r="A50" s="34"/>
      <c r="B50" s="1080" t="s">
        <v>439</v>
      </c>
      <c r="C50" s="1081"/>
      <c r="D50" s="34"/>
      <c r="E50" s="34"/>
      <c r="F50" s="34"/>
      <c r="G50" s="34"/>
      <c r="H50" s="34"/>
      <c r="I50" s="34"/>
      <c r="J50" s="34"/>
      <c r="K50" s="34"/>
    </row>
    <row r="51" spans="1:11" ht="15.75" x14ac:dyDescent="0.25">
      <c r="A51" s="34"/>
      <c r="B51" s="594" t="s">
        <v>440</v>
      </c>
      <c r="C51" s="595" t="s">
        <v>147</v>
      </c>
      <c r="D51" s="34"/>
      <c r="E51" s="34"/>
      <c r="F51" s="34"/>
      <c r="G51" s="34"/>
      <c r="H51" s="34"/>
      <c r="I51" s="34"/>
      <c r="J51" s="34"/>
      <c r="K51" s="34"/>
    </row>
    <row r="52" spans="1:11" s="742" customFormat="1" ht="15.75" x14ac:dyDescent="0.25">
      <c r="A52" s="34"/>
      <c r="B52" s="594" t="s">
        <v>442</v>
      </c>
      <c r="C52" s="595" t="s">
        <v>443</v>
      </c>
      <c r="D52" s="34"/>
      <c r="E52" s="34"/>
      <c r="F52" s="34"/>
      <c r="G52" s="34"/>
      <c r="H52" s="34"/>
      <c r="I52" s="34"/>
      <c r="J52" s="34"/>
      <c r="K52" s="34"/>
    </row>
    <row r="53" spans="1:11" ht="15.75" x14ac:dyDescent="0.25">
      <c r="B53" s="594" t="s">
        <v>441</v>
      </c>
      <c r="C53" s="595" t="s">
        <v>150</v>
      </c>
      <c r="D53" s="34"/>
      <c r="E53" s="34"/>
      <c r="F53" s="34"/>
      <c r="G53" s="34"/>
      <c r="H53" s="34"/>
      <c r="I53" s="34"/>
      <c r="J53" s="34"/>
      <c r="K53" s="34"/>
    </row>
    <row r="54" spans="1:11" ht="15.75" x14ac:dyDescent="0.25">
      <c r="B54" s="594" t="s">
        <v>440</v>
      </c>
      <c r="C54" s="595" t="s">
        <v>149</v>
      </c>
      <c r="D54" s="34"/>
      <c r="E54" s="34"/>
      <c r="F54" s="34"/>
      <c r="G54" s="34"/>
      <c r="H54" s="34"/>
      <c r="I54" s="34"/>
      <c r="J54" s="34"/>
      <c r="K54" s="34"/>
    </row>
    <row r="55" spans="1:11" ht="16.5" thickBot="1" x14ac:dyDescent="0.3">
      <c r="B55" s="596" t="s">
        <v>439</v>
      </c>
      <c r="C55" s="597" t="s">
        <v>433</v>
      </c>
      <c r="F55" s="34"/>
      <c r="G55" s="34"/>
      <c r="H55" s="34"/>
      <c r="I55" s="34"/>
      <c r="J55" s="34"/>
      <c r="K55" s="34"/>
    </row>
    <row r="56" spans="1:11" x14ac:dyDescent="0.2">
      <c r="F56" s="34"/>
    </row>
  </sheetData>
  <mergeCells count="4">
    <mergeCell ref="B37:C37"/>
    <mergeCell ref="B4:H4"/>
    <mergeCell ref="B31:C31"/>
    <mergeCell ref="B50:C50"/>
  </mergeCells>
  <dataValidations xWindow="699" yWindow="635"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313"/>
  <sheetViews>
    <sheetView workbookViewId="0">
      <selection activeCell="B20" sqref="B20"/>
    </sheetView>
  </sheetViews>
  <sheetFormatPr defaultColWidth="9" defaultRowHeight="15.75" x14ac:dyDescent="0.25"/>
  <cols>
    <col min="1" max="1" width="7.25" style="1" customWidth="1"/>
    <col min="2" max="2" width="20" style="4" customWidth="1"/>
    <col min="3" max="3" width="20.25" style="4" customWidth="1"/>
    <col min="4" max="4" width="17.25" style="1" customWidth="1"/>
    <col min="5" max="5" width="5" style="1" customWidth="1"/>
    <col min="6" max="6" width="29.75" style="1" customWidth="1"/>
    <col min="7" max="7" width="3.375" style="1" customWidth="1"/>
    <col min="8" max="8" width="12.625" style="1" customWidth="1"/>
    <col min="9" max="9" width="21.25" style="1" customWidth="1"/>
    <col min="10" max="10" width="11.875" style="1" customWidth="1"/>
    <col min="11" max="11" width="9.625" style="1" customWidth="1"/>
    <col min="12" max="12" width="9.625" style="22" customWidth="1"/>
    <col min="13" max="13" width="37.625" style="804" customWidth="1"/>
    <col min="14" max="14" width="37.75" style="803" customWidth="1"/>
    <col min="15" max="15" width="30.875" style="803" customWidth="1"/>
    <col min="16" max="16" width="30.625" style="803" customWidth="1"/>
    <col min="17" max="16384" width="9" style="1"/>
  </cols>
  <sheetData>
    <row r="1" spans="1:16" ht="26.25" customHeight="1" x14ac:dyDescent="0.3">
      <c r="A1" s="803"/>
      <c r="B1" s="874" t="s">
        <v>621</v>
      </c>
      <c r="C1" s="874"/>
      <c r="D1" s="874"/>
      <c r="E1" s="874"/>
      <c r="F1" s="803"/>
      <c r="G1" s="803"/>
      <c r="H1" s="803"/>
      <c r="I1" s="803"/>
      <c r="J1" s="803"/>
      <c r="K1" s="803"/>
      <c r="L1" s="804"/>
    </row>
    <row r="2" spans="1:16" ht="18.75" thickBot="1" x14ac:dyDescent="0.3">
      <c r="A2" s="868" t="s">
        <v>608</v>
      </c>
      <c r="B2" s="819" t="s">
        <v>605</v>
      </c>
      <c r="C2" s="2" t="s">
        <v>10</v>
      </c>
      <c r="D2" s="2" t="s">
        <v>11</v>
      </c>
      <c r="E2" s="34"/>
      <c r="F2" s="34"/>
      <c r="G2" s="34"/>
      <c r="H2" s="34"/>
      <c r="I2" s="803"/>
      <c r="J2" s="803"/>
      <c r="K2" s="803"/>
      <c r="L2" s="34"/>
      <c r="M2" s="34"/>
      <c r="N2" s="34"/>
      <c r="O2" s="34"/>
    </row>
    <row r="3" spans="1:16" s="821" customFormat="1" ht="29.25" customHeight="1" thickBot="1" x14ac:dyDescent="0.25">
      <c r="A3" s="820"/>
      <c r="B3" s="1084" t="s">
        <v>620</v>
      </c>
      <c r="C3" s="1085"/>
      <c r="D3" s="1086"/>
      <c r="E3" s="820"/>
      <c r="F3" s="820"/>
      <c r="G3" s="820"/>
      <c r="H3" s="820"/>
      <c r="I3" s="866" t="s">
        <v>612</v>
      </c>
      <c r="J3" s="820"/>
      <c r="K3" s="820"/>
      <c r="L3" s="820"/>
      <c r="M3" s="820"/>
      <c r="N3" s="820"/>
      <c r="O3" s="820"/>
      <c r="P3" s="820"/>
    </row>
    <row r="4" spans="1:16" ht="32.25" thickBot="1" x14ac:dyDescent="0.3">
      <c r="A4" s="803"/>
      <c r="B4" s="870" t="s">
        <v>615</v>
      </c>
      <c r="C4" s="21" t="s">
        <v>0</v>
      </c>
      <c r="D4" s="818" t="s">
        <v>0</v>
      </c>
      <c r="E4" s="34"/>
      <c r="F4" s="34"/>
      <c r="G4" s="34"/>
      <c r="H4" s="867" t="s">
        <v>609</v>
      </c>
      <c r="I4" s="865" t="s">
        <v>616</v>
      </c>
      <c r="J4" s="803"/>
      <c r="K4" s="803"/>
      <c r="L4" s="803"/>
      <c r="M4" s="803"/>
    </row>
    <row r="5" spans="1:16" ht="18.75" customHeight="1" x14ac:dyDescent="0.25">
      <c r="A5" s="803"/>
      <c r="B5" s="871">
        <v>41353</v>
      </c>
      <c r="C5" s="7">
        <v>41316</v>
      </c>
      <c r="D5" s="847">
        <v>41346</v>
      </c>
      <c r="E5" s="805"/>
      <c r="F5" s="1083" t="s">
        <v>155</v>
      </c>
      <c r="G5" s="817"/>
      <c r="H5" s="34"/>
      <c r="I5" s="850" t="s">
        <v>335</v>
      </c>
      <c r="J5" s="34"/>
      <c r="K5" s="34"/>
      <c r="L5" s="34"/>
      <c r="M5" s="34"/>
      <c r="N5" s="34"/>
      <c r="O5" s="34"/>
    </row>
    <row r="6" spans="1:16" ht="18.75" customHeight="1" x14ac:dyDescent="0.25">
      <c r="A6" s="803"/>
      <c r="B6" s="871">
        <v>41444</v>
      </c>
      <c r="C6" s="7">
        <v>41404</v>
      </c>
      <c r="D6" s="847">
        <v>41437</v>
      </c>
      <c r="E6" s="805"/>
      <c r="F6" s="1083"/>
      <c r="G6" s="817"/>
      <c r="H6" s="34"/>
      <c r="I6" s="851" t="s">
        <v>336</v>
      </c>
      <c r="J6" s="34"/>
      <c r="K6" s="34"/>
      <c r="L6" s="34"/>
      <c r="M6" s="34"/>
      <c r="N6" s="34"/>
      <c r="O6" s="34"/>
    </row>
    <row r="7" spans="1:16" ht="18.75" customHeight="1" x14ac:dyDescent="0.25">
      <c r="A7" s="803"/>
      <c r="B7" s="871">
        <v>41507</v>
      </c>
      <c r="C7" s="7">
        <v>41471</v>
      </c>
      <c r="D7" s="847">
        <v>41500</v>
      </c>
      <c r="E7" s="805"/>
      <c r="F7" s="1083"/>
      <c r="G7" s="817"/>
      <c r="H7" s="34"/>
      <c r="I7" s="851" t="s">
        <v>337</v>
      </c>
      <c r="J7" s="34"/>
      <c r="K7" s="34"/>
      <c r="L7" s="34"/>
      <c r="M7" s="34"/>
      <c r="N7" s="34"/>
      <c r="O7" s="34"/>
    </row>
    <row r="8" spans="1:16" ht="15.75" customHeight="1" x14ac:dyDescent="0.25">
      <c r="A8" s="803"/>
      <c r="B8" s="871">
        <v>41563</v>
      </c>
      <c r="C8" s="7">
        <v>41527</v>
      </c>
      <c r="D8" s="847">
        <v>41556</v>
      </c>
      <c r="E8" s="805"/>
      <c r="F8" s="1083"/>
      <c r="G8" s="817"/>
      <c r="H8" s="34"/>
      <c r="I8" s="851" t="s">
        <v>338</v>
      </c>
      <c r="J8" s="34"/>
      <c r="K8" s="34"/>
      <c r="L8" s="34"/>
      <c r="M8" s="34"/>
      <c r="N8" s="34"/>
      <c r="O8" s="34"/>
    </row>
    <row r="9" spans="1:16" ht="20.25" x14ac:dyDescent="0.25">
      <c r="A9" s="803"/>
      <c r="B9" s="871">
        <v>41619</v>
      </c>
      <c r="C9" s="7">
        <v>41579</v>
      </c>
      <c r="D9" s="847">
        <v>41612</v>
      </c>
      <c r="E9" s="34"/>
      <c r="F9" s="1083"/>
      <c r="G9" s="817"/>
      <c r="H9" s="34"/>
      <c r="I9" s="851" t="s">
        <v>334</v>
      </c>
      <c r="J9" s="34"/>
      <c r="K9" s="34"/>
      <c r="L9" s="34"/>
      <c r="M9" s="34"/>
      <c r="N9" s="34"/>
      <c r="O9" s="34"/>
    </row>
    <row r="10" spans="1:16" ht="18.75" customHeight="1" x14ac:dyDescent="0.25">
      <c r="A10" s="803"/>
      <c r="B10" s="871">
        <v>41718</v>
      </c>
      <c r="C10" s="7">
        <v>41683</v>
      </c>
      <c r="D10" s="847">
        <v>41694</v>
      </c>
      <c r="E10" s="34"/>
      <c r="F10" s="34"/>
      <c r="G10" s="34"/>
      <c r="H10" s="34"/>
      <c r="I10" s="851" t="s">
        <v>339</v>
      </c>
      <c r="J10" s="34"/>
      <c r="K10" s="34"/>
      <c r="L10" s="34"/>
      <c r="M10" s="34"/>
      <c r="N10" s="34"/>
      <c r="O10" s="34"/>
    </row>
    <row r="11" spans="1:16" ht="18.75" customHeight="1" x14ac:dyDescent="0.25">
      <c r="A11" s="803"/>
      <c r="B11" s="871">
        <v>41808</v>
      </c>
      <c r="C11" s="7">
        <v>41771</v>
      </c>
      <c r="D11" s="847">
        <v>41785</v>
      </c>
      <c r="E11" s="34"/>
      <c r="F11" s="34"/>
      <c r="G11" s="34"/>
      <c r="H11" s="34"/>
      <c r="I11" s="852" t="s">
        <v>340</v>
      </c>
      <c r="J11" s="34"/>
      <c r="K11" s="34"/>
      <c r="L11" s="34"/>
      <c r="M11" s="34"/>
      <c r="N11" s="34"/>
      <c r="O11" s="34"/>
    </row>
    <row r="12" spans="1:16" ht="18.75" customHeight="1" x14ac:dyDescent="0.25">
      <c r="A12" s="803"/>
      <c r="B12" s="871">
        <v>41878</v>
      </c>
      <c r="C12" s="7">
        <v>41844</v>
      </c>
      <c r="D12" s="847">
        <v>41855</v>
      </c>
      <c r="E12" s="34"/>
      <c r="F12" s="34"/>
      <c r="G12" s="34"/>
      <c r="H12" s="34"/>
      <c r="I12" s="852" t="s">
        <v>342</v>
      </c>
      <c r="J12" s="34"/>
      <c r="K12" s="34"/>
      <c r="L12" s="34"/>
      <c r="M12" s="34"/>
      <c r="N12" s="34"/>
      <c r="O12" s="34"/>
    </row>
    <row r="13" spans="1:16" ht="16.5" thickBot="1" x14ac:dyDescent="0.3">
      <c r="A13" s="803"/>
      <c r="B13" s="871">
        <v>41948</v>
      </c>
      <c r="C13" s="7">
        <v>41911</v>
      </c>
      <c r="D13" s="847">
        <v>41925</v>
      </c>
      <c r="E13" s="34"/>
      <c r="F13" s="34"/>
      <c r="G13" s="34"/>
      <c r="H13" s="34"/>
      <c r="I13" s="853" t="s">
        <v>341</v>
      </c>
      <c r="J13" s="34"/>
      <c r="K13" s="34"/>
      <c r="L13" s="34"/>
      <c r="M13" s="34"/>
      <c r="N13" s="34"/>
      <c r="O13" s="34"/>
    </row>
    <row r="14" spans="1:16" ht="16.5" thickBot="1" x14ac:dyDescent="0.3">
      <c r="A14" s="803"/>
      <c r="B14" s="871">
        <v>42011</v>
      </c>
      <c r="C14" s="7">
        <v>41975</v>
      </c>
      <c r="D14" s="847">
        <v>41983</v>
      </c>
      <c r="E14" s="807"/>
      <c r="F14" s="34"/>
      <c r="G14" s="34"/>
      <c r="H14" s="34"/>
      <c r="I14" s="1096" t="s">
        <v>613</v>
      </c>
      <c r="J14" s="34"/>
      <c r="K14" s="34"/>
      <c r="L14" s="34"/>
      <c r="M14" s="34"/>
      <c r="N14" s="34"/>
      <c r="O14" s="34"/>
    </row>
    <row r="15" spans="1:16" ht="21" thickTop="1" x14ac:dyDescent="0.25">
      <c r="A15" s="803"/>
      <c r="B15" s="871">
        <v>42109</v>
      </c>
      <c r="C15" s="7">
        <f t="shared" ref="C15:C26" si="0">WORKDAY(B15-40,-1,S.DDL_DEQClosed)</f>
        <v>42068</v>
      </c>
      <c r="D15" s="847">
        <f t="shared" ref="D15:D26" si="1">WORKDAY(B15-9,-1,S.DDL_DEQClosed)</f>
        <v>42097</v>
      </c>
      <c r="E15" s="808"/>
      <c r="F15" s="1101" t="s">
        <v>606</v>
      </c>
      <c r="G15" s="813"/>
      <c r="H15" s="34"/>
      <c r="I15" s="1097"/>
      <c r="J15" s="34"/>
      <c r="K15" s="34"/>
      <c r="L15" s="34"/>
      <c r="M15" s="34"/>
      <c r="N15" s="34"/>
      <c r="O15" s="34"/>
    </row>
    <row r="16" spans="1:16" ht="20.25" x14ac:dyDescent="0.25">
      <c r="A16" s="803"/>
      <c r="B16" s="871">
        <v>42165</v>
      </c>
      <c r="C16" s="7">
        <f t="shared" si="0"/>
        <v>42124</v>
      </c>
      <c r="D16" s="847">
        <f t="shared" si="1"/>
        <v>42153</v>
      </c>
      <c r="E16" s="809"/>
      <c r="F16" s="1101"/>
      <c r="G16" s="813"/>
      <c r="H16" s="34"/>
      <c r="I16" s="34"/>
      <c r="J16" s="34"/>
      <c r="K16" s="34"/>
      <c r="L16" s="34"/>
      <c r="M16" s="34"/>
      <c r="N16" s="34"/>
      <c r="O16" s="34"/>
    </row>
    <row r="17" spans="1:18" ht="20.25" x14ac:dyDescent="0.25">
      <c r="A17" s="803"/>
      <c r="B17" s="871">
        <v>42228</v>
      </c>
      <c r="C17" s="7">
        <f t="shared" si="0"/>
        <v>42187</v>
      </c>
      <c r="D17" s="847">
        <f t="shared" si="1"/>
        <v>42216</v>
      </c>
      <c r="E17" s="809"/>
      <c r="F17" s="1101"/>
      <c r="G17" s="813"/>
      <c r="H17" s="34"/>
      <c r="I17" s="34"/>
      <c r="J17" s="34"/>
      <c r="K17" s="34"/>
      <c r="L17" s="34"/>
      <c r="M17" s="34"/>
      <c r="N17" s="34"/>
      <c r="O17" s="34"/>
    </row>
    <row r="18" spans="1:18" ht="20.25" x14ac:dyDescent="0.25">
      <c r="A18" s="803"/>
      <c r="B18" s="871">
        <v>42291</v>
      </c>
      <c r="C18" s="7">
        <f t="shared" si="0"/>
        <v>42250</v>
      </c>
      <c r="D18" s="847">
        <f t="shared" si="1"/>
        <v>42279</v>
      </c>
      <c r="E18" s="809"/>
      <c r="F18" s="1101"/>
      <c r="G18" s="813"/>
      <c r="H18" s="34"/>
      <c r="I18" s="34"/>
      <c r="J18" s="34"/>
      <c r="K18" s="34"/>
      <c r="L18" s="34"/>
      <c r="M18" s="34"/>
      <c r="N18" s="34"/>
      <c r="O18" s="34"/>
    </row>
    <row r="19" spans="1:18" ht="20.25" x14ac:dyDescent="0.25">
      <c r="A19" s="803"/>
      <c r="B19" s="871">
        <v>42347</v>
      </c>
      <c r="C19" s="7">
        <f t="shared" si="0"/>
        <v>42306</v>
      </c>
      <c r="D19" s="847">
        <f t="shared" si="1"/>
        <v>42335</v>
      </c>
      <c r="E19" s="809"/>
      <c r="F19" s="1101"/>
      <c r="G19" s="813"/>
      <c r="H19" s="34"/>
      <c r="I19" s="34"/>
      <c r="J19" s="34"/>
      <c r="K19" s="34"/>
      <c r="L19" s="34"/>
      <c r="M19" s="34"/>
      <c r="N19" s="34"/>
      <c r="O19" s="34"/>
    </row>
    <row r="20" spans="1:18" ht="20.25" x14ac:dyDescent="0.25">
      <c r="A20" s="803"/>
      <c r="B20" s="871">
        <v>42452</v>
      </c>
      <c r="C20" s="7">
        <f t="shared" si="0"/>
        <v>42411</v>
      </c>
      <c r="D20" s="847">
        <f t="shared" si="1"/>
        <v>42440</v>
      </c>
      <c r="E20" s="809"/>
      <c r="F20" s="1101"/>
      <c r="G20" s="813"/>
      <c r="H20" s="34"/>
      <c r="I20" s="34"/>
      <c r="J20" s="34"/>
      <c r="K20" s="34"/>
      <c r="L20" s="34"/>
      <c r="M20" s="34"/>
      <c r="N20" s="34"/>
      <c r="O20" s="34"/>
    </row>
    <row r="21" spans="1:18" ht="20.25" x14ac:dyDescent="0.25">
      <c r="A21" s="803"/>
      <c r="B21" s="871">
        <v>42543</v>
      </c>
      <c r="C21" s="7">
        <f t="shared" si="0"/>
        <v>42502</v>
      </c>
      <c r="D21" s="847">
        <f t="shared" si="1"/>
        <v>42531</v>
      </c>
      <c r="E21" s="810"/>
      <c r="F21" s="1101"/>
      <c r="G21" s="813"/>
      <c r="H21" s="804"/>
      <c r="I21" s="803"/>
      <c r="J21" s="803"/>
      <c r="K21" s="803"/>
      <c r="L21" s="803"/>
      <c r="M21" s="803"/>
    </row>
    <row r="22" spans="1:18" ht="20.25" x14ac:dyDescent="0.25">
      <c r="A22" s="803"/>
      <c r="B22" s="871">
        <v>42599</v>
      </c>
      <c r="C22" s="7">
        <f t="shared" si="0"/>
        <v>42558</v>
      </c>
      <c r="D22" s="847">
        <f t="shared" si="1"/>
        <v>42587</v>
      </c>
      <c r="E22" s="810"/>
      <c r="F22" s="1101"/>
      <c r="G22" s="813"/>
      <c r="H22" s="804"/>
      <c r="I22" s="803"/>
      <c r="J22" s="803"/>
      <c r="K22" s="803"/>
      <c r="L22" s="803"/>
      <c r="M22" s="803"/>
    </row>
    <row r="23" spans="1:18" ht="20.25" x14ac:dyDescent="0.25">
      <c r="A23" s="803"/>
      <c r="B23" s="871">
        <v>42662</v>
      </c>
      <c r="C23" s="7">
        <f t="shared" si="0"/>
        <v>42621</v>
      </c>
      <c r="D23" s="847">
        <f t="shared" si="1"/>
        <v>42650</v>
      </c>
      <c r="E23" s="810"/>
      <c r="F23" s="1101"/>
      <c r="G23" s="813"/>
      <c r="H23" s="804"/>
      <c r="I23" s="803"/>
      <c r="J23" s="803"/>
      <c r="K23" s="803"/>
      <c r="L23" s="803"/>
      <c r="M23" s="803"/>
    </row>
    <row r="24" spans="1:18" ht="20.25" x14ac:dyDescent="0.25">
      <c r="A24" s="803"/>
      <c r="B24" s="871">
        <v>42725</v>
      </c>
      <c r="C24" s="7">
        <f t="shared" si="0"/>
        <v>42684</v>
      </c>
      <c r="D24" s="847">
        <f t="shared" si="1"/>
        <v>42713</v>
      </c>
      <c r="E24" s="810"/>
      <c r="F24" s="1101"/>
      <c r="G24" s="813"/>
      <c r="H24" s="804"/>
      <c r="I24" s="803"/>
      <c r="J24" s="803"/>
      <c r="K24" s="803"/>
      <c r="L24" s="803"/>
      <c r="M24" s="803"/>
    </row>
    <row r="25" spans="1:18" ht="20.25" x14ac:dyDescent="0.25">
      <c r="A25" s="803"/>
      <c r="B25" s="871">
        <v>42816</v>
      </c>
      <c r="C25" s="7">
        <f t="shared" si="0"/>
        <v>42775</v>
      </c>
      <c r="D25" s="847">
        <f t="shared" si="1"/>
        <v>42804</v>
      </c>
      <c r="E25" s="810"/>
      <c r="F25" s="1101"/>
      <c r="G25" s="813"/>
      <c r="H25" s="804"/>
      <c r="I25" s="803"/>
      <c r="J25" s="803"/>
      <c r="K25" s="803"/>
      <c r="L25" s="803"/>
      <c r="M25" s="803"/>
    </row>
    <row r="26" spans="1:18" ht="21" thickBot="1" x14ac:dyDescent="0.3">
      <c r="A26" s="803"/>
      <c r="B26" s="872">
        <v>42907</v>
      </c>
      <c r="C26" s="848">
        <f t="shared" si="0"/>
        <v>42866</v>
      </c>
      <c r="D26" s="849">
        <f t="shared" si="1"/>
        <v>42895</v>
      </c>
      <c r="E26" s="811"/>
      <c r="F26" s="1101"/>
      <c r="G26" s="813"/>
      <c r="H26" s="804"/>
      <c r="I26" s="803"/>
      <c r="J26" s="803"/>
      <c r="K26" s="803"/>
      <c r="L26" s="803"/>
      <c r="M26" s="803"/>
    </row>
    <row r="27" spans="1:18" ht="20.25" x14ac:dyDescent="0.25">
      <c r="A27" s="803"/>
      <c r="B27" s="1095" t="s">
        <v>614</v>
      </c>
      <c r="C27" s="1095"/>
      <c r="D27" s="1095"/>
      <c r="E27" s="802"/>
      <c r="F27" s="813"/>
      <c r="G27" s="813"/>
      <c r="H27" s="804"/>
      <c r="I27" s="803"/>
      <c r="J27" s="803"/>
      <c r="K27" s="803"/>
      <c r="L27" s="803"/>
      <c r="M27" s="803"/>
    </row>
    <row r="28" spans="1:18" ht="21" thickBot="1" x14ac:dyDescent="0.3">
      <c r="A28" s="803"/>
      <c r="B28" s="1"/>
      <c r="C28" s="1"/>
      <c r="D28" s="812"/>
      <c r="E28" s="802"/>
      <c r="F28" s="813"/>
      <c r="G28" s="813"/>
      <c r="H28" s="824"/>
      <c r="I28" s="825"/>
      <c r="J28" s="825"/>
      <c r="K28" s="803"/>
      <c r="L28" s="1"/>
      <c r="M28" s="803"/>
    </row>
    <row r="29" spans="1:18" s="803" customFormat="1" ht="33" thickTop="1" thickBot="1" x14ac:dyDescent="0.3">
      <c r="A29" s="860" t="s">
        <v>610</v>
      </c>
      <c r="B29" s="822" t="s">
        <v>623</v>
      </c>
      <c r="C29" s="3"/>
      <c r="D29" s="806"/>
      <c r="F29" s="876"/>
      <c r="G29" s="826"/>
      <c r="H29" s="833" t="s">
        <v>21</v>
      </c>
      <c r="I29" s="832"/>
      <c r="J29" s="834"/>
      <c r="K29" s="830"/>
      <c r="L29" s="831"/>
      <c r="M29" s="831"/>
    </row>
    <row r="30" spans="1:18" ht="36.75" customHeight="1" thickTop="1" thickBot="1" x14ac:dyDescent="0.3">
      <c r="A30" s="802"/>
      <c r="B30" s="856" t="s">
        <v>622</v>
      </c>
      <c r="C30" s="875" t="s">
        <v>166</v>
      </c>
      <c r="D30" s="873"/>
      <c r="E30" s="814"/>
      <c r="F30" s="806"/>
      <c r="G30" s="827"/>
      <c r="H30" s="1087" t="s">
        <v>607</v>
      </c>
      <c r="I30" s="1088"/>
      <c r="J30" s="1088"/>
      <c r="K30" s="1089"/>
      <c r="L30" s="1089"/>
      <c r="M30" s="1090"/>
      <c r="N30" s="829"/>
      <c r="O30" s="804"/>
      <c r="Q30" s="803"/>
      <c r="R30" s="803"/>
    </row>
    <row r="31" spans="1:18" x14ac:dyDescent="0.25">
      <c r="A31" s="803"/>
      <c r="B31" s="854">
        <v>41640</v>
      </c>
      <c r="C31" s="5" t="s">
        <v>4</v>
      </c>
      <c r="D31" s="815"/>
      <c r="E31" s="815"/>
      <c r="F31" s="816">
        <f t="shared" ref="F31:F67" si="2">B31</f>
        <v>41640</v>
      </c>
      <c r="G31" s="828"/>
      <c r="H31" s="1087"/>
      <c r="I31" s="1088"/>
      <c r="J31" s="1088"/>
      <c r="K31" s="1088"/>
      <c r="L31" s="1088"/>
      <c r="M31" s="1091"/>
      <c r="N31" s="829"/>
      <c r="O31" s="804"/>
      <c r="Q31" s="803"/>
      <c r="R31" s="803"/>
    </row>
    <row r="32" spans="1:18" x14ac:dyDescent="0.25">
      <c r="A32" s="803"/>
      <c r="B32" s="855">
        <v>41659</v>
      </c>
      <c r="C32" s="5" t="s">
        <v>5</v>
      </c>
      <c r="D32" s="815"/>
      <c r="E32" s="815"/>
      <c r="F32" s="816">
        <f t="shared" si="2"/>
        <v>41659</v>
      </c>
      <c r="G32" s="828"/>
      <c r="H32" s="1087"/>
      <c r="I32" s="1088"/>
      <c r="J32" s="1088"/>
      <c r="K32" s="1088"/>
      <c r="L32" s="1088"/>
      <c r="M32" s="1091"/>
      <c r="N32" s="829"/>
      <c r="O32" s="804"/>
      <c r="Q32" s="803"/>
      <c r="R32" s="803"/>
    </row>
    <row r="33" spans="1:18" x14ac:dyDescent="0.25">
      <c r="A33" s="803"/>
      <c r="B33" s="855">
        <v>41687</v>
      </c>
      <c r="C33" s="5" t="s">
        <v>6</v>
      </c>
      <c r="D33" s="815"/>
      <c r="E33" s="815"/>
      <c r="F33" s="816">
        <f t="shared" si="2"/>
        <v>41687</v>
      </c>
      <c r="G33" s="828"/>
      <c r="H33" s="1087"/>
      <c r="I33" s="1088"/>
      <c r="J33" s="1088"/>
      <c r="K33" s="1088"/>
      <c r="L33" s="1088"/>
      <c r="M33" s="1091"/>
      <c r="N33" s="829"/>
      <c r="O33" s="804"/>
      <c r="Q33" s="803"/>
      <c r="R33" s="803"/>
    </row>
    <row r="34" spans="1:18" x14ac:dyDescent="0.25">
      <c r="A34" s="803"/>
      <c r="B34" s="855">
        <v>41785</v>
      </c>
      <c r="C34" s="5" t="s">
        <v>7</v>
      </c>
      <c r="D34" s="815"/>
      <c r="E34" s="815"/>
      <c r="F34" s="816">
        <f t="shared" si="2"/>
        <v>41785</v>
      </c>
      <c r="G34" s="828"/>
      <c r="H34" s="1087"/>
      <c r="I34" s="1088"/>
      <c r="J34" s="1088"/>
      <c r="K34" s="1088"/>
      <c r="L34" s="1088"/>
      <c r="M34" s="1091"/>
      <c r="N34" s="829"/>
      <c r="O34" s="804"/>
      <c r="Q34" s="803"/>
      <c r="R34" s="803"/>
    </row>
    <row r="35" spans="1:18" x14ac:dyDescent="0.25">
      <c r="A35" s="803"/>
      <c r="B35" s="855">
        <v>41824</v>
      </c>
      <c r="C35" s="5" t="s">
        <v>8</v>
      </c>
      <c r="D35" s="815"/>
      <c r="E35" s="815"/>
      <c r="F35" s="816">
        <f t="shared" si="2"/>
        <v>41824</v>
      </c>
      <c r="G35" s="828"/>
      <c r="H35" s="1087"/>
      <c r="I35" s="1088"/>
      <c r="J35" s="1088"/>
      <c r="K35" s="1088"/>
      <c r="L35" s="1088"/>
      <c r="M35" s="1091"/>
      <c r="N35" s="829"/>
      <c r="O35" s="804"/>
      <c r="Q35" s="803"/>
      <c r="R35" s="803"/>
    </row>
    <row r="36" spans="1:18" x14ac:dyDescent="0.25">
      <c r="A36" s="803"/>
      <c r="B36" s="855">
        <v>41884</v>
      </c>
      <c r="C36" s="5" t="s">
        <v>9</v>
      </c>
      <c r="D36" s="815"/>
      <c r="E36" s="815"/>
      <c r="F36" s="816">
        <f t="shared" si="2"/>
        <v>41884</v>
      </c>
      <c r="G36" s="828"/>
      <c r="H36" s="1087"/>
      <c r="I36" s="1088"/>
      <c r="J36" s="1088"/>
      <c r="K36" s="1088"/>
      <c r="L36" s="1088"/>
      <c r="M36" s="1091"/>
      <c r="N36" s="829"/>
      <c r="O36" s="804"/>
      <c r="Q36" s="803"/>
      <c r="R36" s="803"/>
    </row>
    <row r="37" spans="1:18" x14ac:dyDescent="0.25">
      <c r="A37" s="803"/>
      <c r="B37" s="855">
        <v>41954</v>
      </c>
      <c r="C37" s="5" t="s">
        <v>1</v>
      </c>
      <c r="D37" s="815"/>
      <c r="E37" s="815"/>
      <c r="F37" s="816">
        <f t="shared" si="2"/>
        <v>41954</v>
      </c>
      <c r="G37" s="828"/>
      <c r="H37" s="1087"/>
      <c r="I37" s="1088"/>
      <c r="J37" s="1088"/>
      <c r="K37" s="1088"/>
      <c r="L37" s="1088"/>
      <c r="M37" s="1091"/>
      <c r="N37" s="829"/>
      <c r="O37" s="804"/>
      <c r="Q37" s="803"/>
      <c r="R37" s="803"/>
    </row>
    <row r="38" spans="1:18" x14ac:dyDescent="0.25">
      <c r="A38" s="803"/>
      <c r="B38" s="855">
        <v>41970</v>
      </c>
      <c r="C38" s="5" t="s">
        <v>2</v>
      </c>
      <c r="D38" s="815"/>
      <c r="E38" s="815"/>
      <c r="F38" s="816">
        <f t="shared" si="2"/>
        <v>41970</v>
      </c>
      <c r="G38" s="828"/>
      <c r="H38" s="1087"/>
      <c r="I38" s="1088"/>
      <c r="J38" s="1088"/>
      <c r="K38" s="1088"/>
      <c r="L38" s="1088"/>
      <c r="M38" s="1091"/>
      <c r="N38" s="829"/>
      <c r="O38" s="804"/>
      <c r="Q38" s="803"/>
      <c r="R38" s="803"/>
    </row>
    <row r="39" spans="1:18" x14ac:dyDescent="0.25">
      <c r="A39" s="803"/>
      <c r="B39" s="855">
        <v>41998</v>
      </c>
      <c r="C39" s="5" t="s">
        <v>3</v>
      </c>
      <c r="D39" s="815"/>
      <c r="E39" s="815"/>
      <c r="F39" s="816">
        <f t="shared" si="2"/>
        <v>41998</v>
      </c>
      <c r="G39" s="828"/>
      <c r="H39" s="1087"/>
      <c r="I39" s="1088"/>
      <c r="J39" s="1088"/>
      <c r="K39" s="1088"/>
      <c r="L39" s="1088"/>
      <c r="M39" s="1091"/>
      <c r="N39" s="829"/>
      <c r="O39" s="804"/>
      <c r="Q39" s="803"/>
      <c r="R39" s="803"/>
    </row>
    <row r="40" spans="1:18" x14ac:dyDescent="0.25">
      <c r="A40" s="803"/>
      <c r="B40" s="855">
        <v>42005</v>
      </c>
      <c r="C40" s="5" t="s">
        <v>4</v>
      </c>
      <c r="D40" s="815"/>
      <c r="E40" s="815"/>
      <c r="F40" s="816">
        <f t="shared" si="2"/>
        <v>42005</v>
      </c>
      <c r="G40" s="828"/>
      <c r="H40" s="1087"/>
      <c r="I40" s="1088"/>
      <c r="J40" s="1088"/>
      <c r="K40" s="1088"/>
      <c r="L40" s="1088"/>
      <c r="M40" s="1091"/>
      <c r="N40" s="829"/>
      <c r="O40" s="804"/>
      <c r="Q40" s="803"/>
      <c r="R40" s="803"/>
    </row>
    <row r="41" spans="1:18" x14ac:dyDescent="0.25">
      <c r="A41" s="803"/>
      <c r="B41" s="855">
        <v>42023</v>
      </c>
      <c r="C41" s="5" t="s">
        <v>5</v>
      </c>
      <c r="D41" s="815"/>
      <c r="E41" s="815"/>
      <c r="F41" s="816">
        <f t="shared" si="2"/>
        <v>42023</v>
      </c>
      <c r="G41" s="828"/>
      <c r="H41" s="1087"/>
      <c r="I41" s="1088"/>
      <c r="J41" s="1088"/>
      <c r="K41" s="1088"/>
      <c r="L41" s="1088"/>
      <c r="M41" s="1091"/>
      <c r="N41" s="829"/>
      <c r="O41" s="804"/>
      <c r="Q41" s="803"/>
      <c r="R41" s="803"/>
    </row>
    <row r="42" spans="1:18" x14ac:dyDescent="0.25">
      <c r="A42" s="803"/>
      <c r="B42" s="855">
        <v>42051</v>
      </c>
      <c r="C42" s="5" t="s">
        <v>6</v>
      </c>
      <c r="D42" s="815"/>
      <c r="E42" s="815"/>
      <c r="F42" s="816">
        <f t="shared" si="2"/>
        <v>42051</v>
      </c>
      <c r="G42" s="828"/>
      <c r="H42" s="1087"/>
      <c r="I42" s="1088"/>
      <c r="J42" s="1088"/>
      <c r="K42" s="1088"/>
      <c r="L42" s="1088"/>
      <c r="M42" s="1091"/>
      <c r="N42" s="829"/>
      <c r="O42" s="804"/>
      <c r="Q42" s="803"/>
      <c r="R42" s="803"/>
    </row>
    <row r="43" spans="1:18" x14ac:dyDescent="0.25">
      <c r="A43" s="803"/>
      <c r="B43" s="855">
        <v>42149</v>
      </c>
      <c r="C43" s="5" t="s">
        <v>7</v>
      </c>
      <c r="D43" s="815"/>
      <c r="E43" s="815"/>
      <c r="F43" s="816">
        <f t="shared" si="2"/>
        <v>42149</v>
      </c>
      <c r="G43" s="828"/>
      <c r="H43" s="1087"/>
      <c r="I43" s="1088"/>
      <c r="J43" s="1088"/>
      <c r="K43" s="1088"/>
      <c r="L43" s="1088"/>
      <c r="M43" s="1091"/>
      <c r="N43" s="823"/>
      <c r="O43" s="804"/>
      <c r="Q43" s="803"/>
      <c r="R43" s="803"/>
    </row>
    <row r="44" spans="1:18" x14ac:dyDescent="0.25">
      <c r="A44" s="803"/>
      <c r="B44" s="855">
        <v>42188</v>
      </c>
      <c r="C44" s="5" t="s">
        <v>8</v>
      </c>
      <c r="D44" s="815"/>
      <c r="E44" s="815"/>
      <c r="F44" s="816">
        <f t="shared" si="2"/>
        <v>42188</v>
      </c>
      <c r="G44" s="828"/>
      <c r="H44" s="1087"/>
      <c r="I44" s="1088"/>
      <c r="J44" s="1088"/>
      <c r="K44" s="1088"/>
      <c r="L44" s="1088"/>
      <c r="M44" s="1091"/>
      <c r="N44" s="823"/>
      <c r="O44" s="804"/>
      <c r="Q44" s="803"/>
      <c r="R44" s="803"/>
    </row>
    <row r="45" spans="1:18" x14ac:dyDescent="0.25">
      <c r="A45" s="803"/>
      <c r="B45" s="855">
        <v>42254</v>
      </c>
      <c r="C45" s="5" t="s">
        <v>9</v>
      </c>
      <c r="D45" s="815"/>
      <c r="E45" s="815"/>
      <c r="F45" s="816">
        <f t="shared" si="2"/>
        <v>42254</v>
      </c>
      <c r="G45" s="828"/>
      <c r="H45" s="1087"/>
      <c r="I45" s="1088"/>
      <c r="J45" s="1088"/>
      <c r="K45" s="1088"/>
      <c r="L45" s="1088"/>
      <c r="M45" s="1091"/>
      <c r="N45" s="823"/>
      <c r="O45" s="804"/>
      <c r="Q45" s="803"/>
      <c r="R45" s="803"/>
    </row>
    <row r="46" spans="1:18" x14ac:dyDescent="0.25">
      <c r="A46" s="803"/>
      <c r="B46" s="855">
        <v>42319</v>
      </c>
      <c r="C46" s="5" t="s">
        <v>1</v>
      </c>
      <c r="D46" s="815"/>
      <c r="E46" s="815"/>
      <c r="F46" s="816">
        <f t="shared" si="2"/>
        <v>42319</v>
      </c>
      <c r="G46" s="828"/>
      <c r="H46" s="1087"/>
      <c r="I46" s="1088"/>
      <c r="J46" s="1088"/>
      <c r="K46" s="1088"/>
      <c r="L46" s="1088"/>
      <c r="M46" s="1091"/>
      <c r="N46" s="823"/>
      <c r="O46" s="804"/>
      <c r="Q46" s="803"/>
      <c r="R46" s="803"/>
    </row>
    <row r="47" spans="1:18" x14ac:dyDescent="0.25">
      <c r="A47" s="803"/>
      <c r="B47" s="855">
        <v>42334</v>
      </c>
      <c r="C47" s="5" t="s">
        <v>2</v>
      </c>
      <c r="D47" s="815"/>
      <c r="E47" s="815"/>
      <c r="F47" s="816">
        <f t="shared" si="2"/>
        <v>42334</v>
      </c>
      <c r="G47" s="828"/>
      <c r="H47" s="1087"/>
      <c r="I47" s="1088"/>
      <c r="J47" s="1088"/>
      <c r="K47" s="1088"/>
      <c r="L47" s="1088"/>
      <c r="M47" s="1091"/>
      <c r="N47" s="823"/>
      <c r="O47" s="804"/>
      <c r="Q47" s="803"/>
      <c r="R47" s="803"/>
    </row>
    <row r="48" spans="1:18" x14ac:dyDescent="0.25">
      <c r="A48" s="803"/>
      <c r="B48" s="855">
        <v>42363</v>
      </c>
      <c r="C48" s="5" t="s">
        <v>3</v>
      </c>
      <c r="D48" s="815"/>
      <c r="E48" s="815"/>
      <c r="F48" s="816">
        <f t="shared" si="2"/>
        <v>42363</v>
      </c>
      <c r="G48" s="828"/>
      <c r="H48" s="1087"/>
      <c r="I48" s="1088"/>
      <c r="J48" s="1088"/>
      <c r="K48" s="1088"/>
      <c r="L48" s="1088"/>
      <c r="M48" s="1091"/>
      <c r="N48" s="823"/>
      <c r="O48" s="804"/>
      <c r="Q48" s="803"/>
      <c r="R48" s="803"/>
    </row>
    <row r="49" spans="1:18" x14ac:dyDescent="0.25">
      <c r="A49" s="803"/>
      <c r="B49" s="855">
        <v>42370</v>
      </c>
      <c r="C49" s="5" t="s">
        <v>4</v>
      </c>
      <c r="D49" s="815"/>
      <c r="E49" s="815"/>
      <c r="F49" s="816">
        <f t="shared" si="2"/>
        <v>42370</v>
      </c>
      <c r="G49" s="828"/>
      <c r="H49" s="1087"/>
      <c r="I49" s="1088"/>
      <c r="J49" s="1088"/>
      <c r="K49" s="1088"/>
      <c r="L49" s="1088"/>
      <c r="M49" s="1091"/>
      <c r="N49" s="823"/>
      <c r="O49" s="804"/>
      <c r="Q49" s="803"/>
      <c r="R49" s="803"/>
    </row>
    <row r="50" spans="1:18" x14ac:dyDescent="0.25">
      <c r="A50" s="803"/>
      <c r="B50" s="855">
        <v>42387</v>
      </c>
      <c r="C50" s="5" t="s">
        <v>5</v>
      </c>
      <c r="D50" s="815"/>
      <c r="E50" s="815"/>
      <c r="F50" s="816">
        <f t="shared" si="2"/>
        <v>42387</v>
      </c>
      <c r="G50" s="828"/>
      <c r="H50" s="1087"/>
      <c r="I50" s="1088"/>
      <c r="J50" s="1088"/>
      <c r="K50" s="1088"/>
      <c r="L50" s="1088"/>
      <c r="M50" s="1091"/>
      <c r="N50" s="823"/>
      <c r="O50" s="804"/>
      <c r="Q50" s="803"/>
      <c r="R50" s="803"/>
    </row>
    <row r="51" spans="1:18" x14ac:dyDescent="0.25">
      <c r="A51" s="803"/>
      <c r="B51" s="855">
        <v>42415</v>
      </c>
      <c r="C51" s="5" t="s">
        <v>6</v>
      </c>
      <c r="D51" s="815"/>
      <c r="E51" s="815"/>
      <c r="F51" s="816">
        <f t="shared" si="2"/>
        <v>42415</v>
      </c>
      <c r="G51" s="828"/>
      <c r="H51" s="1087"/>
      <c r="I51" s="1088"/>
      <c r="J51" s="1088"/>
      <c r="K51" s="1088"/>
      <c r="L51" s="1088"/>
      <c r="M51" s="1091"/>
      <c r="N51" s="823"/>
      <c r="O51" s="804"/>
      <c r="Q51" s="803"/>
      <c r="R51" s="803"/>
    </row>
    <row r="52" spans="1:18" x14ac:dyDescent="0.25">
      <c r="A52" s="803"/>
      <c r="B52" s="855">
        <v>42520</v>
      </c>
      <c r="C52" s="5" t="s">
        <v>7</v>
      </c>
      <c r="D52" s="815"/>
      <c r="E52" s="815"/>
      <c r="F52" s="816">
        <f t="shared" si="2"/>
        <v>42520</v>
      </c>
      <c r="G52" s="828"/>
      <c r="H52" s="1087"/>
      <c r="I52" s="1088"/>
      <c r="J52" s="1088"/>
      <c r="K52" s="1088"/>
      <c r="L52" s="1088"/>
      <c r="M52" s="1091"/>
      <c r="N52" s="823"/>
      <c r="O52" s="804"/>
      <c r="Q52" s="803"/>
      <c r="R52" s="803"/>
    </row>
    <row r="53" spans="1:18" x14ac:dyDescent="0.25">
      <c r="A53" s="803"/>
      <c r="B53" s="855">
        <v>42555</v>
      </c>
      <c r="C53" s="5" t="s">
        <v>8</v>
      </c>
      <c r="D53" s="815"/>
      <c r="E53" s="815"/>
      <c r="F53" s="816">
        <f t="shared" si="2"/>
        <v>42555</v>
      </c>
      <c r="G53" s="828"/>
      <c r="H53" s="1087"/>
      <c r="I53" s="1088"/>
      <c r="J53" s="1088"/>
      <c r="K53" s="1088"/>
      <c r="L53" s="1088"/>
      <c r="M53" s="1091"/>
      <c r="N53" s="823"/>
      <c r="O53" s="804"/>
      <c r="Q53" s="803"/>
      <c r="R53" s="803"/>
    </row>
    <row r="54" spans="1:18" x14ac:dyDescent="0.25">
      <c r="A54" s="803"/>
      <c r="B54" s="855">
        <v>42618</v>
      </c>
      <c r="C54" s="5" t="s">
        <v>9</v>
      </c>
      <c r="D54" s="815"/>
      <c r="E54" s="815"/>
      <c r="F54" s="816">
        <f t="shared" si="2"/>
        <v>42618</v>
      </c>
      <c r="G54" s="828"/>
      <c r="H54" s="1087"/>
      <c r="I54" s="1088"/>
      <c r="J54" s="1088"/>
      <c r="K54" s="1088"/>
      <c r="L54" s="1088"/>
      <c r="M54" s="1091"/>
      <c r="N54" s="823"/>
      <c r="O54" s="804"/>
      <c r="Q54" s="803"/>
      <c r="R54" s="803"/>
    </row>
    <row r="55" spans="1:18" x14ac:dyDescent="0.25">
      <c r="A55" s="803"/>
      <c r="B55" s="855">
        <v>42685</v>
      </c>
      <c r="C55" s="5" t="s">
        <v>1</v>
      </c>
      <c r="D55" s="815"/>
      <c r="E55" s="815"/>
      <c r="F55" s="816">
        <f t="shared" si="2"/>
        <v>42685</v>
      </c>
      <c r="G55" s="828"/>
      <c r="H55" s="1087"/>
      <c r="I55" s="1088"/>
      <c r="J55" s="1088"/>
      <c r="K55" s="1088"/>
      <c r="L55" s="1088"/>
      <c r="M55" s="1091"/>
      <c r="N55" s="823"/>
      <c r="O55" s="804"/>
      <c r="Q55" s="803"/>
      <c r="R55" s="803"/>
    </row>
    <row r="56" spans="1:18" x14ac:dyDescent="0.25">
      <c r="A56" s="803"/>
      <c r="B56" s="855">
        <v>42698</v>
      </c>
      <c r="C56" s="5" t="s">
        <v>2</v>
      </c>
      <c r="D56" s="815"/>
      <c r="E56" s="815"/>
      <c r="F56" s="816">
        <f t="shared" si="2"/>
        <v>42698</v>
      </c>
      <c r="G56" s="828"/>
      <c r="H56" s="1087"/>
      <c r="I56" s="1088"/>
      <c r="J56" s="1088"/>
      <c r="K56" s="1088"/>
      <c r="L56" s="1088"/>
      <c r="M56" s="1091"/>
      <c r="N56" s="823"/>
      <c r="O56" s="804"/>
      <c r="Q56" s="803"/>
      <c r="R56" s="803"/>
    </row>
    <row r="57" spans="1:18" x14ac:dyDescent="0.25">
      <c r="A57" s="803"/>
      <c r="B57" s="855">
        <v>42730</v>
      </c>
      <c r="C57" s="5" t="s">
        <v>3</v>
      </c>
      <c r="D57" s="815"/>
      <c r="E57" s="815"/>
      <c r="F57" s="816">
        <f t="shared" si="2"/>
        <v>42730</v>
      </c>
      <c r="G57" s="828"/>
      <c r="H57" s="1087"/>
      <c r="I57" s="1088"/>
      <c r="J57" s="1088"/>
      <c r="K57" s="1088"/>
      <c r="L57" s="1088"/>
      <c r="M57" s="1091"/>
      <c r="N57" s="823"/>
      <c r="O57" s="804"/>
      <c r="Q57" s="803"/>
      <c r="R57" s="803"/>
    </row>
    <row r="58" spans="1:18" x14ac:dyDescent="0.25">
      <c r="A58" s="803"/>
      <c r="B58" s="855">
        <v>42737</v>
      </c>
      <c r="C58" s="5" t="s">
        <v>4</v>
      </c>
      <c r="D58" s="815"/>
      <c r="E58" s="815"/>
      <c r="F58" s="816">
        <f t="shared" si="2"/>
        <v>42737</v>
      </c>
      <c r="G58" s="828"/>
      <c r="H58" s="1087"/>
      <c r="I58" s="1088"/>
      <c r="J58" s="1088"/>
      <c r="K58" s="1088"/>
      <c r="L58" s="1088"/>
      <c r="M58" s="1091"/>
      <c r="N58" s="823"/>
      <c r="O58" s="804"/>
      <c r="Q58" s="803"/>
      <c r="R58" s="803"/>
    </row>
    <row r="59" spans="1:18" x14ac:dyDescent="0.25">
      <c r="A59" s="803"/>
      <c r="B59" s="855">
        <v>42751</v>
      </c>
      <c r="C59" s="5" t="s">
        <v>5</v>
      </c>
      <c r="D59" s="815"/>
      <c r="E59" s="815"/>
      <c r="F59" s="816">
        <f t="shared" si="2"/>
        <v>42751</v>
      </c>
      <c r="G59" s="828"/>
      <c r="H59" s="1087"/>
      <c r="I59" s="1088"/>
      <c r="J59" s="1088"/>
      <c r="K59" s="1088"/>
      <c r="L59" s="1088"/>
      <c r="M59" s="1091"/>
      <c r="N59" s="823"/>
      <c r="O59" s="804"/>
      <c r="Q59" s="803"/>
      <c r="R59" s="803"/>
    </row>
    <row r="60" spans="1:18" x14ac:dyDescent="0.25">
      <c r="A60" s="803"/>
      <c r="B60" s="855">
        <v>42786</v>
      </c>
      <c r="C60" s="5" t="s">
        <v>6</v>
      </c>
      <c r="D60" s="815"/>
      <c r="E60" s="815"/>
      <c r="F60" s="816">
        <f t="shared" si="2"/>
        <v>42786</v>
      </c>
      <c r="G60" s="828"/>
      <c r="H60" s="1087"/>
      <c r="I60" s="1088"/>
      <c r="J60" s="1088"/>
      <c r="K60" s="1088"/>
      <c r="L60" s="1088"/>
      <c r="M60" s="1091"/>
      <c r="N60" s="823"/>
      <c r="O60" s="804"/>
      <c r="Q60" s="803"/>
      <c r="R60" s="803"/>
    </row>
    <row r="61" spans="1:18" ht="16.5" thickBot="1" x14ac:dyDescent="0.3">
      <c r="A61" s="803"/>
      <c r="B61" s="855">
        <v>42884</v>
      </c>
      <c r="C61" s="5" t="s">
        <v>7</v>
      </c>
      <c r="D61" s="815"/>
      <c r="E61" s="815"/>
      <c r="F61" s="816">
        <f t="shared" si="2"/>
        <v>42884</v>
      </c>
      <c r="G61" s="828"/>
      <c r="H61" s="1092"/>
      <c r="I61" s="1093"/>
      <c r="J61" s="1093"/>
      <c r="K61" s="1093"/>
      <c r="L61" s="1093"/>
      <c r="M61" s="1094"/>
      <c r="N61" s="823"/>
      <c r="O61" s="804"/>
      <c r="Q61" s="803"/>
      <c r="R61" s="803"/>
    </row>
    <row r="62" spans="1:18" ht="16.5" thickTop="1" x14ac:dyDescent="0.25">
      <c r="A62" s="803"/>
      <c r="B62" s="855">
        <v>42920</v>
      </c>
      <c r="C62" s="5" t="s">
        <v>8</v>
      </c>
      <c r="D62" s="815"/>
      <c r="E62" s="815"/>
      <c r="F62" s="816">
        <f t="shared" si="2"/>
        <v>42920</v>
      </c>
      <c r="G62" s="816"/>
      <c r="H62" s="823"/>
      <c r="I62" s="823"/>
      <c r="J62" s="823"/>
      <c r="K62" s="823"/>
      <c r="L62" s="823"/>
      <c r="M62" s="823"/>
      <c r="N62" s="823"/>
      <c r="O62" s="804"/>
      <c r="Q62" s="803"/>
      <c r="R62" s="803"/>
    </row>
    <row r="63" spans="1:18" x14ac:dyDescent="0.25">
      <c r="A63" s="803"/>
      <c r="B63" s="855">
        <v>42982</v>
      </c>
      <c r="C63" s="5" t="s">
        <v>9</v>
      </c>
      <c r="D63" s="815"/>
      <c r="E63" s="815"/>
      <c r="F63" s="816">
        <f t="shared" si="2"/>
        <v>42982</v>
      </c>
      <c r="G63" s="816"/>
      <c r="H63" s="823"/>
      <c r="I63" s="823"/>
      <c r="J63" s="823"/>
      <c r="K63" s="823"/>
      <c r="L63" s="823"/>
      <c r="M63" s="823"/>
      <c r="N63" s="823"/>
      <c r="O63" s="804"/>
      <c r="Q63" s="803"/>
      <c r="R63" s="803"/>
    </row>
    <row r="64" spans="1:18" x14ac:dyDescent="0.25">
      <c r="A64" s="803"/>
      <c r="B64" s="855">
        <v>43049</v>
      </c>
      <c r="C64" s="5" t="s">
        <v>1</v>
      </c>
      <c r="D64" s="815"/>
      <c r="E64" s="815"/>
      <c r="F64" s="816">
        <f t="shared" si="2"/>
        <v>43049</v>
      </c>
      <c r="G64" s="816"/>
      <c r="H64" s="823"/>
      <c r="I64" s="823"/>
      <c r="J64" s="823"/>
      <c r="K64" s="823"/>
      <c r="L64" s="823"/>
      <c r="M64" s="823"/>
      <c r="N64" s="823"/>
      <c r="O64" s="804"/>
      <c r="Q64" s="803"/>
      <c r="R64" s="803"/>
    </row>
    <row r="65" spans="1:18" x14ac:dyDescent="0.25">
      <c r="A65" s="803"/>
      <c r="B65" s="855">
        <v>43062</v>
      </c>
      <c r="C65" s="5" t="s">
        <v>2</v>
      </c>
      <c r="D65" s="815"/>
      <c r="E65" s="815"/>
      <c r="F65" s="816">
        <f t="shared" si="2"/>
        <v>43062</v>
      </c>
      <c r="G65" s="816"/>
      <c r="H65" s="823"/>
      <c r="I65" s="823"/>
      <c r="J65" s="823"/>
      <c r="K65" s="823"/>
      <c r="L65" s="823"/>
      <c r="M65" s="823"/>
      <c r="N65" s="823"/>
      <c r="O65" s="804"/>
      <c r="Q65" s="803"/>
      <c r="R65" s="803"/>
    </row>
    <row r="66" spans="1:18" x14ac:dyDescent="0.25">
      <c r="A66" s="803"/>
      <c r="B66" s="855">
        <v>43094</v>
      </c>
      <c r="C66" s="5" t="s">
        <v>3</v>
      </c>
      <c r="D66" s="815"/>
      <c r="E66" s="815"/>
      <c r="F66" s="816">
        <f t="shared" si="2"/>
        <v>43094</v>
      </c>
      <c r="G66" s="816"/>
      <c r="H66" s="823"/>
      <c r="I66" s="823"/>
      <c r="J66" s="823"/>
      <c r="K66" s="823"/>
      <c r="L66" s="823"/>
      <c r="M66" s="823"/>
      <c r="N66" s="823"/>
      <c r="O66" s="804"/>
      <c r="Q66" s="803"/>
      <c r="R66" s="803"/>
    </row>
    <row r="67" spans="1:18" ht="16.5" thickBot="1" x14ac:dyDescent="0.3">
      <c r="A67" s="803"/>
      <c r="B67" s="857">
        <v>43101</v>
      </c>
      <c r="C67" s="5" t="s">
        <v>4</v>
      </c>
      <c r="D67" s="815"/>
      <c r="E67" s="815"/>
      <c r="F67" s="816">
        <f t="shared" si="2"/>
        <v>43101</v>
      </c>
      <c r="G67" s="816"/>
      <c r="H67" s="823"/>
      <c r="I67" s="823"/>
      <c r="J67" s="823"/>
      <c r="K67" s="823"/>
      <c r="L67" s="823"/>
      <c r="M67" s="823"/>
      <c r="N67" s="823"/>
      <c r="O67" s="804"/>
      <c r="Q67" s="803"/>
      <c r="R67" s="803"/>
    </row>
    <row r="68" spans="1:18" x14ac:dyDescent="0.25">
      <c r="A68" s="803"/>
      <c r="B68" s="1098" t="s">
        <v>619</v>
      </c>
      <c r="C68" s="1098"/>
      <c r="D68" s="838"/>
      <c r="E68" s="838"/>
      <c r="F68" s="839"/>
      <c r="G68" s="816"/>
      <c r="H68" s="823"/>
      <c r="I68" s="823"/>
      <c r="J68" s="823"/>
      <c r="K68" s="823"/>
      <c r="L68" s="823"/>
      <c r="M68" s="823"/>
      <c r="N68" s="823"/>
      <c r="O68" s="804"/>
      <c r="Q68" s="803"/>
      <c r="R68" s="803"/>
    </row>
    <row r="69" spans="1:18" x14ac:dyDescent="0.25">
      <c r="A69" s="803"/>
      <c r="B69" s="1098"/>
      <c r="C69" s="1098"/>
      <c r="D69" s="838"/>
      <c r="E69" s="838"/>
      <c r="F69" s="839"/>
      <c r="G69" s="816"/>
      <c r="H69" s="823"/>
      <c r="I69" s="823"/>
      <c r="J69" s="823"/>
      <c r="K69" s="823"/>
      <c r="L69" s="823"/>
      <c r="M69" s="823"/>
      <c r="N69" s="823"/>
      <c r="O69" s="804"/>
      <c r="Q69" s="803"/>
      <c r="R69" s="803"/>
    </row>
    <row r="70" spans="1:18" ht="39" customHeight="1" x14ac:dyDescent="0.25">
      <c r="A70" s="803"/>
      <c r="B70" s="842"/>
      <c r="C70" s="842"/>
      <c r="D70" s="840"/>
      <c r="E70" s="803"/>
      <c r="F70" s="803"/>
      <c r="G70" s="816"/>
      <c r="H70" s="823"/>
      <c r="I70" s="823"/>
      <c r="J70" s="823"/>
      <c r="K70" s="823"/>
      <c r="L70" s="823"/>
      <c r="M70" s="823"/>
      <c r="N70" s="823"/>
      <c r="O70" s="804"/>
      <c r="Q70" s="803"/>
      <c r="R70" s="803"/>
    </row>
    <row r="71" spans="1:18" ht="16.5" thickBot="1" x14ac:dyDescent="0.3">
      <c r="A71" s="861" t="s">
        <v>611</v>
      </c>
      <c r="B71" s="866" t="s">
        <v>618</v>
      </c>
      <c r="C71" s="866" t="s">
        <v>617</v>
      </c>
      <c r="D71" s="803"/>
      <c r="E71" s="803"/>
      <c r="F71" s="836" t="s">
        <v>0</v>
      </c>
      <c r="G71" s="816"/>
      <c r="H71" s="823"/>
      <c r="I71" s="823"/>
      <c r="J71" s="823"/>
      <c r="K71" s="823"/>
      <c r="L71" s="823"/>
      <c r="M71" s="823"/>
      <c r="N71" s="823"/>
      <c r="O71" s="804"/>
      <c r="Q71" s="803"/>
      <c r="R71" s="803"/>
    </row>
    <row r="72" spans="1:18" ht="23.25" customHeight="1" x14ac:dyDescent="0.25">
      <c r="A72" s="861" t="s">
        <v>0</v>
      </c>
      <c r="B72" s="1099" t="s">
        <v>624</v>
      </c>
      <c r="C72" s="1100"/>
      <c r="D72" s="803"/>
      <c r="E72" s="803"/>
      <c r="F72" s="836"/>
      <c r="G72" s="816"/>
      <c r="H72" s="823"/>
      <c r="I72" s="823"/>
      <c r="J72" s="823"/>
      <c r="K72" s="823"/>
      <c r="L72" s="823"/>
      <c r="M72" s="823"/>
      <c r="N72" s="823"/>
      <c r="O72" s="804"/>
      <c r="Q72" s="803"/>
      <c r="R72" s="803"/>
    </row>
    <row r="73" spans="1:18" ht="32.25" thickBot="1" x14ac:dyDescent="0.3">
      <c r="A73" s="861" t="s">
        <v>0</v>
      </c>
      <c r="B73" s="877" t="s">
        <v>625</v>
      </c>
      <c r="C73" s="878" t="s">
        <v>0</v>
      </c>
      <c r="D73" s="803"/>
      <c r="E73" s="803"/>
      <c r="F73" s="836"/>
      <c r="G73" s="816"/>
      <c r="H73" s="823"/>
      <c r="I73" s="823"/>
      <c r="J73" s="823"/>
      <c r="K73" s="823"/>
      <c r="L73" s="823"/>
      <c r="M73" s="823"/>
      <c r="N73" s="823"/>
      <c r="O73" s="804"/>
      <c r="Q73" s="803"/>
      <c r="R73" s="803"/>
    </row>
    <row r="74" spans="1:18" x14ac:dyDescent="0.25">
      <c r="A74" s="803"/>
      <c r="B74" s="862">
        <v>41275</v>
      </c>
      <c r="C74" s="847">
        <v>41257</v>
      </c>
      <c r="D74" s="803"/>
      <c r="E74" s="835"/>
      <c r="F74" s="836">
        <f t="shared" ref="F74:F105" si="3">WORKDAY(C74,0,S.DDL_DEQClosed)</f>
        <v>41257</v>
      </c>
      <c r="G74" s="816"/>
      <c r="H74" s="823"/>
      <c r="I74" s="823"/>
      <c r="J74" s="823"/>
      <c r="K74" s="823"/>
      <c r="L74" s="823"/>
      <c r="M74" s="823"/>
      <c r="N74" s="823"/>
      <c r="O74" s="804"/>
      <c r="Q74" s="803"/>
      <c r="R74" s="803"/>
    </row>
    <row r="75" spans="1:18" x14ac:dyDescent="0.25">
      <c r="A75" s="803"/>
      <c r="B75" s="863">
        <v>41306</v>
      </c>
      <c r="C75" s="847">
        <v>41289</v>
      </c>
      <c r="D75" s="803"/>
      <c r="E75" s="835"/>
      <c r="F75" s="836">
        <f t="shared" si="3"/>
        <v>41289</v>
      </c>
      <c r="G75" s="816"/>
      <c r="H75" s="823"/>
      <c r="I75" s="823"/>
      <c r="J75" s="823"/>
      <c r="K75" s="823"/>
      <c r="L75" s="823"/>
      <c r="M75" s="823"/>
      <c r="N75" s="823"/>
      <c r="O75" s="804"/>
      <c r="Q75" s="803"/>
      <c r="R75" s="803"/>
    </row>
    <row r="76" spans="1:18" x14ac:dyDescent="0.25">
      <c r="A76" s="803"/>
      <c r="B76" s="863">
        <v>41334</v>
      </c>
      <c r="C76" s="847">
        <v>41320</v>
      </c>
      <c r="D76" s="803"/>
      <c r="E76" s="835"/>
      <c r="F76" s="836">
        <f t="shared" si="3"/>
        <v>41320</v>
      </c>
      <c r="G76" s="816"/>
      <c r="H76" s="823"/>
      <c r="I76" s="823"/>
      <c r="J76" s="823"/>
      <c r="K76" s="823"/>
      <c r="L76" s="823"/>
      <c r="M76" s="823"/>
      <c r="N76" s="823"/>
      <c r="O76" s="804"/>
      <c r="Q76" s="803"/>
      <c r="R76" s="803"/>
    </row>
    <row r="77" spans="1:18" x14ac:dyDescent="0.25">
      <c r="A77" s="803"/>
      <c r="B77" s="863">
        <v>41365</v>
      </c>
      <c r="C77" s="847">
        <v>41348</v>
      </c>
      <c r="D77" s="803"/>
      <c r="E77" s="835"/>
      <c r="F77" s="836">
        <f t="shared" si="3"/>
        <v>41348</v>
      </c>
      <c r="G77" s="816"/>
      <c r="H77" s="823"/>
      <c r="I77" s="823"/>
      <c r="J77" s="823"/>
      <c r="K77" s="823"/>
      <c r="L77" s="823"/>
      <c r="M77" s="823"/>
      <c r="N77" s="823"/>
      <c r="O77" s="804"/>
      <c r="Q77" s="803"/>
      <c r="R77" s="803"/>
    </row>
    <row r="78" spans="1:18" x14ac:dyDescent="0.25">
      <c r="A78" s="803"/>
      <c r="B78" s="863">
        <v>41395</v>
      </c>
      <c r="C78" s="847">
        <v>41379</v>
      </c>
      <c r="D78" s="803"/>
      <c r="E78" s="835"/>
      <c r="F78" s="836">
        <f t="shared" si="3"/>
        <v>41379</v>
      </c>
      <c r="G78" s="816"/>
      <c r="H78" s="823"/>
      <c r="I78" s="823"/>
      <c r="J78" s="823"/>
      <c r="K78" s="823"/>
      <c r="L78" s="823"/>
      <c r="M78" s="823"/>
      <c r="N78" s="823"/>
      <c r="O78" s="804"/>
      <c r="Q78" s="803"/>
      <c r="R78" s="803"/>
    </row>
    <row r="79" spans="1:18" x14ac:dyDescent="0.25">
      <c r="A79" s="803"/>
      <c r="B79" s="863">
        <v>41426</v>
      </c>
      <c r="C79" s="847">
        <v>41409</v>
      </c>
      <c r="D79" s="803"/>
      <c r="E79" s="835"/>
      <c r="F79" s="836">
        <f t="shared" si="3"/>
        <v>41409</v>
      </c>
      <c r="G79" s="816"/>
      <c r="H79" s="823"/>
      <c r="I79" s="823"/>
      <c r="J79" s="823"/>
      <c r="K79" s="823"/>
      <c r="L79" s="823"/>
      <c r="M79" s="823"/>
      <c r="N79" s="823"/>
      <c r="O79" s="804"/>
      <c r="Q79" s="803"/>
      <c r="R79" s="803"/>
    </row>
    <row r="80" spans="1:18" x14ac:dyDescent="0.25">
      <c r="A80" s="803"/>
      <c r="B80" s="863">
        <v>41456</v>
      </c>
      <c r="C80" s="847">
        <v>41439</v>
      </c>
      <c r="D80" s="803"/>
      <c r="E80" s="835"/>
      <c r="F80" s="836">
        <f t="shared" si="3"/>
        <v>41439</v>
      </c>
      <c r="G80" s="816"/>
      <c r="H80" s="823"/>
      <c r="I80" s="823"/>
      <c r="J80" s="823"/>
      <c r="K80" s="823"/>
      <c r="L80" s="823"/>
      <c r="M80" s="823"/>
      <c r="N80" s="823"/>
      <c r="O80" s="804"/>
      <c r="Q80" s="803"/>
      <c r="R80" s="803"/>
    </row>
    <row r="81" spans="1:18" x14ac:dyDescent="0.25">
      <c r="A81" s="803"/>
      <c r="B81" s="863">
        <v>41487</v>
      </c>
      <c r="C81" s="847">
        <v>41470</v>
      </c>
      <c r="D81" s="803"/>
      <c r="E81" s="835"/>
      <c r="F81" s="836">
        <f t="shared" si="3"/>
        <v>41470</v>
      </c>
      <c r="G81" s="816"/>
      <c r="H81" s="823"/>
      <c r="I81" s="823"/>
      <c r="J81" s="823"/>
      <c r="K81" s="823"/>
      <c r="L81" s="823"/>
      <c r="M81" s="823"/>
      <c r="N81" s="823"/>
      <c r="O81" s="804"/>
      <c r="Q81" s="803"/>
      <c r="R81" s="803"/>
    </row>
    <row r="82" spans="1:18" x14ac:dyDescent="0.25">
      <c r="A82" s="803"/>
      <c r="B82" s="863">
        <v>41518</v>
      </c>
      <c r="C82" s="847">
        <v>41501</v>
      </c>
      <c r="D82" s="803"/>
      <c r="E82" s="835"/>
      <c r="F82" s="836">
        <f t="shared" si="3"/>
        <v>41501</v>
      </c>
      <c r="G82" s="816"/>
      <c r="H82" s="823"/>
      <c r="I82" s="823"/>
      <c r="J82" s="823"/>
      <c r="K82" s="823"/>
      <c r="L82" s="823"/>
      <c r="M82" s="823"/>
      <c r="N82" s="823"/>
      <c r="O82" s="804"/>
      <c r="Q82" s="803"/>
      <c r="R82" s="803"/>
    </row>
    <row r="83" spans="1:18" x14ac:dyDescent="0.25">
      <c r="A83" s="803" t="s">
        <v>0</v>
      </c>
      <c r="B83" s="863">
        <v>41548</v>
      </c>
      <c r="C83" s="847">
        <v>41530</v>
      </c>
      <c r="D83" s="803"/>
      <c r="E83" s="835"/>
      <c r="F83" s="836">
        <f t="shared" si="3"/>
        <v>41530</v>
      </c>
      <c r="G83" s="839"/>
      <c r="H83" s="823"/>
      <c r="I83" s="823"/>
      <c r="J83" s="823"/>
      <c r="K83" s="823"/>
      <c r="L83" s="823"/>
      <c r="M83" s="823"/>
      <c r="N83" s="823"/>
      <c r="O83" s="804"/>
      <c r="Q83" s="803"/>
      <c r="R83" s="803"/>
    </row>
    <row r="84" spans="1:18" x14ac:dyDescent="0.25">
      <c r="A84" s="803"/>
      <c r="B84" s="863">
        <v>41579</v>
      </c>
      <c r="C84" s="847">
        <v>41562</v>
      </c>
      <c r="D84" s="803"/>
      <c r="E84" s="835"/>
      <c r="F84" s="836">
        <f t="shared" si="3"/>
        <v>41562</v>
      </c>
      <c r="G84" s="803"/>
      <c r="H84" s="840"/>
      <c r="I84" s="840"/>
      <c r="J84" s="803"/>
      <c r="K84" s="803"/>
      <c r="L84" s="804"/>
    </row>
    <row r="85" spans="1:18" x14ac:dyDescent="0.25">
      <c r="A85" s="803"/>
      <c r="B85" s="863">
        <v>41609</v>
      </c>
      <c r="C85" s="847">
        <v>41593</v>
      </c>
      <c r="D85" s="803"/>
      <c r="E85" s="835"/>
      <c r="F85" s="836">
        <f t="shared" si="3"/>
        <v>41593</v>
      </c>
      <c r="G85" s="803"/>
      <c r="H85" s="803"/>
      <c r="I85" s="803"/>
      <c r="J85" s="803"/>
      <c r="K85" s="803"/>
      <c r="L85" s="804"/>
    </row>
    <row r="86" spans="1:18" x14ac:dyDescent="0.25">
      <c r="A86" s="803"/>
      <c r="B86" s="863">
        <v>41640</v>
      </c>
      <c r="C86" s="847">
        <v>41621</v>
      </c>
      <c r="D86" s="803"/>
      <c r="E86" s="835"/>
      <c r="F86" s="836">
        <f t="shared" si="3"/>
        <v>41621</v>
      </c>
      <c r="G86" s="803"/>
      <c r="H86" s="34"/>
      <c r="I86" s="837"/>
      <c r="J86" s="803"/>
      <c r="K86" s="803"/>
      <c r="L86" s="804"/>
    </row>
    <row r="87" spans="1:18" x14ac:dyDescent="0.25">
      <c r="A87" s="803"/>
      <c r="B87" s="863">
        <v>41671</v>
      </c>
      <c r="C87" s="847">
        <v>41654</v>
      </c>
      <c r="D87" s="803"/>
      <c r="E87" s="835"/>
      <c r="F87" s="836">
        <f t="shared" si="3"/>
        <v>41654</v>
      </c>
      <c r="G87" s="803"/>
      <c r="H87" s="34"/>
      <c r="I87" s="837"/>
      <c r="J87" s="803"/>
      <c r="K87" s="803"/>
      <c r="L87" s="804"/>
    </row>
    <row r="88" spans="1:18" x14ac:dyDescent="0.25">
      <c r="A88" s="803"/>
      <c r="B88" s="863">
        <v>41699</v>
      </c>
      <c r="C88" s="869">
        <v>41684</v>
      </c>
      <c r="D88" s="803"/>
      <c r="E88" s="835"/>
      <c r="F88" s="836">
        <f t="shared" si="3"/>
        <v>41684</v>
      </c>
      <c r="G88" s="803"/>
      <c r="H88" s="34"/>
      <c r="I88" s="837"/>
      <c r="J88" s="803"/>
      <c r="K88" s="803"/>
      <c r="L88" s="804"/>
    </row>
    <row r="89" spans="1:18" x14ac:dyDescent="0.25">
      <c r="A89" s="803"/>
      <c r="B89" s="863">
        <v>41730</v>
      </c>
      <c r="C89" s="847">
        <v>41712</v>
      </c>
      <c r="D89" s="803"/>
      <c r="E89" s="835"/>
      <c r="F89" s="836">
        <f t="shared" si="3"/>
        <v>41712</v>
      </c>
      <c r="G89" s="803"/>
      <c r="H89" s="34"/>
      <c r="I89" s="837"/>
      <c r="J89" s="803"/>
      <c r="K89" s="803"/>
      <c r="L89" s="804"/>
    </row>
    <row r="90" spans="1:18" x14ac:dyDescent="0.25">
      <c r="A90" s="803"/>
      <c r="B90" s="863">
        <v>41760</v>
      </c>
      <c r="C90" s="847">
        <v>41744</v>
      </c>
      <c r="D90" s="803"/>
      <c r="E90" s="835"/>
      <c r="F90" s="836">
        <f t="shared" si="3"/>
        <v>41744</v>
      </c>
      <c r="G90" s="803"/>
      <c r="H90" s="34"/>
      <c r="I90" s="837"/>
      <c r="J90" s="803"/>
      <c r="K90" s="803"/>
      <c r="L90" s="804"/>
    </row>
    <row r="91" spans="1:18" x14ac:dyDescent="0.25">
      <c r="A91" s="803"/>
      <c r="B91" s="863">
        <v>41791</v>
      </c>
      <c r="C91" s="847">
        <v>41774</v>
      </c>
      <c r="D91" s="803"/>
      <c r="E91" s="835"/>
      <c r="F91" s="836">
        <f t="shared" si="3"/>
        <v>41774</v>
      </c>
      <c r="G91" s="803"/>
      <c r="H91" s="34"/>
      <c r="I91" s="837"/>
      <c r="J91" s="803"/>
      <c r="K91" s="803"/>
      <c r="L91" s="804"/>
    </row>
    <row r="92" spans="1:18" x14ac:dyDescent="0.25">
      <c r="A92" s="803"/>
      <c r="B92" s="863">
        <v>41821</v>
      </c>
      <c r="C92" s="847">
        <v>41803</v>
      </c>
      <c r="D92" s="803"/>
      <c r="E92" s="835"/>
      <c r="F92" s="836">
        <f t="shared" si="3"/>
        <v>41803</v>
      </c>
      <c r="G92" s="803"/>
      <c r="H92" s="34"/>
      <c r="I92" s="837"/>
      <c r="J92" s="803"/>
      <c r="K92" s="803"/>
      <c r="L92" s="804"/>
    </row>
    <row r="93" spans="1:18" x14ac:dyDescent="0.25">
      <c r="A93" s="803"/>
      <c r="B93" s="863">
        <v>41852</v>
      </c>
      <c r="C93" s="847">
        <v>41835</v>
      </c>
      <c r="D93" s="803"/>
      <c r="E93" s="835"/>
      <c r="F93" s="836">
        <f t="shared" si="3"/>
        <v>41835</v>
      </c>
      <c r="G93" s="803"/>
      <c r="H93" s="34"/>
      <c r="I93" s="837"/>
      <c r="J93" s="803"/>
      <c r="K93" s="803"/>
      <c r="L93" s="804"/>
    </row>
    <row r="94" spans="1:18" x14ac:dyDescent="0.25">
      <c r="A94" s="803"/>
      <c r="B94" s="863">
        <v>41883</v>
      </c>
      <c r="C94" s="847">
        <v>41866</v>
      </c>
      <c r="D94" s="803"/>
      <c r="E94" s="835"/>
      <c r="F94" s="836">
        <f t="shared" si="3"/>
        <v>41866</v>
      </c>
      <c r="G94" s="803"/>
      <c r="H94" s="34"/>
      <c r="I94" s="837"/>
      <c r="J94" s="803"/>
      <c r="K94" s="803"/>
      <c r="L94" s="804"/>
    </row>
    <row r="95" spans="1:18" x14ac:dyDescent="0.25">
      <c r="A95" s="803"/>
      <c r="B95" s="863">
        <v>41913</v>
      </c>
      <c r="C95" s="847">
        <v>41897</v>
      </c>
      <c r="D95" s="803"/>
      <c r="E95" s="835"/>
      <c r="F95" s="836">
        <f t="shared" si="3"/>
        <v>41897</v>
      </c>
      <c r="G95" s="803"/>
      <c r="H95" s="34"/>
      <c r="I95" s="837"/>
      <c r="J95" s="803"/>
      <c r="K95" s="803"/>
      <c r="L95" s="804"/>
    </row>
    <row r="96" spans="1:18" x14ac:dyDescent="0.25">
      <c r="A96" s="803"/>
      <c r="B96" s="863">
        <v>41944</v>
      </c>
      <c r="C96" s="847">
        <v>41927</v>
      </c>
      <c r="D96" s="803"/>
      <c r="E96" s="835"/>
      <c r="F96" s="836">
        <f t="shared" si="3"/>
        <v>41927</v>
      </c>
      <c r="G96" s="835"/>
      <c r="H96" s="34"/>
      <c r="I96" s="837"/>
      <c r="J96" s="803"/>
      <c r="K96" s="803"/>
      <c r="L96" s="804"/>
    </row>
    <row r="97" spans="1:12" x14ac:dyDescent="0.25">
      <c r="A97" s="803"/>
      <c r="B97" s="863">
        <v>41974</v>
      </c>
      <c r="C97" s="847">
        <v>41957</v>
      </c>
      <c r="D97" s="803"/>
      <c r="E97" s="835"/>
      <c r="F97" s="836">
        <f t="shared" si="3"/>
        <v>41957</v>
      </c>
      <c r="G97" s="803"/>
      <c r="H97" s="34"/>
      <c r="I97" s="837"/>
      <c r="J97" s="803"/>
      <c r="K97" s="803"/>
      <c r="L97" s="804"/>
    </row>
    <row r="98" spans="1:12" x14ac:dyDescent="0.25">
      <c r="A98" s="803"/>
      <c r="B98" s="863">
        <v>42005</v>
      </c>
      <c r="C98" s="847">
        <v>41988</v>
      </c>
      <c r="D98" s="803"/>
      <c r="E98" s="835"/>
      <c r="F98" s="836">
        <f t="shared" si="3"/>
        <v>41988</v>
      </c>
      <c r="G98" s="803"/>
      <c r="H98" s="34"/>
      <c r="I98" s="837"/>
      <c r="J98" s="803"/>
      <c r="K98" s="803"/>
      <c r="L98" s="804"/>
    </row>
    <row r="99" spans="1:12" x14ac:dyDescent="0.25">
      <c r="A99" s="803"/>
      <c r="B99" s="863">
        <v>42036</v>
      </c>
      <c r="C99" s="847">
        <v>42019</v>
      </c>
      <c r="D99" s="803"/>
      <c r="E99" s="835"/>
      <c r="F99" s="836">
        <f t="shared" si="3"/>
        <v>42019</v>
      </c>
      <c r="G99" s="803"/>
      <c r="H99" s="34"/>
      <c r="I99" s="837"/>
      <c r="J99" s="803"/>
      <c r="K99" s="803"/>
      <c r="L99" s="804"/>
    </row>
    <row r="100" spans="1:12" x14ac:dyDescent="0.25">
      <c r="A100" s="803"/>
      <c r="B100" s="863">
        <v>42064</v>
      </c>
      <c r="C100" s="847">
        <v>42048</v>
      </c>
      <c r="D100" s="803"/>
      <c r="E100" s="835"/>
      <c r="F100" s="836">
        <f t="shared" si="3"/>
        <v>42048</v>
      </c>
      <c r="G100" s="803"/>
      <c r="H100" s="34"/>
      <c r="I100" s="837"/>
      <c r="J100" s="803"/>
      <c r="K100" s="803"/>
      <c r="L100" s="804"/>
    </row>
    <row r="101" spans="1:12" x14ac:dyDescent="0.25">
      <c r="A101" s="803"/>
      <c r="B101" s="863">
        <v>42095</v>
      </c>
      <c r="C101" s="847">
        <v>42076</v>
      </c>
      <c r="D101" s="803"/>
      <c r="E101" s="835"/>
      <c r="F101" s="836">
        <f t="shared" si="3"/>
        <v>42076</v>
      </c>
      <c r="G101" s="803"/>
      <c r="H101" s="34"/>
      <c r="I101" s="837"/>
      <c r="J101" s="803"/>
      <c r="K101" s="803"/>
      <c r="L101" s="804"/>
    </row>
    <row r="102" spans="1:12" x14ac:dyDescent="0.25">
      <c r="A102" s="803"/>
      <c r="B102" s="863">
        <v>42125</v>
      </c>
      <c r="C102" s="847">
        <v>42109</v>
      </c>
      <c r="D102" s="803"/>
      <c r="E102" s="835"/>
      <c r="F102" s="836">
        <f t="shared" si="3"/>
        <v>42109</v>
      </c>
      <c r="G102" s="803"/>
      <c r="H102" s="34"/>
      <c r="I102" s="837"/>
      <c r="J102" s="803"/>
      <c r="K102" s="803"/>
      <c r="L102" s="804"/>
    </row>
    <row r="103" spans="1:12" x14ac:dyDescent="0.25">
      <c r="A103" s="803"/>
      <c r="B103" s="863">
        <v>42156</v>
      </c>
      <c r="C103" s="847">
        <v>42139</v>
      </c>
      <c r="D103" s="803"/>
      <c r="E103" s="835"/>
      <c r="F103" s="836">
        <f t="shared" si="3"/>
        <v>42139</v>
      </c>
      <c r="G103" s="803"/>
      <c r="H103" s="34"/>
      <c r="I103" s="837"/>
      <c r="J103" s="803"/>
      <c r="K103" s="803"/>
      <c r="L103" s="804"/>
    </row>
    <row r="104" spans="1:12" x14ac:dyDescent="0.25">
      <c r="A104" s="803"/>
      <c r="B104" s="863">
        <v>42186</v>
      </c>
      <c r="C104" s="847">
        <v>42170</v>
      </c>
      <c r="D104" s="803"/>
      <c r="E104" s="835"/>
      <c r="F104" s="836">
        <f t="shared" si="3"/>
        <v>42170</v>
      </c>
      <c r="G104" s="803"/>
      <c r="H104" s="34"/>
      <c r="I104" s="837"/>
      <c r="J104" s="803"/>
      <c r="K104" s="803"/>
      <c r="L104" s="804"/>
    </row>
    <row r="105" spans="1:12" x14ac:dyDescent="0.25">
      <c r="A105" s="803"/>
      <c r="B105" s="863">
        <v>42217</v>
      </c>
      <c r="C105" s="847">
        <v>42200</v>
      </c>
      <c r="D105" s="803"/>
      <c r="E105" s="835"/>
      <c r="F105" s="836">
        <f t="shared" si="3"/>
        <v>42200</v>
      </c>
      <c r="G105" s="803"/>
      <c r="H105" s="34"/>
      <c r="I105" s="837"/>
      <c r="J105" s="803"/>
      <c r="K105" s="803"/>
      <c r="L105" s="804"/>
    </row>
    <row r="106" spans="1:12" x14ac:dyDescent="0.25">
      <c r="A106" s="803"/>
      <c r="B106" s="863">
        <v>42248</v>
      </c>
      <c r="C106" s="847">
        <v>42231</v>
      </c>
      <c r="D106" s="803"/>
      <c r="E106" s="835"/>
      <c r="F106" s="836">
        <f t="shared" ref="F106:F137" si="4">WORKDAY(C106,0,S.DDL_DEQClosed)</f>
        <v>42231</v>
      </c>
      <c r="G106" s="803"/>
      <c r="H106" s="34"/>
      <c r="I106" s="837"/>
      <c r="J106" s="803"/>
      <c r="K106" s="803"/>
      <c r="L106" s="804"/>
    </row>
    <row r="107" spans="1:12" x14ac:dyDescent="0.25">
      <c r="A107" s="803"/>
      <c r="B107" s="863">
        <v>42278</v>
      </c>
      <c r="C107" s="847">
        <v>42262</v>
      </c>
      <c r="D107" s="803"/>
      <c r="E107" s="835"/>
      <c r="F107" s="836">
        <f t="shared" si="4"/>
        <v>42262</v>
      </c>
      <c r="G107" s="803"/>
      <c r="H107" s="34"/>
      <c r="I107" s="837"/>
      <c r="J107" s="803"/>
      <c r="K107" s="803"/>
      <c r="L107" s="804"/>
    </row>
    <row r="108" spans="1:12" x14ac:dyDescent="0.25">
      <c r="A108" s="803"/>
      <c r="B108" s="863">
        <v>42309</v>
      </c>
      <c r="C108" s="847">
        <v>42292</v>
      </c>
      <c r="D108" s="803"/>
      <c r="E108" s="835"/>
      <c r="F108" s="836">
        <f t="shared" si="4"/>
        <v>42292</v>
      </c>
      <c r="G108" s="803"/>
      <c r="H108" s="34"/>
      <c r="I108" s="837"/>
      <c r="J108" s="803"/>
      <c r="K108" s="803"/>
      <c r="L108" s="804"/>
    </row>
    <row r="109" spans="1:12" x14ac:dyDescent="0.25">
      <c r="A109" s="803"/>
      <c r="B109" s="863">
        <v>42339</v>
      </c>
      <c r="C109" s="847">
        <v>42321</v>
      </c>
      <c r="D109" s="803"/>
      <c r="E109" s="835"/>
      <c r="F109" s="836">
        <f t="shared" si="4"/>
        <v>42321</v>
      </c>
      <c r="G109" s="803"/>
      <c r="H109" s="34"/>
      <c r="I109" s="837"/>
      <c r="J109" s="803"/>
      <c r="K109" s="803"/>
      <c r="L109" s="804"/>
    </row>
    <row r="110" spans="1:12" x14ac:dyDescent="0.25">
      <c r="A110" s="803"/>
      <c r="B110" s="863">
        <v>42370</v>
      </c>
      <c r="C110" s="847">
        <v>42353</v>
      </c>
      <c r="D110" s="803"/>
      <c r="E110" s="835"/>
      <c r="F110" s="836">
        <f t="shared" si="4"/>
        <v>42353</v>
      </c>
      <c r="G110" s="803"/>
      <c r="H110" s="34"/>
      <c r="I110" s="837"/>
      <c r="J110" s="803"/>
      <c r="K110" s="803"/>
      <c r="L110" s="804"/>
    </row>
    <row r="111" spans="1:12" x14ac:dyDescent="0.25">
      <c r="A111" s="803"/>
      <c r="B111" s="863">
        <v>42401</v>
      </c>
      <c r="C111" s="847">
        <v>42384</v>
      </c>
      <c r="D111" s="803"/>
      <c r="E111" s="835"/>
      <c r="F111" s="836">
        <f t="shared" si="4"/>
        <v>42384</v>
      </c>
      <c r="G111" s="803"/>
      <c r="H111" s="34"/>
      <c r="I111" s="837"/>
      <c r="J111" s="803"/>
      <c r="K111" s="803"/>
      <c r="L111" s="804"/>
    </row>
    <row r="112" spans="1:12" x14ac:dyDescent="0.25">
      <c r="A112" s="803"/>
      <c r="B112" s="863">
        <v>42430</v>
      </c>
      <c r="C112" s="869">
        <v>42415</v>
      </c>
      <c r="D112" s="803"/>
      <c r="E112" s="835"/>
      <c r="F112" s="836">
        <f t="shared" si="4"/>
        <v>42415</v>
      </c>
      <c r="G112" s="803"/>
      <c r="H112" s="34"/>
      <c r="I112" s="837"/>
      <c r="J112" s="803"/>
      <c r="K112" s="803"/>
      <c r="L112" s="804"/>
    </row>
    <row r="113" spans="1:12" x14ac:dyDescent="0.25">
      <c r="A113" s="803"/>
      <c r="B113" s="863">
        <v>42461</v>
      </c>
      <c r="C113" s="847">
        <v>42444</v>
      </c>
      <c r="D113" s="803"/>
      <c r="E113" s="835"/>
      <c r="F113" s="836">
        <f t="shared" si="4"/>
        <v>42444</v>
      </c>
      <c r="G113" s="803"/>
      <c r="H113" s="34"/>
      <c r="I113" s="837"/>
      <c r="J113" s="803"/>
      <c r="K113" s="803"/>
      <c r="L113" s="804"/>
    </row>
    <row r="114" spans="1:12" x14ac:dyDescent="0.25">
      <c r="A114" s="803"/>
      <c r="B114" s="863">
        <v>42491</v>
      </c>
      <c r="C114" s="847">
        <v>42475</v>
      </c>
      <c r="D114" s="803"/>
      <c r="E114" s="835"/>
      <c r="F114" s="836">
        <f t="shared" si="4"/>
        <v>42475</v>
      </c>
      <c r="G114" s="803"/>
      <c r="H114" s="34"/>
      <c r="I114" s="837"/>
      <c r="J114" s="803"/>
      <c r="K114" s="803"/>
      <c r="L114" s="804"/>
    </row>
    <row r="115" spans="1:12" x14ac:dyDescent="0.25">
      <c r="A115" s="803"/>
      <c r="B115" s="863">
        <v>42522</v>
      </c>
      <c r="C115" s="847">
        <v>42503</v>
      </c>
      <c r="D115" s="803"/>
      <c r="E115" s="835"/>
      <c r="F115" s="836">
        <f t="shared" si="4"/>
        <v>42503</v>
      </c>
      <c r="G115" s="803"/>
      <c r="H115" s="34"/>
      <c r="I115" s="837"/>
      <c r="J115" s="803"/>
      <c r="K115" s="803"/>
      <c r="L115" s="804"/>
    </row>
    <row r="116" spans="1:12" x14ac:dyDescent="0.25">
      <c r="A116" s="803"/>
      <c r="B116" s="863">
        <v>42552</v>
      </c>
      <c r="C116" s="847">
        <v>42536</v>
      </c>
      <c r="D116" s="803"/>
      <c r="E116" s="835"/>
      <c r="F116" s="836">
        <f t="shared" si="4"/>
        <v>42536</v>
      </c>
      <c r="G116" s="803"/>
      <c r="H116" s="34"/>
      <c r="I116" s="837"/>
      <c r="J116" s="803"/>
      <c r="K116" s="803"/>
      <c r="L116" s="804"/>
    </row>
    <row r="117" spans="1:12" x14ac:dyDescent="0.25">
      <c r="A117" s="803"/>
      <c r="B117" s="863">
        <v>42583</v>
      </c>
      <c r="C117" s="847">
        <v>42566</v>
      </c>
      <c r="D117" s="803"/>
      <c r="E117" s="835"/>
      <c r="F117" s="836">
        <f t="shared" si="4"/>
        <v>42566</v>
      </c>
      <c r="G117" s="803"/>
      <c r="H117" s="34"/>
      <c r="I117" s="837"/>
      <c r="J117" s="803"/>
      <c r="K117" s="803"/>
      <c r="L117" s="804"/>
    </row>
    <row r="118" spans="1:12" x14ac:dyDescent="0.25">
      <c r="A118" s="803"/>
      <c r="B118" s="863">
        <v>42614</v>
      </c>
      <c r="C118" s="847">
        <v>42597</v>
      </c>
      <c r="D118" s="803"/>
      <c r="E118" s="835"/>
      <c r="F118" s="836">
        <f t="shared" si="4"/>
        <v>42597</v>
      </c>
      <c r="G118" s="803"/>
      <c r="H118" s="34"/>
      <c r="I118" s="837"/>
      <c r="J118" s="803"/>
      <c r="K118" s="803"/>
      <c r="L118" s="804"/>
    </row>
    <row r="119" spans="1:12" x14ac:dyDescent="0.25">
      <c r="A119" s="803"/>
      <c r="B119" s="863">
        <v>42644</v>
      </c>
      <c r="C119" s="847">
        <v>42628</v>
      </c>
      <c r="D119" s="803"/>
      <c r="E119" s="835"/>
      <c r="F119" s="836">
        <f t="shared" si="4"/>
        <v>42628</v>
      </c>
      <c r="G119" s="803"/>
      <c r="H119" s="34"/>
      <c r="I119" s="837"/>
      <c r="J119" s="803"/>
      <c r="K119" s="803"/>
      <c r="L119" s="804"/>
    </row>
    <row r="120" spans="1:12" x14ac:dyDescent="0.25">
      <c r="A120" s="803"/>
      <c r="B120" s="863">
        <v>42675</v>
      </c>
      <c r="C120" s="847">
        <v>42657</v>
      </c>
      <c r="D120" s="803"/>
      <c r="E120" s="835"/>
      <c r="F120" s="836">
        <f t="shared" si="4"/>
        <v>42657</v>
      </c>
      <c r="G120" s="803"/>
      <c r="H120" s="34"/>
      <c r="I120" s="837"/>
      <c r="J120" s="803"/>
      <c r="K120" s="803"/>
      <c r="L120" s="804"/>
    </row>
    <row r="121" spans="1:12" x14ac:dyDescent="0.25">
      <c r="A121" s="803"/>
      <c r="B121" s="863">
        <v>42705</v>
      </c>
      <c r="C121" s="847">
        <v>42689</v>
      </c>
      <c r="D121" s="803"/>
      <c r="E121" s="835"/>
      <c r="F121" s="836">
        <f t="shared" si="4"/>
        <v>42689</v>
      </c>
      <c r="G121" s="803"/>
      <c r="H121" s="34"/>
      <c r="I121" s="837"/>
      <c r="J121" s="803"/>
      <c r="K121" s="803"/>
      <c r="L121" s="804"/>
    </row>
    <row r="122" spans="1:12" x14ac:dyDescent="0.25">
      <c r="A122" s="803"/>
      <c r="B122" s="863">
        <v>42736</v>
      </c>
      <c r="C122" s="847">
        <v>42719</v>
      </c>
      <c r="D122" s="803"/>
      <c r="E122" s="835"/>
      <c r="F122" s="836">
        <f t="shared" si="4"/>
        <v>42719</v>
      </c>
      <c r="G122" s="803"/>
      <c r="H122" s="34"/>
      <c r="I122" s="837"/>
      <c r="J122" s="803"/>
      <c r="K122" s="803"/>
      <c r="L122" s="804"/>
    </row>
    <row r="123" spans="1:12" x14ac:dyDescent="0.25">
      <c r="A123" s="803"/>
      <c r="B123" s="863">
        <v>42767</v>
      </c>
      <c r="C123" s="847">
        <v>42748</v>
      </c>
      <c r="D123" s="803"/>
      <c r="E123" s="835"/>
      <c r="F123" s="836">
        <f t="shared" si="4"/>
        <v>42748</v>
      </c>
      <c r="G123" s="803"/>
      <c r="H123" s="34"/>
      <c r="I123" s="837"/>
      <c r="J123" s="803"/>
      <c r="K123" s="803"/>
      <c r="L123" s="804"/>
    </row>
    <row r="124" spans="1:12" x14ac:dyDescent="0.25">
      <c r="A124" s="803"/>
      <c r="B124" s="863">
        <v>42795</v>
      </c>
      <c r="C124" s="847">
        <v>42781</v>
      </c>
      <c r="D124" s="803"/>
      <c r="E124" s="835"/>
      <c r="F124" s="836">
        <f t="shared" si="4"/>
        <v>42781</v>
      </c>
      <c r="G124" s="803"/>
      <c r="H124" s="34"/>
      <c r="I124" s="837"/>
      <c r="J124" s="803"/>
      <c r="K124" s="803"/>
      <c r="L124" s="804"/>
    </row>
    <row r="125" spans="1:12" x14ac:dyDescent="0.25">
      <c r="A125" s="803"/>
      <c r="B125" s="863">
        <v>42826</v>
      </c>
      <c r="C125" s="847">
        <v>42809</v>
      </c>
      <c r="D125" s="803"/>
      <c r="E125" s="835"/>
      <c r="F125" s="836">
        <f t="shared" si="4"/>
        <v>42809</v>
      </c>
      <c r="G125" s="803"/>
      <c r="H125" s="34"/>
      <c r="I125" s="837"/>
      <c r="J125" s="803"/>
      <c r="K125" s="803"/>
      <c r="L125" s="804"/>
    </row>
    <row r="126" spans="1:12" x14ac:dyDescent="0.25">
      <c r="A126" s="803"/>
      <c r="B126" s="863">
        <v>42856</v>
      </c>
      <c r="C126" s="847">
        <v>42839</v>
      </c>
      <c r="D126" s="803"/>
      <c r="E126" s="835"/>
      <c r="F126" s="836">
        <f t="shared" si="4"/>
        <v>42839</v>
      </c>
      <c r="G126" s="803"/>
      <c r="H126" s="34"/>
      <c r="I126" s="837"/>
      <c r="J126" s="803"/>
      <c r="K126" s="803"/>
      <c r="L126" s="804"/>
    </row>
    <row r="127" spans="1:12" x14ac:dyDescent="0.25">
      <c r="A127" s="803"/>
      <c r="B127" s="863">
        <v>42887</v>
      </c>
      <c r="C127" s="847">
        <v>42870</v>
      </c>
      <c r="D127" s="803"/>
      <c r="E127" s="835"/>
      <c r="F127" s="836">
        <f t="shared" si="4"/>
        <v>42870</v>
      </c>
      <c r="G127" s="803"/>
      <c r="H127" s="34"/>
      <c r="I127" s="837"/>
      <c r="J127" s="803"/>
      <c r="K127" s="803"/>
      <c r="L127" s="804"/>
    </row>
    <row r="128" spans="1:12" x14ac:dyDescent="0.25">
      <c r="A128" s="803"/>
      <c r="B128" s="863">
        <v>42917</v>
      </c>
      <c r="C128" s="847">
        <v>42901</v>
      </c>
      <c r="D128" s="803"/>
      <c r="E128" s="835"/>
      <c r="F128" s="836">
        <f t="shared" si="4"/>
        <v>42901</v>
      </c>
      <c r="G128" s="803"/>
      <c r="H128" s="34"/>
      <c r="I128" s="837"/>
      <c r="J128" s="803"/>
      <c r="K128" s="803"/>
      <c r="L128" s="804"/>
    </row>
    <row r="129" spans="1:12" x14ac:dyDescent="0.25">
      <c r="A129" s="803"/>
      <c r="B129" s="863">
        <v>42948</v>
      </c>
      <c r="C129" s="847">
        <v>42930</v>
      </c>
      <c r="D129" s="803"/>
      <c r="E129" s="835"/>
      <c r="F129" s="836">
        <f t="shared" si="4"/>
        <v>42930</v>
      </c>
      <c r="G129" s="803"/>
      <c r="H129" s="34"/>
      <c r="I129" s="837"/>
      <c r="J129" s="803"/>
      <c r="K129" s="803"/>
      <c r="L129" s="804"/>
    </row>
    <row r="130" spans="1:12" x14ac:dyDescent="0.25">
      <c r="A130" s="803"/>
      <c r="B130" s="863">
        <v>42979</v>
      </c>
      <c r="C130" s="847">
        <v>42962</v>
      </c>
      <c r="D130" s="803"/>
      <c r="E130" s="835"/>
      <c r="F130" s="836">
        <f t="shared" si="4"/>
        <v>42962</v>
      </c>
      <c r="G130" s="803"/>
      <c r="H130" s="34"/>
      <c r="I130" s="837"/>
      <c r="J130" s="803"/>
      <c r="K130" s="803"/>
      <c r="L130" s="804"/>
    </row>
    <row r="131" spans="1:12" x14ac:dyDescent="0.25">
      <c r="A131" s="803"/>
      <c r="B131" s="863">
        <v>43009</v>
      </c>
      <c r="C131" s="847">
        <v>42993</v>
      </c>
      <c r="D131" s="803"/>
      <c r="E131" s="835"/>
      <c r="F131" s="836">
        <f t="shared" si="4"/>
        <v>42993</v>
      </c>
      <c r="G131" s="803"/>
      <c r="H131" s="34"/>
      <c r="I131" s="837"/>
      <c r="J131" s="803"/>
      <c r="K131" s="803"/>
      <c r="L131" s="804"/>
    </row>
    <row r="132" spans="1:12" x14ac:dyDescent="0.25">
      <c r="A132" s="803"/>
      <c r="B132" s="863">
        <v>43040</v>
      </c>
      <c r="C132" s="847">
        <v>43021</v>
      </c>
      <c r="D132" s="803"/>
      <c r="E132" s="835"/>
      <c r="F132" s="836">
        <f t="shared" si="4"/>
        <v>43021</v>
      </c>
      <c r="G132" s="803"/>
      <c r="H132" s="34"/>
      <c r="I132" s="837"/>
      <c r="J132" s="803"/>
      <c r="K132" s="803"/>
      <c r="L132" s="804"/>
    </row>
    <row r="133" spans="1:12" x14ac:dyDescent="0.25">
      <c r="A133" s="803"/>
      <c r="B133" s="863">
        <v>43070</v>
      </c>
      <c r="C133" s="847">
        <v>43054</v>
      </c>
      <c r="D133" s="803"/>
      <c r="E133" s="835"/>
      <c r="F133" s="836">
        <f t="shared" si="4"/>
        <v>43054</v>
      </c>
      <c r="G133" s="803"/>
      <c r="H133" s="34"/>
      <c r="I133" s="837"/>
      <c r="J133" s="803"/>
      <c r="K133" s="803"/>
      <c r="L133" s="804"/>
    </row>
    <row r="134" spans="1:12" x14ac:dyDescent="0.25">
      <c r="A134" s="803"/>
      <c r="B134" s="863">
        <v>43101</v>
      </c>
      <c r="C134" s="847">
        <v>43084</v>
      </c>
      <c r="D134" s="803"/>
      <c r="E134" s="835"/>
      <c r="F134" s="836">
        <f t="shared" si="4"/>
        <v>43084</v>
      </c>
      <c r="G134" s="803"/>
      <c r="H134" s="34"/>
      <c r="I134" s="837"/>
      <c r="J134" s="803"/>
      <c r="K134" s="803"/>
      <c r="L134" s="804"/>
    </row>
    <row r="135" spans="1:12" x14ac:dyDescent="0.25">
      <c r="A135" s="803"/>
      <c r="B135" s="863">
        <v>43132</v>
      </c>
      <c r="C135" s="847">
        <v>43115</v>
      </c>
      <c r="D135" s="803"/>
      <c r="E135" s="835"/>
      <c r="F135" s="836">
        <f t="shared" si="4"/>
        <v>43115</v>
      </c>
      <c r="G135" s="803"/>
      <c r="H135" s="34"/>
      <c r="I135" s="837"/>
      <c r="J135" s="803"/>
      <c r="K135" s="803"/>
      <c r="L135" s="804"/>
    </row>
    <row r="136" spans="1:12" x14ac:dyDescent="0.25">
      <c r="A136" s="803"/>
      <c r="B136" s="863">
        <v>43160</v>
      </c>
      <c r="C136" s="869">
        <v>43146</v>
      </c>
      <c r="D136" s="803"/>
      <c r="E136" s="835"/>
      <c r="F136" s="836">
        <f t="shared" si="4"/>
        <v>43146</v>
      </c>
      <c r="G136" s="803"/>
      <c r="H136" s="34"/>
      <c r="I136" s="837"/>
      <c r="J136" s="803"/>
      <c r="K136" s="803"/>
      <c r="L136" s="804"/>
    </row>
    <row r="137" spans="1:12" x14ac:dyDescent="0.25">
      <c r="A137" s="803"/>
      <c r="B137" s="863">
        <v>43191</v>
      </c>
      <c r="C137" s="847">
        <v>43173</v>
      </c>
      <c r="D137" s="803"/>
      <c r="E137" s="835"/>
      <c r="F137" s="836">
        <f t="shared" si="4"/>
        <v>43173</v>
      </c>
      <c r="G137" s="803"/>
      <c r="H137" s="34"/>
      <c r="I137" s="837"/>
      <c r="J137" s="803"/>
      <c r="K137" s="803"/>
      <c r="L137" s="804"/>
    </row>
    <row r="138" spans="1:12" x14ac:dyDescent="0.25">
      <c r="A138" s="803"/>
      <c r="B138" s="863">
        <v>43221</v>
      </c>
      <c r="C138" s="847">
        <v>43203</v>
      </c>
      <c r="D138" s="803"/>
      <c r="E138" s="835"/>
      <c r="F138" s="836">
        <f t="shared" ref="F138:F169" si="5">WORKDAY(C138,0,S.DDL_DEQClosed)</f>
        <v>43203</v>
      </c>
      <c r="G138" s="803"/>
      <c r="H138" s="34"/>
      <c r="I138" s="837"/>
      <c r="J138" s="803"/>
      <c r="K138" s="803"/>
      <c r="L138" s="804"/>
    </row>
    <row r="139" spans="1:12" x14ac:dyDescent="0.25">
      <c r="A139" s="803"/>
      <c r="B139" s="863">
        <v>43252</v>
      </c>
      <c r="C139" s="847">
        <v>43235</v>
      </c>
      <c r="D139" s="803"/>
      <c r="E139" s="835"/>
      <c r="F139" s="836">
        <f t="shared" si="5"/>
        <v>43235</v>
      </c>
      <c r="G139" s="803"/>
      <c r="H139" s="34"/>
      <c r="I139" s="837"/>
      <c r="J139" s="803"/>
      <c r="K139" s="803"/>
      <c r="L139" s="804"/>
    </row>
    <row r="140" spans="1:12" x14ac:dyDescent="0.25">
      <c r="A140" s="803"/>
      <c r="B140" s="863">
        <v>43282</v>
      </c>
      <c r="C140" s="847">
        <v>43266</v>
      </c>
      <c r="D140" s="803"/>
      <c r="E140" s="835"/>
      <c r="F140" s="836">
        <f t="shared" si="5"/>
        <v>43266</v>
      </c>
      <c r="G140" s="803"/>
      <c r="H140" s="34"/>
      <c r="I140" s="837"/>
      <c r="J140" s="803"/>
      <c r="K140" s="803"/>
      <c r="L140" s="804"/>
    </row>
    <row r="141" spans="1:12" x14ac:dyDescent="0.25">
      <c r="A141" s="803"/>
      <c r="B141" s="863">
        <v>43313</v>
      </c>
      <c r="C141" s="847">
        <v>43294</v>
      </c>
      <c r="D141" s="803"/>
      <c r="E141" s="835"/>
      <c r="F141" s="836">
        <f t="shared" si="5"/>
        <v>43294</v>
      </c>
      <c r="G141" s="803"/>
      <c r="H141" s="34"/>
      <c r="I141" s="837"/>
      <c r="J141" s="803"/>
      <c r="K141" s="803"/>
      <c r="L141" s="804"/>
    </row>
    <row r="142" spans="1:12" x14ac:dyDescent="0.25">
      <c r="A142" s="803"/>
      <c r="B142" s="863">
        <v>43344</v>
      </c>
      <c r="C142" s="847">
        <v>43327</v>
      </c>
      <c r="D142" s="803"/>
      <c r="E142" s="835"/>
      <c r="F142" s="836">
        <f t="shared" si="5"/>
        <v>43327</v>
      </c>
      <c r="G142" s="803"/>
      <c r="H142" s="34"/>
      <c r="I142" s="837"/>
      <c r="J142" s="803"/>
      <c r="K142" s="803"/>
      <c r="L142" s="804"/>
    </row>
    <row r="143" spans="1:12" x14ac:dyDescent="0.25">
      <c r="A143" s="803"/>
      <c r="B143" s="863">
        <v>43374</v>
      </c>
      <c r="C143" s="847">
        <v>43357</v>
      </c>
      <c r="D143" s="803"/>
      <c r="E143" s="835"/>
      <c r="F143" s="836">
        <f t="shared" si="5"/>
        <v>43357</v>
      </c>
      <c r="G143" s="803"/>
      <c r="H143" s="34"/>
      <c r="I143" s="837"/>
      <c r="J143" s="803"/>
      <c r="K143" s="803"/>
      <c r="L143" s="804"/>
    </row>
    <row r="144" spans="1:12" x14ac:dyDescent="0.25">
      <c r="A144" s="803"/>
      <c r="B144" s="863">
        <v>43405</v>
      </c>
      <c r="C144" s="847">
        <v>43388</v>
      </c>
      <c r="D144" s="803"/>
      <c r="E144" s="835"/>
      <c r="F144" s="836">
        <f t="shared" si="5"/>
        <v>43388</v>
      </c>
      <c r="G144" s="803"/>
      <c r="H144" s="34"/>
      <c r="I144" s="837"/>
      <c r="J144" s="803"/>
      <c r="K144" s="803"/>
      <c r="L144" s="804"/>
    </row>
    <row r="145" spans="1:12" x14ac:dyDescent="0.25">
      <c r="A145" s="803"/>
      <c r="B145" s="863">
        <v>43435</v>
      </c>
      <c r="C145" s="847">
        <v>43419</v>
      </c>
      <c r="D145" s="803"/>
      <c r="E145" s="835"/>
      <c r="F145" s="836">
        <f t="shared" si="5"/>
        <v>43419</v>
      </c>
      <c r="G145" s="803"/>
      <c r="H145" s="34"/>
      <c r="I145" s="837"/>
      <c r="J145" s="803"/>
      <c r="K145" s="803"/>
      <c r="L145" s="804"/>
    </row>
    <row r="146" spans="1:12" x14ac:dyDescent="0.25">
      <c r="A146" s="803"/>
      <c r="B146" s="863">
        <v>43466</v>
      </c>
      <c r="C146" s="847">
        <v>43448</v>
      </c>
      <c r="D146" s="803"/>
      <c r="E146" s="835"/>
      <c r="F146" s="836">
        <f t="shared" si="5"/>
        <v>43448</v>
      </c>
      <c r="G146" s="803"/>
      <c r="H146" s="34"/>
      <c r="I146" s="837"/>
      <c r="J146" s="803"/>
      <c r="K146" s="803"/>
      <c r="L146" s="804"/>
    </row>
    <row r="147" spans="1:12" x14ac:dyDescent="0.25">
      <c r="A147" s="803"/>
      <c r="B147" s="863">
        <v>43497</v>
      </c>
      <c r="C147" s="847">
        <v>43480</v>
      </c>
      <c r="D147" s="803"/>
      <c r="E147" s="835"/>
      <c r="F147" s="836">
        <f t="shared" si="5"/>
        <v>43480</v>
      </c>
      <c r="G147" s="803"/>
      <c r="H147" s="34"/>
      <c r="I147" s="837"/>
      <c r="J147" s="803"/>
      <c r="K147" s="803"/>
      <c r="L147" s="804"/>
    </row>
    <row r="148" spans="1:12" x14ac:dyDescent="0.25">
      <c r="A148" s="803"/>
      <c r="B148" s="863">
        <v>43525</v>
      </c>
      <c r="C148" s="847">
        <v>43511</v>
      </c>
      <c r="D148" s="803"/>
      <c r="E148" s="835"/>
      <c r="F148" s="836">
        <f t="shared" si="5"/>
        <v>43511</v>
      </c>
      <c r="G148" s="803"/>
      <c r="H148" s="34"/>
      <c r="I148" s="837"/>
      <c r="J148" s="803"/>
      <c r="K148" s="803"/>
      <c r="L148" s="804"/>
    </row>
    <row r="149" spans="1:12" x14ac:dyDescent="0.25">
      <c r="A149" s="803"/>
      <c r="B149" s="863">
        <v>43556</v>
      </c>
      <c r="C149" s="847">
        <v>43539</v>
      </c>
      <c r="D149" s="803"/>
      <c r="E149" s="835"/>
      <c r="F149" s="836">
        <f t="shared" si="5"/>
        <v>43539</v>
      </c>
      <c r="G149" s="803"/>
      <c r="H149" s="34"/>
      <c r="I149" s="837"/>
      <c r="J149" s="803"/>
      <c r="K149" s="803"/>
      <c r="L149" s="804"/>
    </row>
    <row r="150" spans="1:12" x14ac:dyDescent="0.25">
      <c r="A150" s="803"/>
      <c r="B150" s="863">
        <v>43586</v>
      </c>
      <c r="C150" s="847">
        <v>43570</v>
      </c>
      <c r="D150" s="803"/>
      <c r="E150" s="835"/>
      <c r="F150" s="836">
        <f t="shared" si="5"/>
        <v>43570</v>
      </c>
      <c r="G150" s="803"/>
      <c r="H150" s="34"/>
      <c r="I150" s="837"/>
      <c r="J150" s="803"/>
      <c r="K150" s="803"/>
      <c r="L150" s="804"/>
    </row>
    <row r="151" spans="1:12" x14ac:dyDescent="0.25">
      <c r="A151" s="803"/>
      <c r="B151" s="863">
        <v>43617</v>
      </c>
      <c r="C151" s="847">
        <v>43600</v>
      </c>
      <c r="D151" s="803"/>
      <c r="E151" s="835"/>
      <c r="F151" s="836">
        <f t="shared" si="5"/>
        <v>43600</v>
      </c>
      <c r="G151" s="803"/>
      <c r="H151" s="34"/>
      <c r="I151" s="837"/>
      <c r="J151" s="803"/>
      <c r="K151" s="803"/>
      <c r="L151" s="804"/>
    </row>
    <row r="152" spans="1:12" x14ac:dyDescent="0.25">
      <c r="A152" s="803"/>
      <c r="B152" s="863">
        <v>43647</v>
      </c>
      <c r="C152" s="847">
        <v>43630</v>
      </c>
      <c r="D152" s="803"/>
      <c r="E152" s="835"/>
      <c r="F152" s="836">
        <f t="shared" si="5"/>
        <v>43630</v>
      </c>
      <c r="G152" s="803"/>
      <c r="H152" s="34"/>
      <c r="I152" s="837"/>
      <c r="J152" s="803"/>
      <c r="K152" s="803"/>
      <c r="L152" s="804"/>
    </row>
    <row r="153" spans="1:12" x14ac:dyDescent="0.25">
      <c r="A153" s="803"/>
      <c r="B153" s="863">
        <v>43678</v>
      </c>
      <c r="C153" s="847">
        <v>43661</v>
      </c>
      <c r="D153" s="803"/>
      <c r="E153" s="835"/>
      <c r="F153" s="836">
        <f t="shared" si="5"/>
        <v>43661</v>
      </c>
      <c r="G153" s="803"/>
      <c r="H153" s="34"/>
      <c r="I153" s="837"/>
      <c r="J153" s="803"/>
      <c r="K153" s="803"/>
      <c r="L153" s="804"/>
    </row>
    <row r="154" spans="1:12" x14ac:dyDescent="0.25">
      <c r="A154" s="803"/>
      <c r="B154" s="863">
        <v>43709</v>
      </c>
      <c r="C154" s="847">
        <v>43692</v>
      </c>
      <c r="D154" s="803"/>
      <c r="E154" s="835"/>
      <c r="F154" s="836">
        <f t="shared" si="5"/>
        <v>43692</v>
      </c>
      <c r="G154" s="803"/>
      <c r="H154" s="34"/>
      <c r="I154" s="837"/>
      <c r="J154" s="803"/>
      <c r="K154" s="803"/>
      <c r="L154" s="804"/>
    </row>
    <row r="155" spans="1:12" x14ac:dyDescent="0.25">
      <c r="A155" s="803"/>
      <c r="B155" s="863">
        <v>43739</v>
      </c>
      <c r="C155" s="847">
        <v>43721</v>
      </c>
      <c r="D155" s="803"/>
      <c r="E155" s="835"/>
      <c r="F155" s="836">
        <f t="shared" si="5"/>
        <v>43721</v>
      </c>
      <c r="G155" s="803"/>
      <c r="H155" s="34"/>
      <c r="I155" s="837"/>
      <c r="J155" s="803"/>
      <c r="K155" s="803"/>
      <c r="L155" s="804"/>
    </row>
    <row r="156" spans="1:12" x14ac:dyDescent="0.25">
      <c r="A156" s="803"/>
      <c r="B156" s="863">
        <v>43770</v>
      </c>
      <c r="C156" s="847">
        <v>43753</v>
      </c>
      <c r="D156" s="803"/>
      <c r="E156" s="835"/>
      <c r="F156" s="836">
        <f t="shared" si="5"/>
        <v>43753</v>
      </c>
      <c r="G156" s="803"/>
      <c r="H156" s="34"/>
      <c r="I156" s="837"/>
      <c r="J156" s="803"/>
      <c r="K156" s="803"/>
      <c r="L156" s="804"/>
    </row>
    <row r="157" spans="1:12" x14ac:dyDescent="0.25">
      <c r="A157" s="803"/>
      <c r="B157" s="863">
        <v>43800</v>
      </c>
      <c r="C157" s="847">
        <v>43784</v>
      </c>
      <c r="D157" s="803"/>
      <c r="E157" s="835"/>
      <c r="F157" s="836">
        <f t="shared" si="5"/>
        <v>43784</v>
      </c>
      <c r="G157" s="803"/>
      <c r="H157" s="34"/>
      <c r="I157" s="837"/>
      <c r="J157" s="803"/>
      <c r="K157" s="803"/>
      <c r="L157" s="804"/>
    </row>
    <row r="158" spans="1:12" x14ac:dyDescent="0.25">
      <c r="A158" s="803"/>
      <c r="B158" s="863">
        <v>43831</v>
      </c>
      <c r="C158" s="847">
        <v>43812</v>
      </c>
      <c r="D158" s="803"/>
      <c r="E158" s="835"/>
      <c r="F158" s="836">
        <f t="shared" si="5"/>
        <v>43812</v>
      </c>
      <c r="G158" s="803"/>
      <c r="H158" s="34"/>
      <c r="I158" s="837"/>
      <c r="J158" s="803"/>
      <c r="K158" s="803"/>
      <c r="L158" s="804"/>
    </row>
    <row r="159" spans="1:12" x14ac:dyDescent="0.25">
      <c r="A159" s="803"/>
      <c r="B159" s="863">
        <v>43862</v>
      </c>
      <c r="C159" s="847">
        <v>43845</v>
      </c>
      <c r="D159" s="803"/>
      <c r="E159" s="835"/>
      <c r="F159" s="836">
        <f t="shared" si="5"/>
        <v>43845</v>
      </c>
      <c r="G159" s="803"/>
      <c r="H159" s="34"/>
      <c r="I159" s="837"/>
      <c r="J159" s="803"/>
      <c r="K159" s="803"/>
      <c r="L159" s="804"/>
    </row>
    <row r="160" spans="1:12" x14ac:dyDescent="0.25">
      <c r="A160" s="803"/>
      <c r="B160" s="863">
        <v>43891</v>
      </c>
      <c r="C160" s="869">
        <v>43875</v>
      </c>
      <c r="D160" s="803"/>
      <c r="E160" s="835"/>
      <c r="F160" s="836">
        <f t="shared" si="5"/>
        <v>43875</v>
      </c>
      <c r="G160" s="803"/>
      <c r="H160" s="34"/>
      <c r="I160" s="837"/>
      <c r="J160" s="803"/>
      <c r="K160" s="803"/>
      <c r="L160" s="804"/>
    </row>
    <row r="161" spans="1:12" x14ac:dyDescent="0.25">
      <c r="A161" s="803"/>
      <c r="B161" s="863">
        <v>43922</v>
      </c>
      <c r="C161" s="847">
        <v>43903</v>
      </c>
      <c r="D161" s="803"/>
      <c r="E161" s="835"/>
      <c r="F161" s="836">
        <f t="shared" si="5"/>
        <v>43903</v>
      </c>
      <c r="G161" s="803"/>
      <c r="H161" s="34"/>
      <c r="I161" s="837"/>
      <c r="J161" s="803"/>
      <c r="K161" s="803"/>
      <c r="L161" s="804"/>
    </row>
    <row r="162" spans="1:12" x14ac:dyDescent="0.25">
      <c r="A162" s="803"/>
      <c r="B162" s="863">
        <v>43952</v>
      </c>
      <c r="C162" s="847">
        <v>43936</v>
      </c>
      <c r="D162" s="803"/>
      <c r="E162" s="835"/>
      <c r="F162" s="836">
        <f t="shared" si="5"/>
        <v>43936</v>
      </c>
      <c r="G162" s="803"/>
      <c r="H162" s="34"/>
      <c r="I162" s="837"/>
      <c r="J162" s="803"/>
      <c r="K162" s="803"/>
      <c r="L162" s="804"/>
    </row>
    <row r="163" spans="1:12" x14ac:dyDescent="0.25">
      <c r="A163" s="803"/>
      <c r="B163" s="863">
        <v>43983</v>
      </c>
      <c r="C163" s="847">
        <v>43966</v>
      </c>
      <c r="D163" s="803"/>
      <c r="E163" s="835"/>
      <c r="F163" s="836">
        <f t="shared" si="5"/>
        <v>43966</v>
      </c>
      <c r="G163" s="803"/>
      <c r="H163" s="34"/>
      <c r="I163" s="837"/>
      <c r="J163" s="803"/>
      <c r="K163" s="803"/>
      <c r="L163" s="804"/>
    </row>
    <row r="164" spans="1:12" x14ac:dyDescent="0.25">
      <c r="A164" s="803"/>
      <c r="B164" s="863">
        <v>44013</v>
      </c>
      <c r="C164" s="847">
        <v>43997</v>
      </c>
      <c r="D164" s="803"/>
      <c r="E164" s="835"/>
      <c r="F164" s="836">
        <f t="shared" si="5"/>
        <v>43997</v>
      </c>
      <c r="G164" s="803"/>
      <c r="H164" s="34"/>
      <c r="I164" s="837"/>
      <c r="J164" s="803"/>
      <c r="K164" s="803"/>
      <c r="L164" s="804"/>
    </row>
    <row r="165" spans="1:12" x14ac:dyDescent="0.25">
      <c r="A165" s="803"/>
      <c r="B165" s="863">
        <v>44044</v>
      </c>
      <c r="C165" s="847">
        <v>44027</v>
      </c>
      <c r="D165" s="803"/>
      <c r="E165" s="835"/>
      <c r="F165" s="836">
        <f t="shared" si="5"/>
        <v>44027</v>
      </c>
      <c r="G165" s="803"/>
      <c r="H165" s="34"/>
      <c r="I165" s="837"/>
      <c r="J165" s="803"/>
      <c r="K165" s="803"/>
      <c r="L165" s="804"/>
    </row>
    <row r="166" spans="1:12" x14ac:dyDescent="0.25">
      <c r="A166" s="803"/>
      <c r="B166" s="863">
        <v>44075</v>
      </c>
      <c r="C166" s="847">
        <v>44057</v>
      </c>
      <c r="D166" s="803"/>
      <c r="E166" s="835"/>
      <c r="F166" s="836">
        <f t="shared" si="5"/>
        <v>44057</v>
      </c>
      <c r="G166" s="803"/>
      <c r="H166" s="34"/>
      <c r="I166" s="837"/>
      <c r="J166" s="803"/>
      <c r="K166" s="803"/>
      <c r="L166" s="804"/>
    </row>
    <row r="167" spans="1:12" x14ac:dyDescent="0.25">
      <c r="A167" s="803"/>
      <c r="B167" s="863">
        <v>44105</v>
      </c>
      <c r="C167" s="847">
        <v>44089</v>
      </c>
      <c r="D167" s="803"/>
      <c r="E167" s="835"/>
      <c r="F167" s="836">
        <f t="shared" si="5"/>
        <v>44089</v>
      </c>
      <c r="G167" s="803"/>
      <c r="H167" s="34"/>
      <c r="I167" s="837"/>
      <c r="J167" s="803"/>
      <c r="K167" s="803"/>
      <c r="L167" s="804"/>
    </row>
    <row r="168" spans="1:12" x14ac:dyDescent="0.25">
      <c r="A168" s="803"/>
      <c r="B168" s="863">
        <v>44136</v>
      </c>
      <c r="C168" s="847">
        <v>44119</v>
      </c>
      <c r="D168" s="803"/>
      <c r="E168" s="835"/>
      <c r="F168" s="836">
        <f t="shared" si="5"/>
        <v>44119</v>
      </c>
      <c r="G168" s="803"/>
      <c r="H168" s="34"/>
      <c r="I168" s="837"/>
      <c r="J168" s="803"/>
      <c r="K168" s="803"/>
      <c r="L168" s="804"/>
    </row>
    <row r="169" spans="1:12" x14ac:dyDescent="0.25">
      <c r="A169" s="803"/>
      <c r="B169" s="863">
        <v>44166</v>
      </c>
      <c r="C169" s="847">
        <v>44148</v>
      </c>
      <c r="D169" s="803"/>
      <c r="E169" s="835"/>
      <c r="F169" s="836">
        <f t="shared" si="5"/>
        <v>44148</v>
      </c>
      <c r="G169" s="803"/>
      <c r="H169" s="34"/>
      <c r="I169" s="837"/>
      <c r="J169" s="803"/>
      <c r="K169" s="803"/>
      <c r="L169" s="804"/>
    </row>
    <row r="170" spans="1:12" x14ac:dyDescent="0.25">
      <c r="A170" s="803"/>
      <c r="B170" s="863">
        <v>44197</v>
      </c>
      <c r="C170" s="847">
        <v>44180</v>
      </c>
      <c r="D170" s="803"/>
      <c r="E170" s="835"/>
      <c r="F170" s="836">
        <f t="shared" ref="F170:F181" si="6">WORKDAY(C170,0,S.DDL_DEQClosed)</f>
        <v>44180</v>
      </c>
      <c r="G170" s="803"/>
      <c r="H170" s="34"/>
      <c r="I170" s="837"/>
      <c r="J170" s="803"/>
      <c r="K170" s="803"/>
      <c r="L170" s="804"/>
    </row>
    <row r="171" spans="1:12" x14ac:dyDescent="0.25">
      <c r="A171" s="803"/>
      <c r="B171" s="863">
        <v>44228</v>
      </c>
      <c r="C171" s="847">
        <v>44211</v>
      </c>
      <c r="D171" s="803"/>
      <c r="E171" s="835"/>
      <c r="F171" s="836">
        <f t="shared" si="6"/>
        <v>44211</v>
      </c>
      <c r="G171" s="803"/>
      <c r="H171" s="34"/>
      <c r="I171" s="837"/>
      <c r="J171" s="803"/>
      <c r="K171" s="803"/>
      <c r="L171" s="804"/>
    </row>
    <row r="172" spans="1:12" x14ac:dyDescent="0.25">
      <c r="A172" s="803"/>
      <c r="B172" s="863">
        <v>44256</v>
      </c>
      <c r="C172" s="869">
        <v>44242</v>
      </c>
      <c r="D172" s="803"/>
      <c r="E172" s="835"/>
      <c r="F172" s="836">
        <f t="shared" si="6"/>
        <v>44242</v>
      </c>
      <c r="G172" s="803"/>
      <c r="H172" s="34"/>
      <c r="I172" s="837"/>
      <c r="J172" s="803"/>
      <c r="K172" s="803"/>
      <c r="L172" s="804"/>
    </row>
    <row r="173" spans="1:12" x14ac:dyDescent="0.25">
      <c r="A173" s="803"/>
      <c r="B173" s="863">
        <v>44287</v>
      </c>
      <c r="C173" s="847">
        <v>44270</v>
      </c>
      <c r="D173" s="803"/>
      <c r="E173" s="835"/>
      <c r="F173" s="836">
        <f t="shared" si="6"/>
        <v>44270</v>
      </c>
      <c r="G173" s="803"/>
      <c r="H173" s="34"/>
      <c r="I173" s="837"/>
      <c r="J173" s="803"/>
      <c r="K173" s="803"/>
      <c r="L173" s="804"/>
    </row>
    <row r="174" spans="1:12" x14ac:dyDescent="0.25">
      <c r="A174" s="803"/>
      <c r="B174" s="863">
        <v>44317</v>
      </c>
      <c r="C174" s="847">
        <v>44301</v>
      </c>
      <c r="D174" s="803"/>
      <c r="E174" s="835"/>
      <c r="F174" s="836">
        <f t="shared" si="6"/>
        <v>44301</v>
      </c>
      <c r="G174" s="803"/>
      <c r="H174" s="34"/>
      <c r="I174" s="837"/>
      <c r="J174" s="803"/>
      <c r="K174" s="803"/>
      <c r="L174" s="804"/>
    </row>
    <row r="175" spans="1:12" x14ac:dyDescent="0.25">
      <c r="A175" s="803"/>
      <c r="B175" s="863">
        <v>44348</v>
      </c>
      <c r="C175" s="847">
        <v>44330</v>
      </c>
      <c r="D175" s="803"/>
      <c r="E175" s="835"/>
      <c r="F175" s="836">
        <f t="shared" si="6"/>
        <v>44330</v>
      </c>
      <c r="G175" s="803"/>
      <c r="H175" s="34"/>
      <c r="I175" s="837"/>
      <c r="J175" s="803"/>
      <c r="K175" s="803"/>
      <c r="L175" s="804"/>
    </row>
    <row r="176" spans="1:12" x14ac:dyDescent="0.25">
      <c r="A176" s="803"/>
      <c r="B176" s="863">
        <v>44378</v>
      </c>
      <c r="C176" s="847">
        <v>44362</v>
      </c>
      <c r="D176" s="803"/>
      <c r="E176" s="835"/>
      <c r="F176" s="836">
        <f t="shared" si="6"/>
        <v>44362</v>
      </c>
      <c r="G176" s="803"/>
      <c r="H176" s="34"/>
      <c r="I176" s="837"/>
      <c r="J176" s="803"/>
      <c r="K176" s="803"/>
      <c r="L176" s="804"/>
    </row>
    <row r="177" spans="1:12" x14ac:dyDescent="0.25">
      <c r="A177" s="803"/>
      <c r="B177" s="863">
        <v>44409</v>
      </c>
      <c r="C177" s="847">
        <v>44392</v>
      </c>
      <c r="D177" s="803"/>
      <c r="E177" s="835"/>
      <c r="F177" s="836">
        <f t="shared" si="6"/>
        <v>44392</v>
      </c>
      <c r="G177" s="803"/>
      <c r="H177" s="34"/>
      <c r="I177" s="837"/>
      <c r="J177" s="803"/>
      <c r="K177" s="803"/>
      <c r="L177" s="804"/>
    </row>
    <row r="178" spans="1:12" x14ac:dyDescent="0.25">
      <c r="A178" s="803"/>
      <c r="B178" s="863">
        <v>44440</v>
      </c>
      <c r="C178" s="847">
        <v>44421</v>
      </c>
      <c r="D178" s="803"/>
      <c r="E178" s="835"/>
      <c r="F178" s="836">
        <f t="shared" si="6"/>
        <v>44421</v>
      </c>
      <c r="G178" s="803"/>
      <c r="H178" s="34"/>
      <c r="I178" s="837"/>
      <c r="J178" s="803"/>
      <c r="K178" s="803"/>
      <c r="L178" s="804"/>
    </row>
    <row r="179" spans="1:12" x14ac:dyDescent="0.25">
      <c r="A179" s="803"/>
      <c r="B179" s="863">
        <v>44470</v>
      </c>
      <c r="C179" s="847">
        <v>44454</v>
      </c>
      <c r="D179" s="803"/>
      <c r="E179" s="835"/>
      <c r="F179" s="836">
        <f t="shared" si="6"/>
        <v>44454</v>
      </c>
      <c r="G179" s="803"/>
      <c r="H179" s="34"/>
      <c r="I179" s="837"/>
      <c r="J179" s="803"/>
      <c r="K179" s="803"/>
      <c r="L179" s="804"/>
    </row>
    <row r="180" spans="1:12" x14ac:dyDescent="0.25">
      <c r="A180" s="803"/>
      <c r="B180" s="863">
        <v>44501</v>
      </c>
      <c r="C180" s="847">
        <v>44484</v>
      </c>
      <c r="D180" s="803"/>
      <c r="E180" s="835"/>
      <c r="F180" s="836">
        <f t="shared" si="6"/>
        <v>44484</v>
      </c>
      <c r="G180" s="803"/>
      <c r="H180" s="34"/>
      <c r="I180" s="837"/>
      <c r="J180" s="803"/>
      <c r="K180" s="803"/>
      <c r="L180" s="804"/>
    </row>
    <row r="181" spans="1:12" ht="16.5" thickBot="1" x14ac:dyDescent="0.3">
      <c r="A181" s="803"/>
      <c r="B181" s="864">
        <v>44531</v>
      </c>
      <c r="C181" s="849">
        <v>44515</v>
      </c>
      <c r="D181" s="803"/>
      <c r="E181" s="835"/>
      <c r="F181" s="836">
        <f t="shared" si="6"/>
        <v>44515</v>
      </c>
      <c r="G181" s="803"/>
      <c r="H181" s="34"/>
      <c r="I181" s="837"/>
      <c r="J181" s="803"/>
      <c r="K181" s="803"/>
      <c r="L181" s="804"/>
    </row>
    <row r="182" spans="1:12" x14ac:dyDescent="0.25">
      <c r="A182" s="803"/>
      <c r="B182" s="845" t="s">
        <v>0</v>
      </c>
      <c r="C182" s="845"/>
      <c r="D182" s="843"/>
      <c r="E182" s="835"/>
      <c r="F182" s="803"/>
      <c r="G182" s="803"/>
      <c r="H182" s="34"/>
      <c r="I182" s="837"/>
      <c r="J182" s="803"/>
      <c r="K182" s="803"/>
      <c r="L182" s="804"/>
    </row>
    <row r="183" spans="1:12" x14ac:dyDescent="0.25">
      <c r="A183" s="803"/>
      <c r="B183" s="846"/>
      <c r="C183" s="846"/>
      <c r="D183" s="841"/>
      <c r="E183" s="835"/>
      <c r="F183" s="803"/>
      <c r="G183" s="803"/>
      <c r="H183" s="34"/>
      <c r="I183" s="837"/>
      <c r="J183" s="803"/>
      <c r="K183" s="803"/>
      <c r="L183" s="804"/>
    </row>
    <row r="184" spans="1:12" x14ac:dyDescent="0.25">
      <c r="A184" s="803"/>
      <c r="B184" s="34"/>
      <c r="C184" s="846"/>
      <c r="D184" s="841"/>
      <c r="E184" s="835"/>
      <c r="F184" s="803"/>
      <c r="G184" s="803"/>
      <c r="H184" s="34"/>
      <c r="I184" s="837"/>
      <c r="J184" s="803"/>
      <c r="K184" s="803"/>
      <c r="L184" s="804"/>
    </row>
    <row r="185" spans="1:12" x14ac:dyDescent="0.25">
      <c r="A185" s="803"/>
      <c r="B185" s="34"/>
      <c r="C185" s="846"/>
      <c r="D185" s="841"/>
      <c r="E185" s="835"/>
      <c r="F185" s="803"/>
      <c r="G185" s="803"/>
      <c r="H185" s="34"/>
      <c r="I185" s="837"/>
      <c r="J185" s="803"/>
      <c r="K185" s="803"/>
      <c r="L185" s="804"/>
    </row>
    <row r="186" spans="1:12" x14ac:dyDescent="0.25">
      <c r="A186" s="803"/>
      <c r="B186" s="34" t="s">
        <v>0</v>
      </c>
      <c r="C186" s="846"/>
      <c r="D186" s="841"/>
      <c r="E186" s="835"/>
      <c r="F186" s="803"/>
      <c r="G186" s="803"/>
      <c r="H186" s="34"/>
      <c r="I186" s="837"/>
      <c r="J186" s="803"/>
      <c r="K186" s="803"/>
      <c r="L186" s="804"/>
    </row>
    <row r="187" spans="1:12" x14ac:dyDescent="0.25">
      <c r="A187" s="803"/>
      <c r="B187" s="34" t="s">
        <v>0</v>
      </c>
      <c r="C187" s="803"/>
      <c r="D187" s="844" t="s">
        <v>413</v>
      </c>
      <c r="E187" s="835"/>
      <c r="F187" s="803"/>
      <c r="G187" s="803"/>
      <c r="H187" s="34"/>
      <c r="I187" s="837"/>
      <c r="J187" s="803"/>
      <c r="K187" s="803"/>
      <c r="L187" s="804"/>
    </row>
    <row r="188" spans="1:12" x14ac:dyDescent="0.25">
      <c r="A188" s="803"/>
      <c r="B188" s="799" t="s">
        <v>0</v>
      </c>
      <c r="C188" s="803"/>
      <c r="D188" s="839"/>
      <c r="E188" s="835"/>
      <c r="F188" s="803"/>
      <c r="G188" s="803"/>
      <c r="H188" s="34"/>
      <c r="I188" s="837"/>
      <c r="J188" s="803"/>
      <c r="K188" s="803"/>
      <c r="L188" s="804"/>
    </row>
    <row r="189" spans="1:12" x14ac:dyDescent="0.25">
      <c r="A189" s="803"/>
      <c r="B189" s="846"/>
      <c r="C189" s="803"/>
      <c r="D189" s="841"/>
      <c r="E189" s="835"/>
      <c r="F189" s="803"/>
      <c r="G189" s="803"/>
      <c r="H189" s="34"/>
      <c r="I189" s="837"/>
      <c r="J189" s="803"/>
      <c r="K189" s="803"/>
      <c r="L189" s="804"/>
    </row>
    <row r="190" spans="1:12" x14ac:dyDescent="0.25">
      <c r="A190" s="803"/>
      <c r="B190" s="802"/>
      <c r="C190" s="803"/>
      <c r="D190" s="803"/>
      <c r="E190" s="835"/>
      <c r="F190" s="803"/>
      <c r="G190" s="803"/>
      <c r="H190" s="34"/>
      <c r="I190" s="837"/>
      <c r="J190" s="803"/>
      <c r="K190" s="803"/>
      <c r="L190" s="804"/>
    </row>
    <row r="191" spans="1:12" x14ac:dyDescent="0.25">
      <c r="A191" s="803"/>
      <c r="B191" s="802"/>
      <c r="C191" s="803"/>
      <c r="D191" s="803"/>
      <c r="E191" s="835"/>
      <c r="F191" s="803"/>
      <c r="G191" s="803"/>
      <c r="H191" s="34"/>
      <c r="I191" s="837"/>
      <c r="J191" s="803"/>
      <c r="K191" s="803"/>
      <c r="L191" s="804"/>
    </row>
    <row r="192" spans="1:12" x14ac:dyDescent="0.25">
      <c r="A192" s="803"/>
      <c r="B192" s="802"/>
      <c r="C192" s="803"/>
      <c r="D192" s="803"/>
      <c r="E192" s="835"/>
      <c r="F192" s="803"/>
      <c r="G192" s="803"/>
      <c r="H192" s="34"/>
      <c r="I192" s="837"/>
      <c r="J192" s="803"/>
      <c r="K192" s="803"/>
      <c r="L192" s="804"/>
    </row>
    <row r="193" spans="1:13" x14ac:dyDescent="0.25">
      <c r="A193" s="803"/>
      <c r="B193" s="802"/>
      <c r="C193" s="803"/>
      <c r="D193" s="803"/>
      <c r="E193" s="835"/>
      <c r="F193" s="803"/>
      <c r="G193" s="803"/>
      <c r="H193" s="34"/>
      <c r="I193" s="837"/>
      <c r="J193" s="803"/>
      <c r="K193" s="803"/>
      <c r="L193" s="804"/>
    </row>
    <row r="194" spans="1:13" s="803" customFormat="1" x14ac:dyDescent="0.25">
      <c r="B194" s="802"/>
      <c r="E194" s="835"/>
      <c r="H194" s="839"/>
      <c r="I194" s="839"/>
      <c r="L194" s="804"/>
      <c r="M194" s="804"/>
    </row>
    <row r="195" spans="1:13" s="803" customFormat="1" x14ac:dyDescent="0.25">
      <c r="B195" s="802"/>
      <c r="E195" s="835"/>
      <c r="H195" s="841"/>
      <c r="I195" s="841"/>
      <c r="L195" s="804"/>
      <c r="M195" s="804"/>
    </row>
    <row r="196" spans="1:13" s="803" customFormat="1" x14ac:dyDescent="0.25">
      <c r="B196" s="802"/>
      <c r="E196" s="835"/>
      <c r="H196" s="841"/>
      <c r="I196" s="841"/>
      <c r="L196" s="804"/>
      <c r="M196" s="804"/>
    </row>
    <row r="197" spans="1:13" s="803" customFormat="1" x14ac:dyDescent="0.25">
      <c r="B197" s="802"/>
      <c r="C197" s="802"/>
      <c r="E197" s="835"/>
      <c r="H197" s="841"/>
      <c r="I197" s="841"/>
      <c r="L197" s="804"/>
      <c r="M197" s="804"/>
    </row>
    <row r="198" spans="1:13" s="803" customFormat="1" x14ac:dyDescent="0.25">
      <c r="B198" s="802"/>
      <c r="C198" s="802"/>
      <c r="E198" s="835"/>
      <c r="H198" s="841"/>
      <c r="I198" s="841"/>
      <c r="L198" s="804"/>
      <c r="M198" s="804"/>
    </row>
    <row r="199" spans="1:13" x14ac:dyDescent="0.25">
      <c r="A199" s="803"/>
      <c r="B199" s="802"/>
      <c r="C199" s="802"/>
      <c r="D199" s="803"/>
      <c r="E199" s="835"/>
      <c r="F199" s="803"/>
      <c r="G199" s="803"/>
      <c r="H199" s="841"/>
      <c r="I199" s="841"/>
      <c r="J199" s="803"/>
      <c r="K199" s="803"/>
      <c r="L199" s="804"/>
    </row>
    <row r="200" spans="1:13" x14ac:dyDescent="0.25">
      <c r="A200" s="803"/>
      <c r="B200" s="802"/>
      <c r="C200" s="802"/>
      <c r="D200" s="803"/>
      <c r="E200" s="835"/>
      <c r="F200" s="803"/>
      <c r="G200" s="803"/>
      <c r="H200" s="839"/>
      <c r="I200" s="839"/>
      <c r="J200" s="803"/>
      <c r="K200" s="803"/>
      <c r="L200" s="804"/>
    </row>
    <row r="201" spans="1:13" x14ac:dyDescent="0.25">
      <c r="A201" s="803"/>
      <c r="B201" s="802"/>
      <c r="C201" s="802"/>
      <c r="D201" s="803"/>
      <c r="E201" s="835"/>
      <c r="F201" s="803"/>
      <c r="G201" s="803"/>
      <c r="H201" s="841"/>
      <c r="I201" s="841"/>
      <c r="J201" s="803"/>
      <c r="K201" s="803"/>
      <c r="L201" s="804"/>
    </row>
    <row r="202" spans="1:13" x14ac:dyDescent="0.25">
      <c r="A202" s="803"/>
      <c r="B202" s="802"/>
      <c r="C202" s="802"/>
      <c r="D202" s="803"/>
      <c r="E202" s="835"/>
      <c r="F202" s="803"/>
      <c r="G202" s="803"/>
      <c r="H202" s="803"/>
      <c r="I202" s="803"/>
      <c r="J202" s="803"/>
      <c r="K202" s="803"/>
      <c r="L202" s="804"/>
    </row>
    <row r="203" spans="1:13" x14ac:dyDescent="0.25">
      <c r="A203" s="803"/>
      <c r="B203" s="802"/>
      <c r="C203" s="802"/>
      <c r="D203" s="803"/>
      <c r="E203" s="835"/>
      <c r="F203" s="803"/>
      <c r="G203" s="803"/>
      <c r="H203" s="803"/>
      <c r="I203" s="803"/>
      <c r="J203" s="803"/>
      <c r="K203" s="803"/>
      <c r="L203" s="804"/>
    </row>
    <row r="204" spans="1:13" x14ac:dyDescent="0.25">
      <c r="A204" s="803"/>
      <c r="B204" s="802"/>
      <c r="C204" s="802"/>
      <c r="D204" s="803"/>
      <c r="E204" s="835"/>
      <c r="F204" s="803"/>
      <c r="G204" s="803"/>
      <c r="H204" s="803"/>
      <c r="I204" s="803"/>
      <c r="J204" s="803"/>
      <c r="K204" s="803"/>
      <c r="L204" s="804"/>
    </row>
    <row r="205" spans="1:13" x14ac:dyDescent="0.25">
      <c r="A205" s="803"/>
      <c r="B205" s="802"/>
      <c r="C205" s="802"/>
      <c r="D205" s="803"/>
      <c r="E205" s="835"/>
      <c r="F205" s="803"/>
      <c r="G205" s="803"/>
      <c r="H205" s="803"/>
      <c r="I205" s="803"/>
      <c r="J205" s="803"/>
      <c r="K205" s="803"/>
      <c r="L205" s="804"/>
    </row>
    <row r="206" spans="1:13" x14ac:dyDescent="0.25">
      <c r="A206" s="803"/>
      <c r="B206" s="802"/>
      <c r="C206" s="802"/>
      <c r="D206" s="803"/>
      <c r="E206" s="835"/>
      <c r="F206" s="803"/>
      <c r="G206" s="803"/>
      <c r="H206" s="803"/>
      <c r="I206" s="803"/>
      <c r="J206" s="803"/>
      <c r="K206" s="803"/>
      <c r="L206" s="804"/>
    </row>
    <row r="207" spans="1:13" x14ac:dyDescent="0.25">
      <c r="A207" s="803"/>
      <c r="B207" s="802"/>
      <c r="C207" s="802"/>
      <c r="D207" s="803"/>
      <c r="E207" s="835"/>
      <c r="F207" s="803"/>
      <c r="G207" s="803"/>
      <c r="H207" s="803"/>
      <c r="I207" s="803"/>
      <c r="J207" s="803"/>
      <c r="K207" s="803"/>
      <c r="L207" s="804"/>
    </row>
    <row r="208" spans="1:13" x14ac:dyDescent="0.25">
      <c r="A208" s="803"/>
      <c r="B208" s="802"/>
      <c r="C208" s="802"/>
      <c r="D208" s="803"/>
      <c r="E208" s="835"/>
      <c r="F208" s="803"/>
      <c r="G208" s="803"/>
      <c r="H208" s="803"/>
      <c r="I208" s="803"/>
      <c r="J208" s="803"/>
      <c r="K208" s="803"/>
      <c r="L208" s="804"/>
    </row>
    <row r="209" spans="1:12" x14ac:dyDescent="0.25">
      <c r="A209" s="803"/>
      <c r="B209" s="802"/>
      <c r="C209" s="802"/>
      <c r="D209" s="803"/>
      <c r="E209" s="835"/>
      <c r="F209" s="803"/>
      <c r="G209" s="803"/>
      <c r="H209" s="803"/>
      <c r="I209" s="803"/>
      <c r="J209" s="803"/>
      <c r="K209" s="803"/>
      <c r="L209" s="804"/>
    </row>
    <row r="210" spans="1:12" x14ac:dyDescent="0.25">
      <c r="A210" s="803"/>
      <c r="B210" s="802"/>
      <c r="C210" s="802"/>
      <c r="D210" s="803"/>
      <c r="E210" s="835"/>
      <c r="F210" s="803"/>
      <c r="G210" s="803"/>
      <c r="H210" s="803"/>
      <c r="I210" s="803"/>
      <c r="J210" s="803"/>
      <c r="K210" s="803"/>
      <c r="L210" s="804"/>
    </row>
    <row r="211" spans="1:12" x14ac:dyDescent="0.25">
      <c r="A211" s="803"/>
      <c r="B211" s="802"/>
      <c r="C211" s="802"/>
      <c r="D211" s="803"/>
      <c r="E211" s="835"/>
      <c r="F211" s="803"/>
      <c r="G211" s="803"/>
      <c r="H211" s="803"/>
      <c r="I211" s="803"/>
      <c r="J211" s="803"/>
      <c r="K211" s="803"/>
      <c r="L211" s="804"/>
    </row>
    <row r="212" spans="1:12" x14ac:dyDescent="0.25">
      <c r="A212" s="803"/>
      <c r="B212" s="802"/>
      <c r="C212" s="802"/>
      <c r="D212" s="803"/>
      <c r="E212" s="835"/>
      <c r="F212" s="803"/>
      <c r="G212" s="803"/>
      <c r="H212" s="803"/>
      <c r="I212" s="803"/>
      <c r="J212" s="803"/>
      <c r="K212" s="803"/>
      <c r="L212" s="804"/>
    </row>
    <row r="213" spans="1:12" x14ac:dyDescent="0.25">
      <c r="A213" s="803"/>
      <c r="B213" s="802"/>
      <c r="C213" s="802"/>
      <c r="D213" s="803"/>
      <c r="E213" s="835"/>
      <c r="F213" s="803"/>
      <c r="G213" s="803"/>
      <c r="H213" s="803"/>
      <c r="I213" s="803"/>
      <c r="J213" s="803"/>
      <c r="K213" s="803"/>
      <c r="L213" s="804"/>
    </row>
    <row r="214" spans="1:12" x14ac:dyDescent="0.25">
      <c r="A214" s="803"/>
      <c r="B214" s="802"/>
      <c r="C214" s="802"/>
      <c r="D214" s="803"/>
      <c r="E214" s="835"/>
      <c r="F214" s="803"/>
      <c r="G214" s="803"/>
      <c r="H214" s="803"/>
      <c r="I214" s="803"/>
      <c r="J214" s="803"/>
      <c r="K214" s="803"/>
      <c r="L214" s="804"/>
    </row>
    <row r="215" spans="1:12" x14ac:dyDescent="0.25">
      <c r="A215" s="803"/>
      <c r="B215" s="802"/>
      <c r="C215" s="802"/>
      <c r="D215" s="803"/>
      <c r="E215" s="835"/>
      <c r="F215" s="803"/>
      <c r="G215" s="803"/>
      <c r="H215" s="803"/>
      <c r="I215" s="803"/>
      <c r="J215" s="803"/>
      <c r="K215" s="803"/>
      <c r="L215" s="804"/>
    </row>
    <row r="216" spans="1:12" x14ac:dyDescent="0.25">
      <c r="A216" s="803"/>
      <c r="B216" s="802"/>
      <c r="C216" s="802"/>
      <c r="D216" s="803"/>
      <c r="E216" s="835"/>
      <c r="F216" s="803"/>
      <c r="G216" s="803"/>
      <c r="H216" s="803"/>
      <c r="I216" s="803"/>
      <c r="J216" s="803"/>
      <c r="K216" s="803"/>
      <c r="L216" s="804"/>
    </row>
    <row r="217" spans="1:12" x14ac:dyDescent="0.25">
      <c r="A217" s="803"/>
      <c r="B217" s="802"/>
      <c r="C217" s="802"/>
      <c r="D217" s="803"/>
      <c r="E217" s="835"/>
      <c r="F217" s="803"/>
      <c r="G217" s="803"/>
      <c r="H217" s="803"/>
      <c r="I217" s="803"/>
      <c r="J217" s="803"/>
      <c r="K217" s="803"/>
      <c r="L217" s="804"/>
    </row>
    <row r="218" spans="1:12" x14ac:dyDescent="0.25">
      <c r="A218" s="803"/>
      <c r="B218" s="802"/>
      <c r="C218" s="802"/>
      <c r="D218" s="803"/>
      <c r="E218" s="835"/>
      <c r="F218" s="803"/>
      <c r="G218" s="803"/>
      <c r="H218" s="803"/>
      <c r="I218" s="803"/>
      <c r="J218" s="803"/>
      <c r="K218" s="803"/>
      <c r="L218" s="804"/>
    </row>
    <row r="219" spans="1:12" x14ac:dyDescent="0.25">
      <c r="A219" s="803"/>
      <c r="B219" s="802"/>
      <c r="C219" s="802"/>
      <c r="D219" s="803"/>
      <c r="E219" s="835"/>
      <c r="F219" s="803"/>
      <c r="G219" s="803"/>
      <c r="H219" s="803"/>
      <c r="I219" s="803"/>
      <c r="J219" s="803"/>
      <c r="K219" s="803"/>
      <c r="L219" s="804"/>
    </row>
    <row r="220" spans="1:12" x14ac:dyDescent="0.25">
      <c r="A220" s="803"/>
      <c r="B220" s="802"/>
      <c r="C220" s="802"/>
      <c r="D220" s="803"/>
      <c r="E220" s="835"/>
      <c r="F220" s="803"/>
      <c r="G220" s="803"/>
      <c r="H220" s="803"/>
      <c r="I220" s="803"/>
      <c r="J220" s="803"/>
      <c r="K220" s="803"/>
      <c r="L220" s="804"/>
    </row>
    <row r="221" spans="1:12" x14ac:dyDescent="0.25">
      <c r="A221" s="803"/>
      <c r="B221" s="802"/>
      <c r="C221" s="802"/>
      <c r="D221" s="803"/>
      <c r="E221" s="835"/>
      <c r="F221" s="803"/>
      <c r="G221" s="803"/>
      <c r="H221" s="803"/>
      <c r="I221" s="803"/>
      <c r="J221" s="803"/>
      <c r="K221" s="803"/>
      <c r="L221" s="804"/>
    </row>
    <row r="222" spans="1:12" x14ac:dyDescent="0.25">
      <c r="A222" s="803"/>
      <c r="B222" s="802"/>
      <c r="C222" s="802"/>
      <c r="D222" s="803"/>
      <c r="E222" s="835"/>
      <c r="F222" s="803"/>
      <c r="G222" s="803"/>
      <c r="H222" s="803"/>
      <c r="I222" s="803"/>
      <c r="J222" s="803"/>
      <c r="K222" s="803"/>
      <c r="L222" s="804"/>
    </row>
    <row r="223" spans="1:12" x14ac:dyDescent="0.25">
      <c r="A223" s="803"/>
      <c r="B223" s="802"/>
      <c r="C223" s="802"/>
      <c r="D223" s="803"/>
      <c r="E223" s="835"/>
      <c r="F223" s="803"/>
      <c r="G223" s="803"/>
      <c r="H223" s="803"/>
      <c r="I223" s="803"/>
      <c r="J223" s="803"/>
      <c r="K223" s="803"/>
      <c r="L223" s="804"/>
    </row>
    <row r="224" spans="1:12" x14ac:dyDescent="0.25">
      <c r="A224" s="803"/>
      <c r="B224" s="802"/>
      <c r="C224" s="802"/>
      <c r="D224" s="803"/>
      <c r="E224" s="835"/>
      <c r="F224" s="803"/>
      <c r="G224" s="803"/>
      <c r="H224" s="803"/>
      <c r="I224" s="803"/>
      <c r="J224" s="803"/>
      <c r="K224" s="803"/>
      <c r="L224" s="804"/>
    </row>
    <row r="225" spans="1:12" x14ac:dyDescent="0.25">
      <c r="A225" s="803"/>
      <c r="B225" s="802"/>
      <c r="C225" s="802"/>
      <c r="D225" s="803"/>
      <c r="E225" s="835"/>
      <c r="F225" s="803"/>
      <c r="G225" s="803"/>
      <c r="H225" s="803"/>
      <c r="I225" s="803"/>
      <c r="J225" s="803"/>
      <c r="K225" s="803"/>
      <c r="L225" s="804"/>
    </row>
    <row r="226" spans="1:12" x14ac:dyDescent="0.25">
      <c r="A226" s="803"/>
      <c r="B226" s="802"/>
      <c r="C226" s="802"/>
      <c r="D226" s="803"/>
      <c r="E226" s="835"/>
      <c r="F226" s="803"/>
      <c r="G226" s="803"/>
      <c r="H226" s="803"/>
      <c r="I226" s="803"/>
      <c r="J226" s="803"/>
      <c r="K226" s="803"/>
      <c r="L226" s="804"/>
    </row>
    <row r="227" spans="1:12" x14ac:dyDescent="0.25">
      <c r="A227" s="803"/>
      <c r="B227" s="802"/>
      <c r="C227" s="802"/>
      <c r="D227" s="803"/>
      <c r="E227" s="835"/>
      <c r="F227" s="803"/>
      <c r="G227" s="803"/>
      <c r="H227" s="803"/>
      <c r="I227" s="803"/>
      <c r="J227" s="803"/>
      <c r="K227" s="803"/>
      <c r="L227" s="804"/>
    </row>
    <row r="228" spans="1:12" x14ac:dyDescent="0.25">
      <c r="A228" s="803"/>
      <c r="B228" s="802"/>
      <c r="C228" s="802"/>
      <c r="D228" s="803"/>
      <c r="E228" s="835"/>
      <c r="F228" s="803"/>
      <c r="G228" s="803"/>
      <c r="H228" s="803"/>
      <c r="I228" s="803"/>
      <c r="J228" s="803"/>
      <c r="K228" s="803"/>
      <c r="L228" s="804"/>
    </row>
    <row r="229" spans="1:12" x14ac:dyDescent="0.25">
      <c r="A229" s="803"/>
      <c r="B229" s="802"/>
      <c r="C229" s="802"/>
      <c r="D229" s="803"/>
      <c r="E229" s="835"/>
      <c r="F229" s="803"/>
      <c r="G229" s="803"/>
      <c r="H229" s="803"/>
      <c r="I229" s="803"/>
      <c r="J229" s="803"/>
      <c r="K229" s="803"/>
      <c r="L229" s="804"/>
    </row>
    <row r="230" spans="1:12" x14ac:dyDescent="0.25">
      <c r="A230" s="803"/>
      <c r="B230" s="802"/>
      <c r="C230" s="802"/>
      <c r="D230" s="803"/>
      <c r="E230" s="835"/>
      <c r="F230" s="803"/>
      <c r="G230" s="803"/>
      <c r="H230" s="803"/>
      <c r="I230" s="803"/>
      <c r="J230" s="803"/>
      <c r="K230" s="803"/>
      <c r="L230" s="804"/>
    </row>
    <row r="231" spans="1:12" x14ac:dyDescent="0.25">
      <c r="A231" s="803"/>
      <c r="B231" s="802"/>
      <c r="C231" s="802"/>
      <c r="D231" s="803"/>
      <c r="E231" s="835"/>
      <c r="F231" s="803"/>
      <c r="G231" s="803"/>
      <c r="H231" s="803"/>
      <c r="I231" s="803"/>
      <c r="J231" s="803"/>
      <c r="K231" s="803"/>
      <c r="L231" s="804"/>
    </row>
    <row r="232" spans="1:12" x14ac:dyDescent="0.25">
      <c r="A232" s="803"/>
      <c r="B232" s="802"/>
      <c r="C232" s="802"/>
      <c r="D232" s="803"/>
      <c r="E232" s="835"/>
      <c r="F232" s="803"/>
      <c r="G232" s="803"/>
      <c r="H232" s="803"/>
      <c r="I232" s="803"/>
      <c r="J232" s="803"/>
      <c r="K232" s="803"/>
      <c r="L232" s="804"/>
    </row>
    <row r="233" spans="1:12" x14ac:dyDescent="0.25">
      <c r="A233" s="803"/>
      <c r="B233" s="802"/>
      <c r="C233" s="802"/>
      <c r="D233" s="803"/>
      <c r="E233" s="835"/>
      <c r="F233" s="803"/>
      <c r="G233" s="803"/>
      <c r="H233" s="803"/>
      <c r="I233" s="803"/>
      <c r="J233" s="803"/>
      <c r="K233" s="803"/>
      <c r="L233" s="804"/>
    </row>
    <row r="234" spans="1:12" x14ac:dyDescent="0.25">
      <c r="A234" s="803"/>
      <c r="B234" s="802"/>
      <c r="C234" s="802"/>
      <c r="D234" s="803"/>
      <c r="E234" s="835"/>
      <c r="F234" s="803"/>
      <c r="G234" s="803"/>
      <c r="H234" s="803"/>
      <c r="I234" s="803"/>
      <c r="J234" s="803"/>
      <c r="K234" s="803"/>
      <c r="L234" s="804"/>
    </row>
    <row r="235" spans="1:12" x14ac:dyDescent="0.25">
      <c r="A235" s="803"/>
      <c r="B235" s="802"/>
      <c r="C235" s="802"/>
      <c r="D235" s="803"/>
      <c r="E235" s="835"/>
      <c r="F235" s="803"/>
      <c r="G235" s="803"/>
      <c r="H235" s="803"/>
      <c r="I235" s="803"/>
      <c r="J235" s="803"/>
      <c r="K235" s="803"/>
      <c r="L235" s="804"/>
    </row>
    <row r="236" spans="1:12" x14ac:dyDescent="0.25">
      <c r="A236" s="803"/>
      <c r="B236" s="802"/>
      <c r="C236" s="802"/>
      <c r="D236" s="803"/>
      <c r="E236" s="835"/>
      <c r="F236" s="803"/>
      <c r="G236" s="803"/>
      <c r="H236" s="803"/>
      <c r="I236" s="803"/>
      <c r="J236" s="803"/>
      <c r="K236" s="803"/>
      <c r="L236" s="804"/>
    </row>
    <row r="237" spans="1:12" x14ac:dyDescent="0.25">
      <c r="A237" s="803"/>
      <c r="B237" s="802"/>
      <c r="C237" s="802"/>
      <c r="D237" s="803"/>
      <c r="E237" s="835"/>
      <c r="F237" s="803"/>
      <c r="G237" s="803"/>
      <c r="H237" s="803"/>
      <c r="I237" s="803"/>
      <c r="J237" s="803"/>
      <c r="K237" s="803"/>
      <c r="L237" s="804"/>
    </row>
    <row r="238" spans="1:12" x14ac:dyDescent="0.25">
      <c r="A238" s="803"/>
      <c r="B238" s="802"/>
      <c r="C238" s="802"/>
      <c r="D238" s="803"/>
      <c r="E238" s="835"/>
      <c r="F238" s="803"/>
      <c r="G238" s="803"/>
      <c r="H238" s="803"/>
      <c r="I238" s="803"/>
      <c r="J238" s="803"/>
      <c r="K238" s="803"/>
      <c r="L238" s="804"/>
    </row>
    <row r="239" spans="1:12" x14ac:dyDescent="0.25">
      <c r="A239" s="803"/>
      <c r="B239" s="802"/>
      <c r="C239" s="802"/>
      <c r="D239" s="803"/>
      <c r="E239" s="835"/>
      <c r="F239" s="803"/>
      <c r="G239" s="803"/>
      <c r="H239" s="803"/>
      <c r="I239" s="803"/>
      <c r="J239" s="803"/>
      <c r="K239" s="803"/>
      <c r="L239" s="804"/>
    </row>
    <row r="240" spans="1:12" x14ac:dyDescent="0.25">
      <c r="A240" s="803"/>
      <c r="B240" s="802"/>
      <c r="C240" s="802"/>
      <c r="D240" s="803"/>
      <c r="E240" s="835"/>
      <c r="F240" s="803"/>
      <c r="G240" s="803"/>
      <c r="H240" s="803"/>
      <c r="I240" s="803"/>
      <c r="J240" s="803"/>
      <c r="K240" s="803"/>
      <c r="L240" s="804"/>
    </row>
    <row r="241" spans="1:12" x14ac:dyDescent="0.25">
      <c r="A241" s="803"/>
      <c r="B241" s="802"/>
      <c r="C241" s="802"/>
      <c r="D241" s="803"/>
      <c r="E241" s="835"/>
      <c r="F241" s="803"/>
      <c r="G241" s="803"/>
      <c r="H241" s="803"/>
      <c r="I241" s="803"/>
      <c r="J241" s="803"/>
      <c r="K241" s="803"/>
      <c r="L241" s="804"/>
    </row>
    <row r="242" spans="1:12" x14ac:dyDescent="0.25">
      <c r="A242" s="803"/>
      <c r="B242" s="802"/>
      <c r="C242" s="802"/>
      <c r="D242" s="803"/>
      <c r="E242" s="835"/>
      <c r="F242" s="803"/>
      <c r="G242" s="803"/>
      <c r="H242" s="803"/>
      <c r="I242" s="803"/>
      <c r="J242" s="803"/>
      <c r="K242" s="803"/>
      <c r="L242" s="804"/>
    </row>
    <row r="243" spans="1:12" x14ac:dyDescent="0.25">
      <c r="A243" s="803"/>
      <c r="B243" s="802"/>
      <c r="C243" s="802"/>
      <c r="D243" s="803"/>
      <c r="E243" s="835"/>
      <c r="F243" s="803"/>
      <c r="G243" s="803"/>
      <c r="H243" s="803"/>
      <c r="I243" s="803"/>
      <c r="J243" s="803"/>
      <c r="K243" s="803"/>
      <c r="L243" s="804"/>
    </row>
    <row r="244" spans="1:12" x14ac:dyDescent="0.25">
      <c r="A244" s="803"/>
      <c r="B244" s="802"/>
      <c r="C244" s="802"/>
      <c r="D244" s="803"/>
      <c r="E244" s="835"/>
      <c r="F244" s="803"/>
      <c r="G244" s="803"/>
      <c r="H244" s="803"/>
      <c r="I244" s="803"/>
      <c r="J244" s="803"/>
      <c r="K244" s="803"/>
      <c r="L244" s="804"/>
    </row>
    <row r="245" spans="1:12" x14ac:dyDescent="0.25">
      <c r="A245" s="803"/>
      <c r="B245" s="802"/>
      <c r="C245" s="802"/>
      <c r="D245" s="803"/>
      <c r="E245" s="835"/>
      <c r="F245" s="803"/>
      <c r="G245" s="803"/>
      <c r="H245" s="803"/>
      <c r="I245" s="803"/>
      <c r="J245" s="803"/>
      <c r="K245" s="803"/>
      <c r="L245" s="804"/>
    </row>
    <row r="246" spans="1:12" x14ac:dyDescent="0.25">
      <c r="A246" s="803"/>
      <c r="B246" s="802"/>
      <c r="C246" s="802"/>
      <c r="D246" s="803"/>
      <c r="E246" s="835"/>
      <c r="F246" s="803"/>
      <c r="G246" s="803"/>
      <c r="H246" s="803"/>
      <c r="I246" s="803"/>
      <c r="J246" s="803"/>
      <c r="K246" s="803"/>
      <c r="L246" s="804"/>
    </row>
    <row r="247" spans="1:12" x14ac:dyDescent="0.25">
      <c r="A247" s="803"/>
      <c r="B247" s="802"/>
      <c r="C247" s="802"/>
      <c r="D247" s="803"/>
      <c r="E247" s="835"/>
      <c r="F247" s="803"/>
      <c r="G247" s="803"/>
      <c r="H247" s="803"/>
      <c r="I247" s="803"/>
      <c r="J247" s="803"/>
      <c r="K247" s="803"/>
      <c r="L247" s="804"/>
    </row>
    <row r="248" spans="1:12" x14ac:dyDescent="0.25">
      <c r="A248" s="803"/>
      <c r="B248" s="802"/>
      <c r="C248" s="802"/>
      <c r="D248" s="803"/>
      <c r="E248" s="835"/>
      <c r="F248" s="803"/>
      <c r="G248" s="803"/>
      <c r="H248" s="803"/>
      <c r="I248" s="803"/>
      <c r="J248" s="803"/>
      <c r="K248" s="803"/>
      <c r="L248" s="804"/>
    </row>
    <row r="249" spans="1:12" x14ac:dyDescent="0.25">
      <c r="A249" s="803"/>
      <c r="B249" s="802"/>
      <c r="C249" s="802"/>
      <c r="D249" s="803"/>
      <c r="E249" s="835"/>
      <c r="F249" s="803"/>
      <c r="G249" s="803"/>
      <c r="H249" s="803"/>
      <c r="I249" s="803"/>
      <c r="J249" s="803"/>
      <c r="K249" s="803"/>
      <c r="L249" s="804"/>
    </row>
    <row r="250" spans="1:12" x14ac:dyDescent="0.25">
      <c r="A250" s="803"/>
      <c r="B250" s="802"/>
      <c r="C250" s="802"/>
      <c r="D250" s="803"/>
      <c r="E250" s="835"/>
      <c r="F250" s="803"/>
      <c r="G250" s="803"/>
      <c r="H250" s="803"/>
      <c r="I250" s="803"/>
      <c r="J250" s="803"/>
      <c r="K250" s="803"/>
      <c r="L250" s="804"/>
    </row>
    <row r="251" spans="1:12" x14ac:dyDescent="0.25">
      <c r="A251" s="803"/>
      <c r="B251" s="802"/>
      <c r="C251" s="802"/>
      <c r="D251" s="803"/>
      <c r="E251" s="835"/>
      <c r="F251" s="803"/>
      <c r="G251" s="803"/>
      <c r="H251" s="803"/>
      <c r="I251" s="803"/>
      <c r="J251" s="803"/>
      <c r="K251" s="803"/>
      <c r="L251" s="804"/>
    </row>
    <row r="252" spans="1:12" x14ac:dyDescent="0.25">
      <c r="A252" s="803"/>
      <c r="B252" s="802"/>
      <c r="C252" s="802"/>
      <c r="D252" s="803"/>
      <c r="E252" s="835"/>
      <c r="F252" s="803"/>
      <c r="G252" s="803"/>
      <c r="H252" s="803"/>
      <c r="I252" s="803"/>
      <c r="J252" s="803"/>
      <c r="K252" s="803"/>
      <c r="L252" s="804"/>
    </row>
    <row r="253" spans="1:12" x14ac:dyDescent="0.25">
      <c r="A253" s="803"/>
      <c r="B253" s="802"/>
      <c r="C253" s="802"/>
      <c r="D253" s="803"/>
      <c r="E253" s="835"/>
      <c r="F253" s="803"/>
      <c r="G253" s="803"/>
      <c r="H253" s="803"/>
      <c r="I253" s="803"/>
      <c r="J253" s="803"/>
      <c r="K253" s="803"/>
      <c r="L253" s="804"/>
    </row>
    <row r="254" spans="1:12" x14ac:dyDescent="0.25">
      <c r="A254" s="803"/>
      <c r="B254" s="802"/>
      <c r="C254" s="802"/>
      <c r="D254" s="803"/>
      <c r="E254" s="835"/>
      <c r="F254" s="803"/>
      <c r="G254" s="803"/>
      <c r="H254" s="803"/>
      <c r="I254" s="803"/>
      <c r="J254" s="803"/>
      <c r="K254" s="803"/>
      <c r="L254" s="804"/>
    </row>
    <row r="255" spans="1:12" x14ac:dyDescent="0.25">
      <c r="A255" s="803"/>
      <c r="B255" s="802"/>
      <c r="C255" s="802"/>
      <c r="D255" s="803"/>
      <c r="E255" s="835"/>
      <c r="F255" s="803"/>
      <c r="G255" s="803"/>
      <c r="H255" s="803"/>
      <c r="I255" s="803"/>
      <c r="J255" s="803"/>
      <c r="K255" s="803"/>
      <c r="L255" s="804"/>
    </row>
    <row r="256" spans="1:12" x14ac:dyDescent="0.25">
      <c r="A256" s="803"/>
      <c r="B256" s="802"/>
      <c r="C256" s="802"/>
      <c r="D256" s="803"/>
      <c r="E256" s="835"/>
      <c r="F256" s="803"/>
      <c r="G256" s="803"/>
      <c r="H256" s="803"/>
      <c r="I256" s="803"/>
      <c r="J256" s="803"/>
      <c r="K256" s="803"/>
      <c r="L256" s="804"/>
    </row>
    <row r="257" spans="1:12" x14ac:dyDescent="0.25">
      <c r="A257" s="803"/>
      <c r="B257" s="802"/>
      <c r="C257" s="802"/>
      <c r="D257" s="803"/>
      <c r="E257" s="835"/>
      <c r="F257" s="803"/>
      <c r="G257" s="803"/>
      <c r="H257" s="803"/>
      <c r="I257" s="803"/>
      <c r="J257" s="803"/>
      <c r="K257" s="803"/>
      <c r="L257" s="804"/>
    </row>
    <row r="258" spans="1:12" x14ac:dyDescent="0.25">
      <c r="A258" s="803"/>
      <c r="B258" s="802"/>
      <c r="C258" s="802"/>
      <c r="D258" s="803"/>
      <c r="E258" s="835"/>
      <c r="F258" s="803"/>
      <c r="G258" s="803"/>
      <c r="H258" s="803"/>
      <c r="I258" s="803"/>
      <c r="J258" s="803"/>
      <c r="K258" s="803"/>
      <c r="L258" s="804"/>
    </row>
    <row r="259" spans="1:12" x14ac:dyDescent="0.25">
      <c r="A259" s="803"/>
      <c r="B259" s="802"/>
      <c r="C259" s="802"/>
      <c r="D259" s="803"/>
      <c r="E259" s="835"/>
      <c r="F259" s="803"/>
      <c r="G259" s="803"/>
      <c r="H259" s="803"/>
      <c r="I259" s="803"/>
      <c r="J259" s="803"/>
      <c r="K259" s="803"/>
      <c r="L259" s="804"/>
    </row>
    <row r="260" spans="1:12" x14ac:dyDescent="0.25">
      <c r="A260" s="803"/>
      <c r="B260" s="802"/>
      <c r="C260" s="802"/>
      <c r="D260" s="803"/>
      <c r="E260" s="835"/>
      <c r="F260" s="803"/>
      <c r="G260" s="803"/>
      <c r="H260" s="803"/>
      <c r="I260" s="803"/>
      <c r="J260" s="803"/>
      <c r="K260" s="803"/>
      <c r="L260" s="804"/>
    </row>
    <row r="261" spans="1:12" x14ac:dyDescent="0.25">
      <c r="A261" s="803"/>
      <c r="B261" s="802"/>
      <c r="C261" s="802"/>
      <c r="D261" s="803"/>
      <c r="E261" s="835"/>
      <c r="F261" s="803"/>
      <c r="G261" s="803"/>
      <c r="H261" s="803"/>
      <c r="I261" s="803"/>
      <c r="J261" s="803"/>
      <c r="K261" s="803"/>
      <c r="L261" s="804"/>
    </row>
    <row r="262" spans="1:12" x14ac:dyDescent="0.25">
      <c r="A262" s="803"/>
      <c r="B262" s="802"/>
      <c r="C262" s="802"/>
      <c r="D262" s="803"/>
      <c r="E262" s="835"/>
      <c r="F262" s="803"/>
      <c r="G262" s="803"/>
      <c r="H262" s="803"/>
      <c r="I262" s="803"/>
      <c r="J262" s="803"/>
      <c r="K262" s="803"/>
      <c r="L262" s="804"/>
    </row>
    <row r="263" spans="1:12" x14ac:dyDescent="0.25">
      <c r="A263" s="803"/>
      <c r="B263" s="802"/>
      <c r="C263" s="802"/>
      <c r="D263" s="803"/>
      <c r="E263" s="835"/>
      <c r="F263" s="803"/>
      <c r="G263" s="803"/>
      <c r="H263" s="803"/>
      <c r="I263" s="803"/>
      <c r="J263" s="803"/>
      <c r="K263" s="803"/>
      <c r="L263" s="804"/>
    </row>
    <row r="264" spans="1:12" x14ac:dyDescent="0.25">
      <c r="A264" s="803"/>
      <c r="B264" s="802"/>
      <c r="C264" s="802"/>
      <c r="D264" s="803"/>
      <c r="E264" s="835"/>
      <c r="F264" s="803"/>
      <c r="G264" s="803"/>
      <c r="H264" s="803"/>
      <c r="I264" s="803"/>
      <c r="J264" s="803"/>
      <c r="K264" s="803"/>
      <c r="L264" s="804"/>
    </row>
    <row r="265" spans="1:12" x14ac:dyDescent="0.25">
      <c r="A265" s="803"/>
      <c r="B265" s="802"/>
      <c r="C265" s="802"/>
      <c r="D265" s="803"/>
      <c r="E265" s="835"/>
      <c r="F265" s="803"/>
      <c r="G265" s="803"/>
      <c r="H265" s="803"/>
      <c r="I265" s="803"/>
      <c r="J265" s="803"/>
      <c r="K265" s="803"/>
      <c r="L265" s="804"/>
    </row>
    <row r="266" spans="1:12" x14ac:dyDescent="0.25">
      <c r="A266" s="803"/>
      <c r="B266" s="802"/>
      <c r="C266" s="802"/>
      <c r="D266" s="803"/>
      <c r="E266" s="835"/>
      <c r="F266" s="803"/>
      <c r="G266" s="803"/>
      <c r="H266" s="803"/>
      <c r="I266" s="803"/>
      <c r="J266" s="803"/>
      <c r="K266" s="803"/>
      <c r="L266" s="804"/>
    </row>
    <row r="267" spans="1:12" x14ac:dyDescent="0.25">
      <c r="A267" s="803"/>
      <c r="B267" s="802"/>
      <c r="C267" s="802"/>
      <c r="D267" s="803"/>
      <c r="E267" s="835"/>
      <c r="F267" s="803"/>
      <c r="G267" s="803"/>
      <c r="H267" s="803"/>
      <c r="I267" s="803"/>
      <c r="J267" s="803"/>
      <c r="K267" s="803"/>
      <c r="L267" s="804"/>
    </row>
    <row r="268" spans="1:12" x14ac:dyDescent="0.25">
      <c r="A268" s="803"/>
      <c r="B268" s="802"/>
      <c r="C268" s="802"/>
      <c r="D268" s="803"/>
      <c r="E268" s="835"/>
      <c r="F268" s="803"/>
      <c r="G268" s="803"/>
      <c r="H268" s="803"/>
      <c r="I268" s="803"/>
      <c r="J268" s="803"/>
      <c r="K268" s="803"/>
      <c r="L268" s="804"/>
    </row>
    <row r="269" spans="1:12" x14ac:dyDescent="0.25">
      <c r="A269" s="803"/>
      <c r="B269" s="802"/>
      <c r="C269" s="802"/>
      <c r="D269" s="803"/>
      <c r="E269" s="835"/>
      <c r="F269" s="803"/>
      <c r="G269" s="803"/>
      <c r="H269" s="803"/>
      <c r="I269" s="803"/>
      <c r="J269" s="803"/>
      <c r="K269" s="803"/>
      <c r="L269" s="804"/>
    </row>
    <row r="270" spans="1:12" x14ac:dyDescent="0.25">
      <c r="A270" s="803"/>
      <c r="B270" s="802"/>
      <c r="C270" s="802"/>
      <c r="D270" s="803"/>
      <c r="E270" s="835"/>
      <c r="F270" s="803"/>
      <c r="G270" s="803"/>
      <c r="H270" s="803"/>
      <c r="I270" s="803"/>
      <c r="J270" s="803"/>
      <c r="K270" s="803"/>
      <c r="L270" s="804"/>
    </row>
    <row r="271" spans="1:12" x14ac:dyDescent="0.25">
      <c r="A271" s="803"/>
      <c r="B271" s="802"/>
      <c r="C271" s="802"/>
      <c r="D271" s="803"/>
      <c r="E271" s="835"/>
      <c r="F271" s="803"/>
      <c r="G271" s="803"/>
      <c r="H271" s="803"/>
      <c r="I271" s="803"/>
      <c r="J271" s="803"/>
      <c r="K271" s="803"/>
      <c r="L271" s="804"/>
    </row>
    <row r="272" spans="1:12" x14ac:dyDescent="0.25">
      <c r="A272" s="803"/>
      <c r="B272" s="802"/>
      <c r="C272" s="802"/>
      <c r="D272" s="803"/>
      <c r="E272" s="835"/>
      <c r="F272" s="803"/>
      <c r="G272" s="803"/>
      <c r="H272" s="803"/>
      <c r="I272" s="803"/>
      <c r="J272" s="803"/>
      <c r="K272" s="803"/>
      <c r="L272" s="804"/>
    </row>
    <row r="273" spans="1:12" x14ac:dyDescent="0.25">
      <c r="A273" s="803"/>
      <c r="B273" s="802"/>
      <c r="C273" s="802"/>
      <c r="D273" s="803"/>
      <c r="E273" s="835"/>
      <c r="F273" s="803"/>
      <c r="G273" s="803"/>
      <c r="H273" s="803"/>
      <c r="I273" s="803"/>
      <c r="J273" s="803"/>
      <c r="K273" s="803"/>
      <c r="L273" s="804"/>
    </row>
    <row r="274" spans="1:12" x14ac:dyDescent="0.25">
      <c r="A274" s="803"/>
      <c r="B274" s="802"/>
      <c r="C274" s="802"/>
      <c r="D274" s="803"/>
      <c r="E274" s="835"/>
      <c r="F274" s="803"/>
      <c r="G274" s="803"/>
      <c r="H274" s="803"/>
      <c r="I274" s="803"/>
      <c r="J274" s="803"/>
      <c r="K274" s="803"/>
      <c r="L274" s="804"/>
    </row>
    <row r="275" spans="1:12" x14ac:dyDescent="0.25">
      <c r="A275" s="803"/>
      <c r="B275" s="802"/>
      <c r="C275" s="802"/>
      <c r="D275" s="803"/>
      <c r="E275" s="835"/>
      <c r="F275" s="803"/>
      <c r="G275" s="803"/>
      <c r="H275" s="803"/>
      <c r="I275" s="803"/>
      <c r="J275" s="803"/>
      <c r="K275" s="803"/>
      <c r="L275" s="804"/>
    </row>
    <row r="276" spans="1:12" x14ac:dyDescent="0.25">
      <c r="A276" s="803"/>
      <c r="B276" s="802"/>
      <c r="C276" s="802"/>
      <c r="D276" s="803"/>
      <c r="E276" s="835"/>
      <c r="F276" s="803"/>
      <c r="G276" s="803"/>
      <c r="H276" s="803"/>
      <c r="I276" s="803"/>
      <c r="J276" s="803"/>
      <c r="K276" s="803"/>
      <c r="L276" s="804"/>
    </row>
    <row r="277" spans="1:12" x14ac:dyDescent="0.25">
      <c r="A277" s="803"/>
      <c r="B277" s="802"/>
      <c r="C277" s="802"/>
      <c r="D277" s="803"/>
      <c r="E277" s="835"/>
      <c r="F277" s="803"/>
      <c r="G277" s="803"/>
      <c r="H277" s="803"/>
      <c r="I277" s="803"/>
      <c r="J277" s="803"/>
      <c r="K277" s="803"/>
      <c r="L277" s="804"/>
    </row>
    <row r="278" spans="1:12" x14ac:dyDescent="0.25">
      <c r="A278" s="803"/>
      <c r="B278" s="802"/>
      <c r="C278" s="802"/>
      <c r="D278" s="803"/>
      <c r="E278" s="835"/>
      <c r="F278" s="803"/>
      <c r="G278" s="803"/>
      <c r="H278" s="803"/>
      <c r="I278" s="803"/>
      <c r="J278" s="803"/>
      <c r="K278" s="803"/>
      <c r="L278" s="804"/>
    </row>
    <row r="279" spans="1:12" x14ac:dyDescent="0.25">
      <c r="A279" s="803"/>
      <c r="B279" s="802"/>
      <c r="C279" s="802"/>
      <c r="D279" s="803"/>
      <c r="E279" s="835"/>
      <c r="F279" s="803"/>
      <c r="G279" s="803"/>
      <c r="H279" s="803"/>
      <c r="I279" s="803"/>
      <c r="J279" s="803"/>
      <c r="K279" s="803"/>
      <c r="L279" s="804"/>
    </row>
    <row r="280" spans="1:12" x14ac:dyDescent="0.25">
      <c r="A280" s="803"/>
      <c r="B280" s="802"/>
      <c r="C280" s="802"/>
      <c r="D280" s="803"/>
      <c r="E280" s="835"/>
      <c r="F280" s="803"/>
      <c r="G280" s="803"/>
      <c r="H280" s="803"/>
      <c r="I280" s="803"/>
      <c r="J280" s="803"/>
      <c r="K280" s="803"/>
      <c r="L280" s="804"/>
    </row>
    <row r="281" spans="1:12" x14ac:dyDescent="0.25">
      <c r="A281" s="803"/>
      <c r="B281" s="802"/>
      <c r="C281" s="802"/>
      <c r="D281" s="803"/>
      <c r="E281" s="835"/>
      <c r="F281" s="803"/>
      <c r="G281" s="803"/>
      <c r="H281" s="803"/>
      <c r="I281" s="803"/>
      <c r="J281" s="803"/>
      <c r="K281" s="803"/>
      <c r="L281" s="804"/>
    </row>
    <row r="282" spans="1:12" x14ac:dyDescent="0.25">
      <c r="A282" s="803"/>
      <c r="B282" s="802"/>
      <c r="C282" s="802"/>
      <c r="D282" s="803"/>
      <c r="E282" s="835"/>
      <c r="F282" s="803"/>
      <c r="G282" s="803"/>
      <c r="H282" s="803"/>
      <c r="I282" s="803"/>
      <c r="J282" s="803"/>
      <c r="K282" s="803"/>
      <c r="L282" s="804"/>
    </row>
    <row r="283" spans="1:12" x14ac:dyDescent="0.25">
      <c r="A283" s="803"/>
      <c r="B283" s="802"/>
      <c r="C283" s="802"/>
      <c r="D283" s="803"/>
      <c r="E283" s="835"/>
      <c r="F283" s="803"/>
      <c r="G283" s="803"/>
      <c r="H283" s="803"/>
      <c r="I283" s="803"/>
      <c r="J283" s="803"/>
      <c r="K283" s="803"/>
      <c r="L283" s="804"/>
    </row>
    <row r="284" spans="1:12" x14ac:dyDescent="0.25">
      <c r="A284" s="803"/>
      <c r="B284" s="802"/>
      <c r="C284" s="802"/>
      <c r="D284" s="803"/>
      <c r="E284" s="835"/>
      <c r="F284" s="803"/>
      <c r="G284" s="803"/>
      <c r="H284" s="803"/>
      <c r="I284" s="803"/>
      <c r="J284" s="803"/>
      <c r="K284" s="803"/>
      <c r="L284" s="804"/>
    </row>
    <row r="285" spans="1:12" x14ac:dyDescent="0.25">
      <c r="A285" s="803"/>
      <c r="B285" s="802"/>
      <c r="C285" s="802"/>
      <c r="D285" s="803"/>
      <c r="E285" s="835"/>
      <c r="F285" s="803"/>
      <c r="G285" s="803"/>
      <c r="H285" s="803"/>
      <c r="I285" s="803"/>
      <c r="J285" s="803"/>
      <c r="K285" s="803"/>
      <c r="L285" s="804"/>
    </row>
    <row r="286" spans="1:12" x14ac:dyDescent="0.25">
      <c r="A286" s="803"/>
      <c r="B286" s="802"/>
      <c r="C286" s="802"/>
      <c r="D286" s="803"/>
      <c r="E286" s="835"/>
      <c r="F286" s="803"/>
      <c r="G286" s="803"/>
      <c r="H286" s="803"/>
      <c r="I286" s="803"/>
      <c r="J286" s="803"/>
      <c r="K286" s="803"/>
      <c r="L286" s="804"/>
    </row>
    <row r="287" spans="1:12" x14ac:dyDescent="0.25">
      <c r="A287" s="803"/>
      <c r="B287" s="802"/>
      <c r="C287" s="802"/>
      <c r="D287" s="803"/>
      <c r="E287" s="835"/>
      <c r="F287" s="803"/>
      <c r="G287" s="803"/>
      <c r="H287" s="803"/>
      <c r="I287" s="803"/>
      <c r="J287" s="803"/>
      <c r="K287" s="803"/>
      <c r="L287" s="804"/>
    </row>
    <row r="288" spans="1:12" x14ac:dyDescent="0.25">
      <c r="A288" s="803"/>
      <c r="B288" s="802"/>
      <c r="C288" s="802"/>
      <c r="D288" s="803"/>
      <c r="E288" s="835"/>
      <c r="F288" s="803"/>
      <c r="G288" s="803"/>
      <c r="H288" s="803"/>
      <c r="I288" s="803"/>
      <c r="J288" s="803"/>
      <c r="K288" s="803"/>
      <c r="L288" s="804"/>
    </row>
    <row r="289" spans="1:12" x14ac:dyDescent="0.25">
      <c r="A289" s="803"/>
      <c r="B289" s="802"/>
      <c r="C289" s="802"/>
      <c r="D289" s="803"/>
      <c r="E289" s="835"/>
      <c r="F289" s="803"/>
      <c r="G289" s="803"/>
      <c r="H289" s="803"/>
      <c r="I289" s="803"/>
      <c r="J289" s="803"/>
      <c r="K289" s="803"/>
      <c r="L289" s="804"/>
    </row>
    <row r="290" spans="1:12" x14ac:dyDescent="0.25">
      <c r="A290" s="803"/>
      <c r="B290" s="802"/>
      <c r="C290" s="802"/>
      <c r="D290" s="803"/>
      <c r="E290" s="835"/>
      <c r="F290" s="803"/>
      <c r="G290" s="803"/>
      <c r="H290" s="803"/>
      <c r="I290" s="803"/>
      <c r="J290" s="803"/>
      <c r="K290" s="803"/>
      <c r="L290" s="804"/>
    </row>
    <row r="291" spans="1:12" x14ac:dyDescent="0.25">
      <c r="A291" s="803"/>
      <c r="B291" s="802"/>
      <c r="C291" s="802"/>
      <c r="D291" s="803"/>
      <c r="E291" s="835"/>
      <c r="F291" s="803"/>
      <c r="G291" s="803"/>
      <c r="H291" s="803"/>
      <c r="I291" s="803"/>
      <c r="J291" s="803"/>
      <c r="K291" s="803"/>
      <c r="L291" s="804"/>
    </row>
    <row r="292" spans="1:12" x14ac:dyDescent="0.25">
      <c r="A292" s="803"/>
      <c r="B292" s="802"/>
      <c r="C292" s="802"/>
      <c r="D292" s="803"/>
      <c r="E292" s="835"/>
      <c r="F292" s="803"/>
      <c r="G292" s="803"/>
      <c r="H292" s="803"/>
      <c r="I292" s="803"/>
      <c r="J292" s="803"/>
      <c r="K292" s="803"/>
      <c r="L292" s="804"/>
    </row>
    <row r="293" spans="1:12" x14ac:dyDescent="0.25">
      <c r="A293" s="803"/>
      <c r="B293" s="802"/>
      <c r="C293" s="802"/>
      <c r="D293" s="803"/>
      <c r="E293" s="835"/>
      <c r="F293" s="803"/>
      <c r="G293" s="803"/>
      <c r="H293" s="803"/>
      <c r="I293" s="803"/>
      <c r="J293" s="803"/>
      <c r="K293" s="803"/>
      <c r="L293" s="804"/>
    </row>
    <row r="294" spans="1:12" x14ac:dyDescent="0.25">
      <c r="A294" s="803"/>
      <c r="B294" s="802"/>
      <c r="C294" s="802"/>
      <c r="D294" s="803"/>
      <c r="E294" s="835"/>
      <c r="F294" s="803"/>
      <c r="G294" s="803"/>
      <c r="H294" s="803"/>
      <c r="I294" s="803"/>
      <c r="J294" s="803"/>
      <c r="K294" s="803"/>
      <c r="L294" s="804"/>
    </row>
    <row r="295" spans="1:12" x14ac:dyDescent="0.25">
      <c r="A295" s="803"/>
      <c r="B295" s="802"/>
      <c r="C295" s="802"/>
      <c r="D295" s="803"/>
      <c r="E295" s="835"/>
      <c r="F295" s="803"/>
      <c r="G295" s="803"/>
      <c r="H295" s="803"/>
      <c r="I295" s="803"/>
      <c r="J295" s="803"/>
      <c r="K295" s="803"/>
      <c r="L295" s="804"/>
    </row>
    <row r="296" spans="1:12" x14ac:dyDescent="0.25">
      <c r="A296" s="803"/>
      <c r="B296" s="802"/>
      <c r="C296" s="802"/>
      <c r="D296" s="803"/>
      <c r="E296" s="835"/>
      <c r="F296" s="803"/>
      <c r="G296" s="803"/>
      <c r="H296" s="803"/>
      <c r="I296" s="803"/>
      <c r="J296" s="803"/>
      <c r="K296" s="803"/>
      <c r="L296" s="804"/>
    </row>
    <row r="297" spans="1:12" x14ac:dyDescent="0.25">
      <c r="A297" s="803"/>
      <c r="B297" s="802"/>
      <c r="C297" s="802"/>
      <c r="D297" s="803"/>
      <c r="E297" s="835"/>
      <c r="F297" s="803"/>
      <c r="G297" s="803"/>
      <c r="H297" s="803"/>
      <c r="I297" s="803"/>
      <c r="J297" s="803"/>
      <c r="K297" s="803"/>
      <c r="L297" s="804"/>
    </row>
    <row r="298" spans="1:12" x14ac:dyDescent="0.25">
      <c r="A298" s="803"/>
      <c r="B298" s="802"/>
      <c r="C298" s="802"/>
      <c r="D298" s="803"/>
      <c r="E298" s="835"/>
      <c r="F298" s="803"/>
      <c r="G298" s="803"/>
      <c r="H298" s="803"/>
      <c r="I298" s="803"/>
      <c r="J298" s="803"/>
      <c r="K298" s="803"/>
      <c r="L298" s="804"/>
    </row>
    <row r="299" spans="1:12" x14ac:dyDescent="0.25">
      <c r="A299" s="803"/>
      <c r="B299" s="802"/>
      <c r="C299" s="802"/>
      <c r="D299" s="803"/>
      <c r="E299" s="835"/>
      <c r="F299" s="803"/>
      <c r="G299" s="803"/>
      <c r="H299" s="803"/>
      <c r="I299" s="803"/>
      <c r="J299" s="803"/>
      <c r="K299" s="803"/>
      <c r="L299" s="804"/>
    </row>
    <row r="300" spans="1:12" x14ac:dyDescent="0.25">
      <c r="A300" s="803"/>
      <c r="B300" s="802"/>
      <c r="C300" s="802"/>
      <c r="D300" s="803"/>
      <c r="E300" s="835"/>
      <c r="F300" s="803"/>
      <c r="G300" s="803"/>
      <c r="H300" s="803"/>
      <c r="I300" s="803"/>
      <c r="J300" s="803"/>
      <c r="K300" s="803"/>
      <c r="L300" s="804"/>
    </row>
    <row r="301" spans="1:12" x14ac:dyDescent="0.25">
      <c r="A301" s="803"/>
      <c r="B301" s="802"/>
      <c r="C301" s="802"/>
      <c r="D301" s="803"/>
      <c r="E301" s="835"/>
      <c r="F301" s="803"/>
      <c r="G301" s="803"/>
      <c r="H301" s="803"/>
      <c r="I301" s="803"/>
      <c r="J301" s="803"/>
      <c r="K301" s="803"/>
      <c r="L301" s="804"/>
    </row>
    <row r="302" spans="1:12" x14ac:dyDescent="0.25">
      <c r="A302" s="803"/>
      <c r="B302" s="802"/>
      <c r="C302" s="802"/>
      <c r="D302" s="803"/>
      <c r="E302" s="835"/>
      <c r="F302" s="803"/>
      <c r="G302" s="803"/>
      <c r="H302" s="803"/>
      <c r="I302" s="803"/>
      <c r="J302" s="803"/>
      <c r="K302" s="803"/>
      <c r="L302" s="804"/>
    </row>
    <row r="303" spans="1:12" x14ac:dyDescent="0.25">
      <c r="A303" s="803"/>
      <c r="B303" s="802"/>
      <c r="C303" s="802"/>
      <c r="D303" s="803"/>
      <c r="E303" s="803"/>
      <c r="F303" s="803"/>
      <c r="G303" s="803"/>
      <c r="H303" s="803"/>
      <c r="I303" s="803"/>
      <c r="J303" s="803"/>
      <c r="K303" s="803"/>
      <c r="L303" s="804"/>
    </row>
    <row r="304" spans="1:12" x14ac:dyDescent="0.25">
      <c r="A304" s="803"/>
      <c r="B304" s="802"/>
      <c r="C304" s="802"/>
      <c r="D304" s="803"/>
      <c r="E304" s="803"/>
      <c r="F304" s="803"/>
      <c r="G304" s="803"/>
      <c r="H304" s="803"/>
      <c r="I304" s="803"/>
      <c r="J304" s="803"/>
      <c r="K304" s="803"/>
      <c r="L304" s="804"/>
    </row>
    <row r="305" spans="1:12" x14ac:dyDescent="0.25">
      <c r="A305" s="803"/>
      <c r="B305" s="802"/>
      <c r="C305" s="802"/>
      <c r="D305" s="803"/>
      <c r="E305" s="803"/>
      <c r="F305" s="803"/>
      <c r="G305" s="803"/>
      <c r="H305" s="803"/>
      <c r="I305" s="803"/>
      <c r="J305" s="803"/>
      <c r="K305" s="803"/>
      <c r="L305" s="804"/>
    </row>
    <row r="306" spans="1:12" x14ac:dyDescent="0.25">
      <c r="A306" s="803"/>
      <c r="B306" s="802"/>
      <c r="C306" s="802"/>
      <c r="D306" s="803"/>
      <c r="E306" s="803"/>
      <c r="F306" s="803"/>
      <c r="G306" s="803"/>
      <c r="H306" s="803"/>
      <c r="I306" s="803"/>
      <c r="J306" s="803"/>
      <c r="K306" s="803"/>
      <c r="L306" s="804"/>
    </row>
    <row r="307" spans="1:12" x14ac:dyDescent="0.25">
      <c r="A307" s="803"/>
      <c r="B307" s="802"/>
      <c r="C307" s="802"/>
      <c r="D307" s="803"/>
      <c r="E307" s="803"/>
      <c r="F307" s="803"/>
      <c r="G307" s="803"/>
      <c r="H307" s="803"/>
      <c r="I307" s="803"/>
      <c r="J307" s="803"/>
      <c r="K307" s="803"/>
      <c r="L307" s="804"/>
    </row>
    <row r="308" spans="1:12" x14ac:dyDescent="0.25">
      <c r="A308" s="803"/>
      <c r="B308" s="802"/>
      <c r="C308" s="802"/>
      <c r="D308" s="803"/>
      <c r="E308" s="803"/>
      <c r="F308" s="803"/>
      <c r="G308" s="803"/>
      <c r="H308" s="803"/>
      <c r="I308" s="803"/>
      <c r="J308" s="803"/>
      <c r="K308" s="803"/>
      <c r="L308" s="804"/>
    </row>
    <row r="309" spans="1:12" x14ac:dyDescent="0.25">
      <c r="A309" s="803"/>
      <c r="B309" s="802"/>
      <c r="C309" s="802"/>
      <c r="D309" s="803"/>
      <c r="E309" s="803"/>
      <c r="F309" s="803"/>
      <c r="G309" s="803"/>
      <c r="H309" s="803"/>
      <c r="I309" s="803"/>
      <c r="J309" s="803"/>
      <c r="K309" s="803"/>
      <c r="L309" s="804"/>
    </row>
    <row r="310" spans="1:12" x14ac:dyDescent="0.25">
      <c r="A310" s="803"/>
      <c r="B310" s="802"/>
      <c r="C310" s="802"/>
      <c r="D310" s="803"/>
      <c r="E310" s="803"/>
      <c r="F310" s="803"/>
      <c r="G310" s="803"/>
      <c r="H310" s="803"/>
      <c r="I310" s="803"/>
      <c r="J310" s="803"/>
      <c r="K310" s="803"/>
      <c r="L310" s="804"/>
    </row>
    <row r="311" spans="1:12" x14ac:dyDescent="0.25">
      <c r="A311" s="803"/>
      <c r="B311" s="802"/>
      <c r="C311" s="802"/>
      <c r="D311" s="803"/>
      <c r="E311" s="803"/>
      <c r="F311" s="803"/>
      <c r="G311" s="803"/>
      <c r="H311" s="803"/>
      <c r="I311" s="803"/>
      <c r="J311" s="803"/>
      <c r="K311" s="803"/>
      <c r="L311" s="804"/>
    </row>
    <row r="312" spans="1:12" x14ac:dyDescent="0.25">
      <c r="A312" s="803"/>
      <c r="B312" s="802"/>
      <c r="C312" s="802"/>
      <c r="D312" s="803"/>
      <c r="E312" s="803"/>
      <c r="F312" s="803"/>
      <c r="G312" s="803"/>
      <c r="H312" s="803"/>
      <c r="I312" s="803"/>
      <c r="J312" s="803"/>
      <c r="K312" s="803"/>
      <c r="L312" s="804"/>
    </row>
    <row r="313" spans="1:12" x14ac:dyDescent="0.25">
      <c r="B313" s="802"/>
      <c r="C313" s="802"/>
      <c r="D313" s="803"/>
      <c r="E313" s="803"/>
      <c r="F313" s="803"/>
      <c r="G313" s="803"/>
      <c r="H313" s="803"/>
      <c r="I313" s="803"/>
      <c r="J313" s="803"/>
      <c r="K313" s="803"/>
      <c r="L313" s="804"/>
    </row>
    <row r="314" spans="1:12" x14ac:dyDescent="0.25">
      <c r="B314" s="802"/>
      <c r="C314" s="802"/>
      <c r="D314" s="803"/>
      <c r="E314" s="803"/>
      <c r="F314" s="803"/>
      <c r="G314" s="803"/>
      <c r="H314" s="803"/>
      <c r="I314" s="803"/>
      <c r="J314" s="803"/>
      <c r="K314" s="803"/>
      <c r="L314" s="804"/>
    </row>
    <row r="315" spans="1:12" x14ac:dyDescent="0.25">
      <c r="B315" s="802"/>
      <c r="C315" s="802"/>
      <c r="D315" s="803"/>
      <c r="E315" s="803"/>
      <c r="F315" s="803"/>
      <c r="G315" s="803"/>
      <c r="H315" s="803"/>
      <c r="I315" s="803"/>
      <c r="J315" s="803"/>
      <c r="K315" s="803"/>
      <c r="L315" s="804"/>
    </row>
    <row r="316" spans="1:12" x14ac:dyDescent="0.25">
      <c r="B316" s="802"/>
      <c r="C316" s="802"/>
      <c r="D316" s="803"/>
      <c r="E316" s="803"/>
      <c r="F316" s="803"/>
      <c r="G316" s="803"/>
      <c r="H316" s="803"/>
      <c r="I316" s="803"/>
      <c r="J316" s="803"/>
      <c r="K316" s="803"/>
      <c r="L316" s="804"/>
    </row>
    <row r="317" spans="1:12" x14ac:dyDescent="0.25">
      <c r="B317" s="802"/>
      <c r="C317" s="802"/>
      <c r="D317" s="803"/>
      <c r="E317" s="803"/>
      <c r="F317" s="803"/>
      <c r="G317" s="803"/>
      <c r="H317" s="803"/>
      <c r="I317" s="803"/>
      <c r="J317" s="803"/>
      <c r="K317" s="803"/>
      <c r="L317" s="804"/>
    </row>
    <row r="318" spans="1:12" x14ac:dyDescent="0.25">
      <c r="B318" s="802"/>
      <c r="C318" s="802"/>
      <c r="D318" s="803"/>
      <c r="E318" s="803"/>
      <c r="F318" s="803"/>
      <c r="G318" s="803"/>
      <c r="H318" s="803"/>
      <c r="I318" s="803"/>
      <c r="J318" s="803"/>
      <c r="K318" s="803"/>
      <c r="L318" s="804"/>
    </row>
    <row r="319" spans="1:12" x14ac:dyDescent="0.25">
      <c r="B319" s="802"/>
      <c r="C319" s="802"/>
      <c r="D319" s="803"/>
      <c r="E319" s="803"/>
      <c r="F319" s="803"/>
      <c r="G319" s="803"/>
      <c r="H319" s="803"/>
      <c r="I319" s="803"/>
      <c r="J319" s="803"/>
      <c r="K319" s="803"/>
      <c r="L319" s="804"/>
    </row>
    <row r="320" spans="1:12" x14ac:dyDescent="0.25">
      <c r="B320" s="802"/>
      <c r="C320" s="802"/>
      <c r="D320" s="803"/>
      <c r="E320" s="803"/>
      <c r="F320" s="803"/>
      <c r="G320" s="803"/>
      <c r="H320" s="803"/>
      <c r="I320" s="803"/>
      <c r="J320" s="803"/>
      <c r="K320" s="803"/>
      <c r="L320" s="804"/>
    </row>
    <row r="321" spans="2:12" x14ac:dyDescent="0.25">
      <c r="B321" s="802"/>
      <c r="C321" s="802"/>
      <c r="D321" s="803"/>
      <c r="E321" s="803"/>
      <c r="F321" s="803"/>
      <c r="G321" s="803"/>
      <c r="H321" s="803"/>
      <c r="I321" s="803"/>
      <c r="J321" s="803"/>
      <c r="K321" s="803"/>
      <c r="L321" s="804"/>
    </row>
    <row r="322" spans="2:12" x14ac:dyDescent="0.25">
      <c r="B322" s="802"/>
      <c r="C322" s="802"/>
      <c r="D322" s="803"/>
      <c r="E322" s="803"/>
      <c r="F322" s="803"/>
      <c r="G322" s="803"/>
      <c r="H322" s="803"/>
      <c r="I322" s="803"/>
      <c r="J322" s="803"/>
      <c r="K322" s="803"/>
      <c r="L322" s="804"/>
    </row>
    <row r="323" spans="2:12" x14ac:dyDescent="0.25">
      <c r="B323" s="802"/>
      <c r="C323" s="802"/>
      <c r="D323" s="803"/>
      <c r="E323" s="803"/>
      <c r="F323" s="803"/>
      <c r="G323" s="803"/>
      <c r="H323" s="803"/>
      <c r="I323" s="803"/>
      <c r="J323" s="803"/>
      <c r="K323" s="803"/>
      <c r="L323" s="804"/>
    </row>
    <row r="324" spans="2:12" x14ac:dyDescent="0.25">
      <c r="B324" s="802"/>
      <c r="C324" s="802"/>
      <c r="D324" s="803"/>
      <c r="E324" s="803"/>
      <c r="F324" s="803"/>
      <c r="G324" s="803"/>
      <c r="H324" s="803"/>
      <c r="I324" s="803"/>
      <c r="J324" s="803"/>
      <c r="K324" s="803"/>
      <c r="L324" s="804"/>
    </row>
    <row r="325" spans="2:12" x14ac:dyDescent="0.25">
      <c r="B325" s="802"/>
      <c r="C325" s="802"/>
      <c r="D325" s="803"/>
      <c r="E325" s="803"/>
      <c r="F325" s="803"/>
      <c r="G325" s="803"/>
      <c r="H325" s="803"/>
      <c r="I325" s="803"/>
      <c r="J325" s="803"/>
      <c r="K325" s="803"/>
      <c r="L325" s="804"/>
    </row>
    <row r="326" spans="2:12" x14ac:dyDescent="0.25">
      <c r="B326" s="802"/>
      <c r="C326" s="802"/>
      <c r="D326" s="803"/>
      <c r="E326" s="803"/>
      <c r="F326" s="803"/>
      <c r="G326" s="803"/>
      <c r="H326" s="803"/>
      <c r="I326" s="803"/>
      <c r="J326" s="803"/>
      <c r="K326" s="803"/>
      <c r="L326" s="804"/>
    </row>
    <row r="327" spans="2:12" x14ac:dyDescent="0.25">
      <c r="B327" s="802"/>
      <c r="C327" s="802"/>
      <c r="D327" s="803"/>
      <c r="E327" s="803"/>
      <c r="F327" s="803"/>
      <c r="G327" s="803"/>
      <c r="H327" s="803"/>
      <c r="I327" s="803"/>
      <c r="J327" s="803"/>
      <c r="K327" s="803"/>
      <c r="L327" s="804"/>
    </row>
    <row r="328" spans="2:12" x14ac:dyDescent="0.25">
      <c r="B328" s="802"/>
      <c r="C328" s="802"/>
      <c r="D328" s="803"/>
      <c r="E328" s="803"/>
      <c r="F328" s="803"/>
      <c r="G328" s="803"/>
      <c r="H328" s="803"/>
      <c r="I328" s="803"/>
      <c r="J328" s="803"/>
      <c r="K328" s="803"/>
      <c r="L328" s="804"/>
    </row>
    <row r="329" spans="2:12" x14ac:dyDescent="0.25">
      <c r="B329" s="802"/>
      <c r="C329" s="802"/>
      <c r="D329" s="803"/>
      <c r="E329" s="803"/>
      <c r="F329" s="803"/>
      <c r="G329" s="803"/>
      <c r="H329" s="803"/>
      <c r="I329" s="803"/>
      <c r="J329" s="803"/>
      <c r="K329" s="803"/>
      <c r="L329" s="804"/>
    </row>
    <row r="330" spans="2:12" x14ac:dyDescent="0.25">
      <c r="B330" s="802"/>
      <c r="C330" s="802"/>
      <c r="D330" s="803"/>
      <c r="E330" s="803"/>
      <c r="F330" s="803"/>
      <c r="G330" s="803"/>
      <c r="H330" s="803"/>
      <c r="I330" s="803"/>
      <c r="J330" s="803"/>
      <c r="K330" s="803"/>
      <c r="L330" s="804"/>
    </row>
    <row r="331" spans="2:12" x14ac:dyDescent="0.25">
      <c r="B331" s="802"/>
      <c r="C331" s="802"/>
      <c r="D331" s="803"/>
      <c r="E331" s="803"/>
      <c r="F331" s="803"/>
      <c r="G331" s="803"/>
      <c r="H331" s="803"/>
      <c r="I331" s="803"/>
      <c r="J331" s="803"/>
      <c r="K331" s="803"/>
      <c r="L331" s="804"/>
    </row>
    <row r="332" spans="2:12" x14ac:dyDescent="0.25">
      <c r="B332" s="802"/>
      <c r="C332" s="802"/>
      <c r="D332" s="803"/>
      <c r="E332" s="803"/>
      <c r="F332" s="803"/>
      <c r="G332" s="803"/>
      <c r="H332" s="803"/>
      <c r="I332" s="803"/>
      <c r="J332" s="803"/>
      <c r="K332" s="803"/>
      <c r="L332" s="804"/>
    </row>
    <row r="333" spans="2:12" x14ac:dyDescent="0.25">
      <c r="B333" s="802"/>
      <c r="C333" s="802"/>
      <c r="D333" s="803"/>
      <c r="E333" s="803"/>
      <c r="F333" s="803"/>
      <c r="G333" s="803"/>
      <c r="H333" s="803"/>
      <c r="I333" s="803"/>
      <c r="J333" s="803"/>
      <c r="K333" s="803"/>
      <c r="L333" s="804"/>
    </row>
    <row r="334" spans="2:12" x14ac:dyDescent="0.25">
      <c r="B334" s="802"/>
      <c r="C334" s="802"/>
      <c r="D334" s="803"/>
      <c r="E334" s="803"/>
      <c r="F334" s="803"/>
      <c r="G334" s="803"/>
      <c r="H334" s="803"/>
      <c r="I334" s="803"/>
      <c r="J334" s="803"/>
      <c r="K334" s="803"/>
      <c r="L334" s="804"/>
    </row>
    <row r="335" spans="2:12" x14ac:dyDescent="0.25">
      <c r="B335" s="802"/>
      <c r="C335" s="802"/>
      <c r="D335" s="803"/>
      <c r="E335" s="803"/>
      <c r="F335" s="803"/>
      <c r="G335" s="803"/>
      <c r="H335" s="803"/>
      <c r="I335" s="803"/>
      <c r="J335" s="803"/>
      <c r="K335" s="803"/>
      <c r="L335" s="804"/>
    </row>
    <row r="336" spans="2:12" x14ac:dyDescent="0.25">
      <c r="B336" s="802"/>
      <c r="C336" s="802"/>
      <c r="D336" s="803"/>
      <c r="E336" s="803"/>
      <c r="F336" s="803"/>
      <c r="G336" s="803"/>
      <c r="H336" s="803"/>
      <c r="I336" s="803"/>
      <c r="J336" s="803"/>
      <c r="K336" s="803"/>
      <c r="L336" s="804"/>
    </row>
    <row r="337" spans="2:12" x14ac:dyDescent="0.25">
      <c r="B337" s="802"/>
      <c r="C337" s="802"/>
      <c r="D337" s="803"/>
      <c r="E337" s="803"/>
      <c r="F337" s="803"/>
      <c r="G337" s="803"/>
      <c r="H337" s="803"/>
      <c r="I337" s="803"/>
      <c r="J337" s="803"/>
      <c r="K337" s="803"/>
      <c r="L337" s="804"/>
    </row>
    <row r="338" spans="2:12" x14ac:dyDescent="0.25">
      <c r="B338" s="802"/>
      <c r="C338" s="802"/>
      <c r="D338" s="803"/>
      <c r="E338" s="803"/>
      <c r="F338" s="803"/>
      <c r="G338" s="803"/>
      <c r="H338" s="803"/>
      <c r="I338" s="803"/>
      <c r="J338" s="803"/>
      <c r="K338" s="803"/>
      <c r="L338" s="804"/>
    </row>
    <row r="339" spans="2:12" x14ac:dyDescent="0.25">
      <c r="B339" s="802"/>
      <c r="C339" s="802"/>
      <c r="D339" s="803"/>
      <c r="E339" s="803"/>
      <c r="F339" s="803"/>
      <c r="G339" s="803"/>
      <c r="H339" s="803"/>
      <c r="I339" s="803"/>
      <c r="J339" s="803"/>
      <c r="K339" s="803"/>
      <c r="L339" s="804"/>
    </row>
    <row r="340" spans="2:12" x14ac:dyDescent="0.25">
      <c r="B340" s="802"/>
      <c r="C340" s="802"/>
      <c r="D340" s="803"/>
      <c r="E340" s="803"/>
      <c r="F340" s="803"/>
      <c r="G340" s="803"/>
      <c r="H340" s="803"/>
      <c r="I340" s="803"/>
      <c r="J340" s="803"/>
      <c r="K340" s="803"/>
      <c r="L340" s="804"/>
    </row>
    <row r="341" spans="2:12" x14ac:dyDescent="0.25">
      <c r="B341" s="802"/>
      <c r="C341" s="802"/>
      <c r="D341" s="803"/>
      <c r="E341" s="803"/>
      <c r="F341" s="803"/>
      <c r="G341" s="803"/>
      <c r="H341" s="803"/>
      <c r="I341" s="803"/>
      <c r="J341" s="803"/>
      <c r="K341" s="803"/>
      <c r="L341" s="804"/>
    </row>
    <row r="342" spans="2:12" x14ac:dyDescent="0.25">
      <c r="B342" s="802"/>
      <c r="C342" s="802"/>
      <c r="D342" s="803"/>
      <c r="E342" s="803"/>
      <c r="F342" s="803"/>
      <c r="G342" s="803"/>
      <c r="H342" s="803"/>
      <c r="I342" s="803"/>
      <c r="J342" s="803"/>
      <c r="K342" s="803"/>
      <c r="L342" s="804"/>
    </row>
    <row r="343" spans="2:12" x14ac:dyDescent="0.25">
      <c r="B343" s="802"/>
      <c r="C343" s="802"/>
      <c r="D343" s="803"/>
      <c r="E343" s="803"/>
      <c r="F343" s="803"/>
      <c r="G343" s="803"/>
      <c r="H343" s="803"/>
      <c r="I343" s="803"/>
      <c r="J343" s="803"/>
      <c r="K343" s="803"/>
      <c r="L343" s="804"/>
    </row>
    <row r="344" spans="2:12" x14ac:dyDescent="0.25">
      <c r="B344" s="802"/>
      <c r="C344" s="802"/>
      <c r="D344" s="803"/>
      <c r="E344" s="803"/>
      <c r="F344" s="803"/>
      <c r="G344" s="803"/>
      <c r="H344" s="803"/>
      <c r="I344" s="803"/>
      <c r="J344" s="803"/>
      <c r="K344" s="803"/>
      <c r="L344" s="804"/>
    </row>
    <row r="345" spans="2:12" x14ac:dyDescent="0.25">
      <c r="B345" s="802"/>
      <c r="C345" s="802"/>
      <c r="D345" s="803"/>
      <c r="E345" s="803"/>
      <c r="F345" s="803"/>
      <c r="G345" s="803"/>
      <c r="H345" s="803"/>
      <c r="I345" s="803"/>
      <c r="J345" s="803"/>
      <c r="K345" s="803"/>
      <c r="L345" s="804"/>
    </row>
    <row r="346" spans="2:12" x14ac:dyDescent="0.25">
      <c r="B346" s="802"/>
      <c r="C346" s="802"/>
      <c r="D346" s="803"/>
      <c r="E346" s="803"/>
      <c r="F346" s="803"/>
      <c r="G346" s="803"/>
      <c r="H346" s="803"/>
      <c r="I346" s="803"/>
      <c r="J346" s="803"/>
      <c r="K346" s="803"/>
      <c r="L346" s="804"/>
    </row>
    <row r="347" spans="2:12" x14ac:dyDescent="0.25">
      <c r="B347" s="802"/>
      <c r="C347" s="802"/>
      <c r="D347" s="803"/>
      <c r="E347" s="803"/>
      <c r="F347" s="803"/>
      <c r="G347" s="803"/>
      <c r="H347" s="803"/>
      <c r="I347" s="803"/>
      <c r="J347" s="803"/>
      <c r="K347" s="803"/>
      <c r="L347" s="804"/>
    </row>
    <row r="348" spans="2:12" x14ac:dyDescent="0.25">
      <c r="B348" s="802"/>
      <c r="C348" s="802"/>
      <c r="D348" s="803"/>
      <c r="E348" s="803"/>
      <c r="F348" s="803"/>
      <c r="G348" s="803"/>
      <c r="H348" s="803"/>
      <c r="I348" s="803"/>
      <c r="J348" s="803"/>
      <c r="K348" s="803"/>
      <c r="L348" s="804"/>
    </row>
    <row r="349" spans="2:12" x14ac:dyDescent="0.25">
      <c r="B349" s="802"/>
      <c r="C349" s="802"/>
      <c r="D349" s="803"/>
      <c r="E349" s="803"/>
      <c r="F349" s="803"/>
      <c r="G349" s="803"/>
      <c r="H349" s="803"/>
      <c r="I349" s="803"/>
      <c r="J349" s="803"/>
      <c r="K349" s="803"/>
      <c r="L349" s="804"/>
    </row>
    <row r="350" spans="2:12" x14ac:dyDescent="0.25">
      <c r="B350" s="802"/>
      <c r="C350" s="802"/>
      <c r="D350" s="803"/>
      <c r="E350" s="803"/>
      <c r="F350" s="803"/>
      <c r="G350" s="803"/>
      <c r="H350" s="803"/>
      <c r="I350" s="803"/>
      <c r="J350" s="803"/>
      <c r="K350" s="803"/>
      <c r="L350" s="804"/>
    </row>
    <row r="351" spans="2:12" x14ac:dyDescent="0.25">
      <c r="B351" s="802"/>
      <c r="C351" s="802"/>
      <c r="D351" s="803"/>
      <c r="E351" s="803"/>
      <c r="F351" s="803"/>
      <c r="G351" s="803"/>
      <c r="H351" s="803"/>
      <c r="I351" s="803"/>
      <c r="J351" s="803"/>
      <c r="K351" s="803"/>
      <c r="L351" s="804"/>
    </row>
    <row r="352" spans="2:12" x14ac:dyDescent="0.25">
      <c r="B352" s="802"/>
      <c r="C352" s="802"/>
      <c r="D352" s="803"/>
      <c r="E352" s="803"/>
      <c r="F352" s="803"/>
      <c r="G352" s="803"/>
      <c r="H352" s="803"/>
      <c r="I352" s="803"/>
      <c r="J352" s="803"/>
      <c r="K352" s="803"/>
      <c r="L352" s="804"/>
    </row>
    <row r="353" spans="2:12" x14ac:dyDescent="0.25">
      <c r="B353" s="802"/>
      <c r="C353" s="802"/>
      <c r="D353" s="803"/>
      <c r="E353" s="803"/>
      <c r="F353" s="803"/>
      <c r="G353" s="803"/>
      <c r="H353" s="803"/>
      <c r="I353" s="803"/>
      <c r="J353" s="803"/>
      <c r="K353" s="803"/>
      <c r="L353" s="804"/>
    </row>
    <row r="354" spans="2:12" x14ac:dyDescent="0.25">
      <c r="B354" s="802"/>
      <c r="C354" s="802"/>
      <c r="D354" s="803"/>
      <c r="E354" s="803"/>
      <c r="F354" s="803"/>
      <c r="G354" s="803"/>
      <c r="H354" s="803"/>
      <c r="I354" s="803"/>
      <c r="J354" s="803"/>
      <c r="K354" s="803"/>
      <c r="L354" s="804"/>
    </row>
    <row r="355" spans="2:12" x14ac:dyDescent="0.25">
      <c r="B355" s="802"/>
      <c r="C355" s="802"/>
      <c r="D355" s="803"/>
      <c r="E355" s="803"/>
      <c r="F355" s="803"/>
      <c r="G355" s="803"/>
      <c r="H355" s="803"/>
      <c r="I355" s="803"/>
      <c r="J355" s="803"/>
      <c r="K355" s="803"/>
      <c r="L355" s="804"/>
    </row>
    <row r="356" spans="2:12" x14ac:dyDescent="0.25">
      <c r="B356" s="802"/>
      <c r="C356" s="802"/>
      <c r="D356" s="803"/>
      <c r="E356" s="803"/>
      <c r="F356" s="803"/>
      <c r="G356" s="803"/>
      <c r="H356" s="803"/>
      <c r="I356" s="803"/>
      <c r="J356" s="803"/>
      <c r="K356" s="803"/>
      <c r="L356" s="804"/>
    </row>
    <row r="357" spans="2:12" x14ac:dyDescent="0.25">
      <c r="B357" s="802"/>
      <c r="C357" s="802"/>
      <c r="D357" s="803"/>
      <c r="E357" s="803"/>
      <c r="F357" s="803"/>
      <c r="G357" s="803"/>
      <c r="H357" s="803"/>
      <c r="I357" s="803"/>
      <c r="J357" s="803"/>
      <c r="K357" s="803"/>
      <c r="L357" s="804"/>
    </row>
    <row r="358" spans="2:12" x14ac:dyDescent="0.25">
      <c r="B358" s="802"/>
      <c r="C358" s="802"/>
      <c r="D358" s="803"/>
      <c r="E358" s="803"/>
      <c r="F358" s="803"/>
      <c r="G358" s="803"/>
      <c r="H358" s="803"/>
      <c r="I358" s="803"/>
      <c r="J358" s="803"/>
      <c r="K358" s="803"/>
      <c r="L358" s="804"/>
    </row>
    <row r="359" spans="2:12" x14ac:dyDescent="0.25">
      <c r="B359" s="802"/>
      <c r="C359" s="802"/>
      <c r="D359" s="803"/>
      <c r="E359" s="803"/>
      <c r="F359" s="803"/>
      <c r="G359" s="803"/>
      <c r="H359" s="803"/>
      <c r="I359" s="803"/>
      <c r="J359" s="803"/>
      <c r="K359" s="803"/>
      <c r="L359" s="804"/>
    </row>
    <row r="360" spans="2:12" x14ac:dyDescent="0.25">
      <c r="B360" s="802"/>
      <c r="C360" s="802"/>
      <c r="D360" s="803"/>
      <c r="E360" s="803"/>
      <c r="F360" s="803"/>
      <c r="G360" s="803"/>
      <c r="H360" s="803"/>
      <c r="I360" s="803"/>
      <c r="J360" s="803"/>
      <c r="K360" s="803"/>
      <c r="L360" s="804"/>
    </row>
    <row r="361" spans="2:12" x14ac:dyDescent="0.25">
      <c r="B361" s="802"/>
      <c r="C361" s="802"/>
      <c r="D361" s="803"/>
      <c r="E361" s="803"/>
      <c r="F361" s="803"/>
      <c r="G361" s="803"/>
      <c r="H361" s="803"/>
      <c r="I361" s="803"/>
      <c r="J361" s="803"/>
      <c r="K361" s="803"/>
      <c r="L361" s="804"/>
    </row>
    <row r="362" spans="2:12" x14ac:dyDescent="0.25">
      <c r="B362" s="802"/>
      <c r="C362" s="802"/>
      <c r="D362" s="803"/>
      <c r="E362" s="803"/>
      <c r="F362" s="803"/>
      <c r="G362" s="803"/>
      <c r="H362" s="803"/>
      <c r="I362" s="803"/>
      <c r="J362" s="803"/>
      <c r="K362" s="803"/>
      <c r="L362" s="804"/>
    </row>
    <row r="363" spans="2:12" x14ac:dyDescent="0.25">
      <c r="B363" s="802"/>
      <c r="C363" s="802"/>
      <c r="D363" s="803"/>
      <c r="E363" s="803"/>
      <c r="F363" s="803"/>
      <c r="G363" s="803"/>
      <c r="H363" s="803"/>
      <c r="I363" s="803"/>
      <c r="J363" s="803"/>
      <c r="K363" s="803"/>
      <c r="L363" s="804"/>
    </row>
    <row r="364" spans="2:12" x14ac:dyDescent="0.25">
      <c r="B364" s="802"/>
      <c r="C364" s="802"/>
      <c r="D364" s="803"/>
      <c r="E364" s="803"/>
      <c r="F364" s="803"/>
      <c r="G364" s="803"/>
      <c r="H364" s="803"/>
      <c r="I364" s="803"/>
      <c r="J364" s="803"/>
      <c r="K364" s="803"/>
      <c r="L364" s="804"/>
    </row>
    <row r="365" spans="2:12" x14ac:dyDescent="0.25">
      <c r="B365" s="802"/>
      <c r="C365" s="802"/>
      <c r="D365" s="803"/>
      <c r="E365" s="803"/>
      <c r="F365" s="803"/>
      <c r="G365" s="803"/>
      <c r="H365" s="803"/>
      <c r="I365" s="803"/>
      <c r="J365" s="803"/>
      <c r="K365" s="803"/>
      <c r="L365" s="804"/>
    </row>
    <row r="366" spans="2:12" x14ac:dyDescent="0.25">
      <c r="B366" s="802"/>
      <c r="C366" s="802"/>
      <c r="D366" s="803"/>
      <c r="E366" s="803"/>
      <c r="F366" s="803"/>
      <c r="G366" s="803"/>
      <c r="H366" s="803"/>
      <c r="I366" s="803"/>
      <c r="J366" s="803"/>
      <c r="K366" s="803"/>
      <c r="L366" s="804"/>
    </row>
    <row r="367" spans="2:12" x14ac:dyDescent="0.25">
      <c r="B367" s="802"/>
      <c r="C367" s="802"/>
      <c r="D367" s="803"/>
      <c r="E367" s="803"/>
      <c r="F367" s="803"/>
      <c r="G367" s="803"/>
      <c r="H367" s="803"/>
      <c r="I367" s="803"/>
      <c r="J367" s="803"/>
      <c r="K367" s="803"/>
      <c r="L367" s="804"/>
    </row>
    <row r="368" spans="2:12" x14ac:dyDescent="0.25">
      <c r="B368" s="802"/>
      <c r="C368" s="802"/>
      <c r="D368" s="803"/>
      <c r="E368" s="803"/>
      <c r="F368" s="803"/>
      <c r="G368" s="803"/>
      <c r="H368" s="803"/>
      <c r="I368" s="803"/>
      <c r="J368" s="803"/>
      <c r="K368" s="803"/>
      <c r="L368" s="804"/>
    </row>
    <row r="369" spans="2:12" x14ac:dyDescent="0.25">
      <c r="B369" s="802"/>
      <c r="C369" s="802"/>
      <c r="D369" s="803"/>
      <c r="E369" s="803"/>
      <c r="F369" s="803"/>
      <c r="G369" s="803"/>
      <c r="H369" s="803"/>
      <c r="I369" s="803"/>
      <c r="J369" s="803"/>
      <c r="K369" s="803"/>
      <c r="L369" s="804"/>
    </row>
    <row r="370" spans="2:12" x14ac:dyDescent="0.25">
      <c r="B370" s="802"/>
      <c r="C370" s="802"/>
      <c r="D370" s="803"/>
      <c r="E370" s="803"/>
      <c r="F370" s="803"/>
      <c r="G370" s="803"/>
      <c r="H370" s="803"/>
      <c r="I370" s="803"/>
      <c r="J370" s="803"/>
      <c r="K370" s="803"/>
      <c r="L370" s="804"/>
    </row>
    <row r="371" spans="2:12" x14ac:dyDescent="0.25">
      <c r="B371" s="802"/>
      <c r="C371" s="802"/>
      <c r="D371" s="803"/>
      <c r="E371" s="803"/>
      <c r="F371" s="803"/>
      <c r="G371" s="803"/>
      <c r="H371" s="803"/>
      <c r="I371" s="803"/>
      <c r="J371" s="803"/>
      <c r="K371" s="803"/>
      <c r="L371" s="804"/>
    </row>
    <row r="372" spans="2:12" x14ac:dyDescent="0.25">
      <c r="B372" s="802"/>
      <c r="C372" s="802"/>
      <c r="D372" s="803"/>
      <c r="E372" s="803"/>
      <c r="F372" s="803"/>
      <c r="G372" s="803"/>
      <c r="H372" s="803"/>
      <c r="I372" s="803"/>
      <c r="J372" s="803"/>
      <c r="K372" s="803"/>
      <c r="L372" s="804"/>
    </row>
    <row r="373" spans="2:12" x14ac:dyDescent="0.25">
      <c r="B373" s="802"/>
      <c r="C373" s="802"/>
      <c r="D373" s="803"/>
      <c r="E373" s="803"/>
      <c r="F373" s="803"/>
      <c r="G373" s="803"/>
      <c r="H373" s="803"/>
      <c r="I373" s="803"/>
      <c r="J373" s="803"/>
      <c r="K373" s="803"/>
      <c r="L373" s="804"/>
    </row>
    <row r="374" spans="2:12" x14ac:dyDescent="0.25">
      <c r="B374" s="802"/>
      <c r="C374" s="802"/>
      <c r="D374" s="803"/>
      <c r="E374" s="803"/>
      <c r="F374" s="803"/>
      <c r="G374" s="803"/>
      <c r="H374" s="803"/>
      <c r="I374" s="803"/>
      <c r="J374" s="803"/>
      <c r="K374" s="803"/>
      <c r="L374" s="804"/>
    </row>
    <row r="375" spans="2:12" x14ac:dyDescent="0.25">
      <c r="B375" s="802"/>
      <c r="C375" s="802"/>
      <c r="D375" s="803"/>
      <c r="E375" s="803"/>
      <c r="F375" s="803"/>
      <c r="G375" s="803"/>
      <c r="H375" s="803"/>
      <c r="I375" s="803"/>
      <c r="J375" s="803"/>
      <c r="K375" s="803"/>
      <c r="L375" s="804"/>
    </row>
    <row r="376" spans="2:12" x14ac:dyDescent="0.25">
      <c r="B376" s="802"/>
      <c r="C376" s="802"/>
      <c r="D376" s="803"/>
      <c r="E376" s="803"/>
      <c r="F376" s="803"/>
      <c r="G376" s="803"/>
      <c r="H376" s="803"/>
      <c r="I376" s="803"/>
      <c r="J376" s="803"/>
      <c r="K376" s="803"/>
      <c r="L376" s="804"/>
    </row>
    <row r="377" spans="2:12" x14ac:dyDescent="0.25">
      <c r="B377" s="802"/>
      <c r="C377" s="802"/>
      <c r="D377" s="803"/>
      <c r="E377" s="803"/>
      <c r="F377" s="803"/>
      <c r="G377" s="803"/>
      <c r="H377" s="803"/>
      <c r="I377" s="803"/>
      <c r="J377" s="803"/>
      <c r="K377" s="803"/>
      <c r="L377" s="804"/>
    </row>
    <row r="378" spans="2:12" x14ac:dyDescent="0.25">
      <c r="B378" s="802"/>
      <c r="C378" s="802"/>
      <c r="D378" s="803"/>
      <c r="E378" s="803"/>
      <c r="F378" s="803"/>
      <c r="G378" s="803"/>
      <c r="H378" s="803"/>
      <c r="I378" s="803"/>
      <c r="J378" s="803"/>
      <c r="K378" s="803"/>
      <c r="L378" s="804"/>
    </row>
    <row r="379" spans="2:12" x14ac:dyDescent="0.25">
      <c r="B379" s="802"/>
      <c r="C379" s="802"/>
      <c r="D379" s="803"/>
      <c r="E379" s="803"/>
      <c r="F379" s="803"/>
      <c r="G379" s="803"/>
      <c r="H379" s="803"/>
      <c r="I379" s="803"/>
      <c r="J379" s="803"/>
      <c r="K379" s="803"/>
      <c r="L379" s="804"/>
    </row>
    <row r="380" spans="2:12" x14ac:dyDescent="0.25">
      <c r="B380" s="802"/>
      <c r="C380" s="802"/>
      <c r="D380" s="803"/>
      <c r="E380" s="803"/>
      <c r="F380" s="803"/>
      <c r="G380" s="803"/>
      <c r="H380" s="803"/>
      <c r="I380" s="803"/>
      <c r="J380" s="803"/>
      <c r="K380" s="803"/>
      <c r="L380" s="804"/>
    </row>
    <row r="381" spans="2:12" x14ac:dyDescent="0.25">
      <c r="B381" s="802"/>
      <c r="C381" s="802"/>
      <c r="D381" s="803"/>
      <c r="E381" s="803"/>
      <c r="F381" s="803"/>
      <c r="G381" s="803"/>
      <c r="H381" s="803"/>
      <c r="I381" s="803"/>
      <c r="J381" s="803"/>
      <c r="K381" s="803"/>
      <c r="L381" s="804"/>
    </row>
    <row r="382" spans="2:12" x14ac:dyDescent="0.25">
      <c r="B382" s="802"/>
      <c r="C382" s="802"/>
      <c r="D382" s="803"/>
      <c r="E382" s="803"/>
      <c r="F382" s="803"/>
      <c r="G382" s="803"/>
      <c r="H382" s="803"/>
      <c r="I382" s="803"/>
      <c r="J382" s="803"/>
      <c r="K382" s="803"/>
      <c r="L382" s="804"/>
    </row>
    <row r="383" spans="2:12" x14ac:dyDescent="0.25">
      <c r="B383" s="802"/>
      <c r="C383" s="802"/>
      <c r="D383" s="803"/>
      <c r="E383" s="803"/>
      <c r="F383" s="803"/>
      <c r="G383" s="803"/>
      <c r="H383" s="803"/>
      <c r="I383" s="803"/>
      <c r="J383" s="803"/>
      <c r="K383" s="803"/>
      <c r="L383" s="804"/>
    </row>
    <row r="384" spans="2:12" x14ac:dyDescent="0.25">
      <c r="B384" s="802"/>
      <c r="C384" s="802"/>
      <c r="D384" s="803"/>
      <c r="E384" s="803"/>
      <c r="F384" s="803"/>
      <c r="G384" s="803"/>
      <c r="H384" s="803"/>
      <c r="I384" s="803"/>
      <c r="J384" s="803"/>
      <c r="K384" s="803"/>
      <c r="L384" s="804"/>
    </row>
    <row r="385" spans="2:12" x14ac:dyDescent="0.25">
      <c r="B385" s="802"/>
      <c r="C385" s="802"/>
      <c r="D385" s="803"/>
      <c r="E385" s="803"/>
      <c r="F385" s="803"/>
      <c r="G385" s="803"/>
      <c r="H385" s="803"/>
      <c r="I385" s="803"/>
      <c r="J385" s="803"/>
      <c r="K385" s="803"/>
      <c r="L385" s="804"/>
    </row>
    <row r="386" spans="2:12" x14ac:dyDescent="0.25">
      <c r="B386" s="802"/>
      <c r="C386" s="802"/>
      <c r="D386" s="803"/>
      <c r="E386" s="803"/>
      <c r="F386" s="803"/>
      <c r="G386" s="803"/>
      <c r="H386" s="803"/>
      <c r="I386" s="803"/>
      <c r="J386" s="803"/>
      <c r="K386" s="803"/>
      <c r="L386" s="804"/>
    </row>
    <row r="387" spans="2:12" x14ac:dyDescent="0.25">
      <c r="B387" s="802"/>
      <c r="C387" s="802"/>
      <c r="D387" s="803"/>
      <c r="E387" s="803"/>
      <c r="F387" s="803"/>
      <c r="G387" s="803"/>
      <c r="H387" s="803"/>
      <c r="I387" s="803"/>
      <c r="J387" s="803"/>
      <c r="K387" s="803"/>
      <c r="L387" s="804"/>
    </row>
    <row r="388" spans="2:12" x14ac:dyDescent="0.25">
      <c r="B388" s="802"/>
      <c r="C388" s="802"/>
      <c r="D388" s="803"/>
      <c r="E388" s="803"/>
      <c r="F388" s="803"/>
      <c r="G388" s="803"/>
      <c r="H388" s="803"/>
      <c r="I388" s="803"/>
      <c r="J388" s="803"/>
      <c r="K388" s="803"/>
      <c r="L388" s="804"/>
    </row>
    <row r="389" spans="2:12" x14ac:dyDescent="0.25">
      <c r="B389" s="802"/>
      <c r="C389" s="802"/>
      <c r="D389" s="803"/>
      <c r="E389" s="803"/>
      <c r="F389" s="803"/>
      <c r="G389" s="803"/>
      <c r="H389" s="803"/>
      <c r="I389" s="803"/>
      <c r="J389" s="803"/>
      <c r="K389" s="803"/>
      <c r="L389" s="804"/>
    </row>
    <row r="390" spans="2:12" x14ac:dyDescent="0.25">
      <c r="B390" s="802"/>
      <c r="C390" s="802"/>
      <c r="D390" s="803"/>
      <c r="E390" s="803"/>
      <c r="F390" s="803"/>
      <c r="G390" s="803"/>
      <c r="H390" s="803"/>
      <c r="I390" s="803"/>
      <c r="J390" s="803"/>
      <c r="K390" s="803"/>
      <c r="L390" s="804"/>
    </row>
    <row r="391" spans="2:12" x14ac:dyDescent="0.25">
      <c r="B391" s="802"/>
      <c r="C391" s="802"/>
      <c r="D391" s="803"/>
      <c r="E391" s="803"/>
      <c r="F391" s="803"/>
      <c r="G391" s="803"/>
      <c r="H391" s="803"/>
      <c r="I391" s="803"/>
      <c r="J391" s="803"/>
      <c r="K391" s="803"/>
      <c r="L391" s="804"/>
    </row>
    <row r="392" spans="2:12" x14ac:dyDescent="0.25">
      <c r="B392" s="802"/>
      <c r="C392" s="802"/>
      <c r="D392" s="803"/>
      <c r="E392" s="803"/>
      <c r="F392" s="803"/>
      <c r="G392" s="803"/>
      <c r="H392" s="803"/>
      <c r="I392" s="803"/>
      <c r="J392" s="803"/>
      <c r="K392" s="803"/>
      <c r="L392" s="804"/>
    </row>
    <row r="393" spans="2:12" x14ac:dyDescent="0.25">
      <c r="B393" s="802"/>
      <c r="C393" s="802"/>
      <c r="D393" s="803"/>
      <c r="E393" s="803"/>
      <c r="F393" s="803"/>
      <c r="G393" s="803"/>
      <c r="H393" s="803"/>
      <c r="I393" s="803"/>
      <c r="J393" s="803"/>
      <c r="K393" s="803"/>
      <c r="L393" s="804"/>
    </row>
    <row r="394" spans="2:12" x14ac:dyDescent="0.25">
      <c r="B394" s="802"/>
      <c r="C394" s="802"/>
      <c r="D394" s="803"/>
      <c r="E394" s="803"/>
      <c r="F394" s="803"/>
      <c r="G394" s="803"/>
      <c r="H394" s="803"/>
      <c r="I394" s="803"/>
      <c r="J394" s="803"/>
      <c r="K394" s="803"/>
      <c r="L394" s="804"/>
    </row>
    <row r="395" spans="2:12" x14ac:dyDescent="0.25">
      <c r="B395" s="802"/>
      <c r="C395" s="802"/>
      <c r="D395" s="803"/>
      <c r="E395" s="803"/>
      <c r="F395" s="803"/>
      <c r="G395" s="803"/>
      <c r="H395" s="803"/>
      <c r="I395" s="803"/>
      <c r="J395" s="803"/>
      <c r="K395" s="803"/>
      <c r="L395" s="804"/>
    </row>
    <row r="396" spans="2:12" x14ac:dyDescent="0.25">
      <c r="B396" s="802"/>
      <c r="C396" s="802"/>
      <c r="D396" s="803"/>
      <c r="E396" s="803"/>
      <c r="F396" s="803"/>
      <c r="G396" s="803"/>
      <c r="H396" s="803"/>
      <c r="I396" s="803"/>
      <c r="J396" s="803"/>
      <c r="K396" s="803"/>
      <c r="L396" s="804"/>
    </row>
    <row r="397" spans="2:12" x14ac:dyDescent="0.25">
      <c r="B397" s="802"/>
      <c r="C397" s="802"/>
      <c r="D397" s="803"/>
      <c r="E397" s="803"/>
      <c r="F397" s="803"/>
      <c r="G397" s="803"/>
      <c r="H397" s="803"/>
      <c r="I397" s="803"/>
      <c r="J397" s="803"/>
      <c r="K397" s="803"/>
      <c r="L397" s="804"/>
    </row>
    <row r="398" spans="2:12" x14ac:dyDescent="0.25">
      <c r="B398" s="802"/>
      <c r="C398" s="802"/>
      <c r="D398" s="803"/>
      <c r="E398" s="803"/>
      <c r="F398" s="803"/>
      <c r="G398" s="803"/>
      <c r="H398" s="803"/>
      <c r="I398" s="803"/>
      <c r="J398" s="803"/>
      <c r="K398" s="803"/>
      <c r="L398" s="804"/>
    </row>
    <row r="399" spans="2:12" x14ac:dyDescent="0.25">
      <c r="B399" s="802"/>
      <c r="C399" s="802"/>
      <c r="D399" s="803"/>
      <c r="E399" s="803"/>
      <c r="F399" s="803"/>
      <c r="G399" s="803"/>
      <c r="H399" s="803"/>
      <c r="I399" s="803"/>
      <c r="J399" s="803"/>
      <c r="K399" s="803"/>
      <c r="L399" s="804"/>
    </row>
    <row r="400" spans="2:12" x14ac:dyDescent="0.25">
      <c r="B400" s="802"/>
      <c r="C400" s="802"/>
      <c r="D400" s="803"/>
      <c r="E400" s="803"/>
      <c r="F400" s="803"/>
      <c r="G400" s="803"/>
      <c r="H400" s="803"/>
      <c r="I400" s="803"/>
      <c r="J400" s="803"/>
      <c r="K400" s="803"/>
      <c r="L400" s="804"/>
    </row>
    <row r="401" spans="2:12" x14ac:dyDescent="0.25">
      <c r="B401" s="802"/>
      <c r="C401" s="802"/>
      <c r="D401" s="803"/>
      <c r="E401" s="803"/>
      <c r="F401" s="803"/>
      <c r="G401" s="803"/>
      <c r="H401" s="803"/>
      <c r="I401" s="803"/>
      <c r="J401" s="803"/>
      <c r="K401" s="803"/>
      <c r="L401" s="804"/>
    </row>
    <row r="402" spans="2:12" x14ac:dyDescent="0.25">
      <c r="B402" s="802"/>
      <c r="C402" s="802"/>
      <c r="D402" s="803"/>
      <c r="E402" s="803"/>
      <c r="F402" s="803"/>
      <c r="G402" s="803"/>
      <c r="H402" s="803"/>
      <c r="I402" s="803"/>
      <c r="J402" s="803"/>
      <c r="K402" s="803"/>
      <c r="L402" s="804"/>
    </row>
    <row r="403" spans="2:12" x14ac:dyDescent="0.25">
      <c r="B403" s="802"/>
      <c r="C403" s="802"/>
      <c r="D403" s="803"/>
      <c r="E403" s="803"/>
      <c r="F403" s="803"/>
      <c r="G403" s="803"/>
      <c r="H403" s="803"/>
      <c r="I403" s="803"/>
      <c r="J403" s="803"/>
      <c r="K403" s="803"/>
      <c r="L403" s="804"/>
    </row>
    <row r="404" spans="2:12" x14ac:dyDescent="0.25">
      <c r="B404" s="802"/>
      <c r="C404" s="802"/>
      <c r="D404" s="803"/>
      <c r="E404" s="803"/>
      <c r="F404" s="803"/>
      <c r="G404" s="803"/>
      <c r="H404" s="803"/>
      <c r="I404" s="803"/>
      <c r="J404" s="803"/>
      <c r="K404" s="803"/>
      <c r="L404" s="804"/>
    </row>
    <row r="405" spans="2:12" x14ac:dyDescent="0.25">
      <c r="B405" s="802"/>
      <c r="C405" s="802"/>
      <c r="D405" s="803"/>
      <c r="E405" s="803"/>
      <c r="F405" s="803"/>
      <c r="G405" s="803"/>
      <c r="H405" s="803"/>
      <c r="I405" s="803"/>
      <c r="J405" s="803"/>
      <c r="K405" s="803"/>
      <c r="L405" s="804"/>
    </row>
    <row r="406" spans="2:12" x14ac:dyDescent="0.25">
      <c r="B406" s="802"/>
      <c r="C406" s="802"/>
      <c r="D406" s="803"/>
      <c r="E406" s="803"/>
      <c r="F406" s="803"/>
      <c r="G406" s="803"/>
      <c r="H406" s="803"/>
      <c r="I406" s="803"/>
      <c r="J406" s="803"/>
      <c r="K406" s="803"/>
      <c r="L406" s="804"/>
    </row>
    <row r="407" spans="2:12" x14ac:dyDescent="0.25">
      <c r="B407" s="802"/>
      <c r="C407" s="802"/>
      <c r="D407" s="803"/>
      <c r="E407" s="803"/>
      <c r="F407" s="803"/>
      <c r="G407" s="803"/>
      <c r="H407" s="803"/>
      <c r="I407" s="803"/>
      <c r="J407" s="803"/>
      <c r="K407" s="803"/>
      <c r="L407" s="804"/>
    </row>
    <row r="408" spans="2:12" x14ac:dyDescent="0.25">
      <c r="B408" s="802"/>
      <c r="C408" s="802"/>
      <c r="D408" s="803"/>
      <c r="E408" s="803"/>
      <c r="F408" s="803"/>
      <c r="G408" s="803"/>
      <c r="H408" s="803"/>
      <c r="I408" s="803"/>
      <c r="J408" s="803"/>
      <c r="K408" s="803"/>
      <c r="L408" s="804"/>
    </row>
    <row r="409" spans="2:12" x14ac:dyDescent="0.25">
      <c r="B409" s="802"/>
      <c r="C409" s="802"/>
      <c r="D409" s="803"/>
      <c r="E409" s="803"/>
      <c r="F409" s="803"/>
      <c r="G409" s="803"/>
      <c r="H409" s="803"/>
      <c r="I409" s="803"/>
      <c r="J409" s="803"/>
      <c r="K409" s="803"/>
      <c r="L409" s="804"/>
    </row>
    <row r="410" spans="2:12" x14ac:dyDescent="0.25">
      <c r="B410" s="802"/>
      <c r="C410" s="802"/>
      <c r="D410" s="803"/>
      <c r="E410" s="803"/>
      <c r="F410" s="803"/>
      <c r="G410" s="803"/>
      <c r="H410" s="803"/>
      <c r="I410" s="803"/>
      <c r="J410" s="803"/>
      <c r="K410" s="803"/>
      <c r="L410" s="804"/>
    </row>
    <row r="411" spans="2:12" x14ac:dyDescent="0.25">
      <c r="B411" s="802"/>
      <c r="C411" s="802"/>
      <c r="D411" s="803"/>
      <c r="E411" s="803"/>
      <c r="F411" s="803"/>
      <c r="G411" s="803"/>
      <c r="H411" s="803"/>
      <c r="I411" s="803"/>
      <c r="J411" s="803"/>
      <c r="K411" s="803"/>
      <c r="L411" s="804"/>
    </row>
    <row r="412" spans="2:12" x14ac:dyDescent="0.25">
      <c r="B412" s="802"/>
      <c r="C412" s="802"/>
      <c r="D412" s="803"/>
      <c r="E412" s="803"/>
      <c r="F412" s="803"/>
      <c r="G412" s="803"/>
      <c r="H412" s="803"/>
      <c r="I412" s="803"/>
      <c r="J412" s="803"/>
      <c r="K412" s="803"/>
      <c r="L412" s="804"/>
    </row>
    <row r="413" spans="2:12" x14ac:dyDescent="0.25">
      <c r="B413" s="802"/>
      <c r="C413" s="802"/>
      <c r="D413" s="803"/>
      <c r="E413" s="803"/>
      <c r="F413" s="803"/>
      <c r="G413" s="803"/>
      <c r="H413" s="803"/>
      <c r="I413" s="803"/>
      <c r="J413" s="803"/>
      <c r="K413" s="803"/>
      <c r="L413" s="804"/>
    </row>
    <row r="414" spans="2:12" x14ac:dyDescent="0.25">
      <c r="B414" s="802"/>
      <c r="C414" s="802"/>
      <c r="D414" s="803"/>
      <c r="E414" s="803"/>
      <c r="F414" s="803"/>
      <c r="G414" s="803"/>
      <c r="H414" s="803"/>
      <c r="I414" s="803"/>
      <c r="J414" s="803"/>
      <c r="K414" s="803"/>
      <c r="L414" s="804"/>
    </row>
    <row r="415" spans="2:12" x14ac:dyDescent="0.25">
      <c r="B415" s="802"/>
      <c r="C415" s="802"/>
      <c r="D415" s="803"/>
      <c r="E415" s="803"/>
      <c r="F415" s="803"/>
      <c r="G415" s="803"/>
      <c r="H415" s="803"/>
      <c r="I415" s="803"/>
      <c r="J415" s="803"/>
      <c r="K415" s="803"/>
      <c r="L415" s="804"/>
    </row>
    <row r="416" spans="2:12" x14ac:dyDescent="0.25">
      <c r="B416" s="802"/>
      <c r="C416" s="802"/>
      <c r="D416" s="803"/>
      <c r="E416" s="803"/>
      <c r="F416" s="803"/>
      <c r="G416" s="803"/>
      <c r="H416" s="803"/>
      <c r="I416" s="803"/>
      <c r="J416" s="803"/>
      <c r="K416" s="803"/>
      <c r="L416" s="804"/>
    </row>
    <row r="417" spans="2:12" x14ac:dyDescent="0.25">
      <c r="B417" s="802"/>
      <c r="C417" s="802"/>
      <c r="D417" s="803"/>
      <c r="E417" s="803"/>
      <c r="F417" s="803"/>
      <c r="G417" s="803"/>
      <c r="H417" s="803"/>
      <c r="I417" s="803"/>
      <c r="J417" s="803"/>
      <c r="K417" s="803"/>
      <c r="L417" s="804"/>
    </row>
    <row r="418" spans="2:12" x14ac:dyDescent="0.25">
      <c r="B418" s="802"/>
      <c r="C418" s="802"/>
      <c r="D418" s="803"/>
      <c r="E418" s="803"/>
      <c r="F418" s="803"/>
      <c r="G418" s="803"/>
      <c r="H418" s="803"/>
      <c r="I418" s="803"/>
      <c r="J418" s="803"/>
      <c r="K418" s="803"/>
      <c r="L418" s="804"/>
    </row>
    <row r="419" spans="2:12" x14ac:dyDescent="0.25">
      <c r="B419" s="802"/>
      <c r="C419" s="802"/>
      <c r="D419" s="803"/>
      <c r="E419" s="803"/>
      <c r="F419" s="803"/>
      <c r="G419" s="803"/>
      <c r="H419" s="803"/>
      <c r="I419" s="803"/>
      <c r="J419" s="803"/>
      <c r="K419" s="803"/>
      <c r="L419" s="804"/>
    </row>
    <row r="420" spans="2:12" x14ac:dyDescent="0.25">
      <c r="B420" s="802"/>
      <c r="C420" s="802"/>
      <c r="D420" s="803"/>
      <c r="E420" s="803"/>
      <c r="F420" s="803"/>
      <c r="G420" s="803"/>
      <c r="H420" s="803"/>
      <c r="I420" s="803"/>
      <c r="J420" s="803"/>
      <c r="K420" s="803"/>
      <c r="L420" s="804"/>
    </row>
    <row r="421" spans="2:12" x14ac:dyDescent="0.25">
      <c r="B421" s="802"/>
      <c r="C421" s="802"/>
      <c r="D421" s="803"/>
      <c r="E421" s="803"/>
      <c r="F421" s="803"/>
      <c r="G421" s="803"/>
      <c r="H421" s="803"/>
      <c r="I421" s="803"/>
      <c r="J421" s="803"/>
      <c r="K421" s="803"/>
      <c r="L421" s="804"/>
    </row>
    <row r="422" spans="2:12" x14ac:dyDescent="0.25">
      <c r="B422" s="802"/>
      <c r="C422" s="802"/>
      <c r="D422" s="803"/>
      <c r="E422" s="803"/>
      <c r="F422" s="803"/>
      <c r="G422" s="803"/>
      <c r="H422" s="803"/>
      <c r="I422" s="803"/>
      <c r="J422" s="803"/>
      <c r="K422" s="803"/>
      <c r="L422" s="804"/>
    </row>
    <row r="423" spans="2:12" x14ac:dyDescent="0.25">
      <c r="B423" s="802"/>
      <c r="C423" s="802"/>
      <c r="D423" s="803"/>
      <c r="E423" s="803"/>
      <c r="F423" s="803"/>
      <c r="G423" s="803"/>
      <c r="H423" s="803"/>
      <c r="I423" s="803"/>
      <c r="J423" s="803"/>
      <c r="K423" s="803"/>
      <c r="L423" s="804"/>
    </row>
    <row r="424" spans="2:12" x14ac:dyDescent="0.25">
      <c r="B424" s="802"/>
      <c r="C424" s="802"/>
      <c r="D424" s="803"/>
      <c r="E424" s="803"/>
      <c r="F424" s="803"/>
      <c r="G424" s="803"/>
      <c r="H424" s="803"/>
      <c r="I424" s="803"/>
      <c r="J424" s="803"/>
      <c r="K424" s="803"/>
      <c r="L424" s="804"/>
    </row>
    <row r="425" spans="2:12" x14ac:dyDescent="0.25">
      <c r="B425" s="802"/>
      <c r="C425" s="802"/>
      <c r="D425" s="803"/>
      <c r="E425" s="803"/>
      <c r="F425" s="803"/>
      <c r="G425" s="803"/>
      <c r="H425" s="803"/>
      <c r="I425" s="803"/>
      <c r="J425" s="803"/>
      <c r="K425" s="803"/>
      <c r="L425" s="804"/>
    </row>
    <row r="426" spans="2:12" x14ac:dyDescent="0.25">
      <c r="B426" s="802"/>
      <c r="C426" s="802"/>
      <c r="D426" s="803"/>
      <c r="E426" s="803"/>
      <c r="F426" s="803"/>
      <c r="G426" s="803"/>
      <c r="H426" s="803"/>
      <c r="I426" s="803"/>
      <c r="J426" s="803"/>
      <c r="K426" s="803"/>
      <c r="L426" s="804"/>
    </row>
    <row r="427" spans="2:12" x14ac:dyDescent="0.25">
      <c r="B427" s="802"/>
      <c r="C427" s="802"/>
      <c r="D427" s="803"/>
      <c r="E427" s="803"/>
      <c r="F427" s="803"/>
      <c r="G427" s="803"/>
      <c r="H427" s="803"/>
      <c r="I427" s="803"/>
      <c r="J427" s="803"/>
      <c r="K427" s="803"/>
      <c r="L427" s="804"/>
    </row>
    <row r="428" spans="2:12" x14ac:dyDescent="0.25">
      <c r="B428" s="802"/>
      <c r="C428" s="802"/>
      <c r="D428" s="803"/>
      <c r="E428" s="803"/>
      <c r="F428" s="803"/>
      <c r="G428" s="803"/>
      <c r="H428" s="803"/>
      <c r="I428" s="803"/>
      <c r="J428" s="803"/>
      <c r="K428" s="803"/>
      <c r="L428" s="804"/>
    </row>
    <row r="429" spans="2:12" x14ac:dyDescent="0.25">
      <c r="B429" s="802"/>
      <c r="C429" s="802"/>
      <c r="D429" s="803"/>
      <c r="E429" s="803"/>
      <c r="F429" s="803"/>
      <c r="G429" s="803"/>
      <c r="H429" s="803"/>
      <c r="I429" s="803"/>
      <c r="J429" s="803"/>
      <c r="K429" s="803"/>
      <c r="L429" s="804"/>
    </row>
    <row r="430" spans="2:12" x14ac:dyDescent="0.25">
      <c r="B430" s="802"/>
      <c r="C430" s="802"/>
      <c r="D430" s="803"/>
      <c r="E430" s="803"/>
      <c r="F430" s="803"/>
      <c r="G430" s="803"/>
      <c r="H430" s="803"/>
      <c r="I430" s="803"/>
      <c r="J430" s="803"/>
      <c r="K430" s="803"/>
      <c r="L430" s="804"/>
    </row>
    <row r="431" spans="2:12" x14ac:dyDescent="0.25">
      <c r="B431" s="802"/>
      <c r="C431" s="802"/>
      <c r="D431" s="803"/>
      <c r="E431" s="803"/>
      <c r="F431" s="803"/>
      <c r="G431" s="803"/>
      <c r="H431" s="803"/>
      <c r="I431" s="803"/>
      <c r="J431" s="803"/>
      <c r="K431" s="803"/>
      <c r="L431" s="804"/>
    </row>
    <row r="432" spans="2:12" x14ac:dyDescent="0.25">
      <c r="B432" s="802"/>
      <c r="C432" s="802"/>
      <c r="D432" s="803"/>
      <c r="E432" s="803"/>
      <c r="F432" s="803"/>
      <c r="G432" s="803"/>
      <c r="H432" s="803"/>
      <c r="I432" s="803"/>
      <c r="J432" s="803"/>
      <c r="K432" s="803"/>
      <c r="L432" s="804"/>
    </row>
    <row r="433" spans="2:12" x14ac:dyDescent="0.25">
      <c r="B433" s="802"/>
      <c r="C433" s="802"/>
      <c r="D433" s="803"/>
      <c r="E433" s="803"/>
      <c r="F433" s="803"/>
      <c r="G433" s="803"/>
      <c r="H433" s="803"/>
      <c r="I433" s="803"/>
      <c r="J433" s="803"/>
      <c r="K433" s="803"/>
      <c r="L433" s="804"/>
    </row>
    <row r="434" spans="2:12" x14ac:dyDescent="0.25">
      <c r="B434" s="802"/>
      <c r="C434" s="802"/>
      <c r="D434" s="803"/>
      <c r="E434" s="803"/>
      <c r="F434" s="803"/>
      <c r="G434" s="803"/>
      <c r="H434" s="803"/>
      <c r="I434" s="803"/>
      <c r="J434" s="803"/>
      <c r="K434" s="803"/>
      <c r="L434" s="804"/>
    </row>
    <row r="435" spans="2:12" x14ac:dyDescent="0.25">
      <c r="B435" s="802"/>
      <c r="C435" s="802"/>
      <c r="D435" s="803"/>
      <c r="E435" s="803"/>
      <c r="F435" s="803"/>
      <c r="G435" s="803"/>
      <c r="H435" s="803"/>
      <c r="I435" s="803"/>
      <c r="J435" s="803"/>
      <c r="K435" s="803"/>
      <c r="L435" s="804"/>
    </row>
    <row r="436" spans="2:12" x14ac:dyDescent="0.25">
      <c r="B436" s="802"/>
      <c r="C436" s="802"/>
      <c r="D436" s="803"/>
      <c r="E436" s="803"/>
      <c r="F436" s="803"/>
      <c r="G436" s="803"/>
      <c r="H436" s="803"/>
      <c r="I436" s="803"/>
      <c r="J436" s="803"/>
      <c r="K436" s="803"/>
      <c r="L436" s="804"/>
    </row>
    <row r="437" spans="2:12" x14ac:dyDescent="0.25">
      <c r="B437" s="802"/>
      <c r="C437" s="802"/>
      <c r="D437" s="803"/>
      <c r="E437" s="803"/>
      <c r="F437" s="803"/>
      <c r="G437" s="803"/>
      <c r="H437" s="803"/>
      <c r="I437" s="803"/>
      <c r="J437" s="803"/>
      <c r="K437" s="803"/>
      <c r="L437" s="804"/>
    </row>
    <row r="438" spans="2:12" x14ac:dyDescent="0.25">
      <c r="B438" s="802"/>
      <c r="C438" s="802"/>
      <c r="D438" s="803"/>
      <c r="E438" s="803"/>
      <c r="F438" s="803"/>
      <c r="G438" s="803"/>
      <c r="H438" s="803"/>
      <c r="I438" s="803"/>
      <c r="J438" s="803"/>
      <c r="K438" s="803"/>
      <c r="L438" s="804"/>
    </row>
    <row r="439" spans="2:12" x14ac:dyDescent="0.25">
      <c r="B439" s="802"/>
      <c r="C439" s="802"/>
      <c r="D439" s="803"/>
      <c r="E439" s="803"/>
      <c r="F439" s="803"/>
      <c r="G439" s="803"/>
      <c r="H439" s="803"/>
      <c r="I439" s="803"/>
      <c r="J439" s="803"/>
      <c r="K439" s="803"/>
      <c r="L439" s="804"/>
    </row>
    <row r="440" spans="2:12" x14ac:dyDescent="0.25">
      <c r="B440" s="802"/>
      <c r="C440" s="802"/>
      <c r="D440" s="803"/>
      <c r="E440" s="803"/>
      <c r="F440" s="803"/>
      <c r="G440" s="803"/>
      <c r="H440" s="803"/>
      <c r="I440" s="803"/>
      <c r="J440" s="803"/>
      <c r="K440" s="803"/>
      <c r="L440" s="804"/>
    </row>
    <row r="441" spans="2:12" x14ac:dyDescent="0.25">
      <c r="B441" s="802"/>
      <c r="C441" s="802"/>
      <c r="D441" s="803"/>
      <c r="E441" s="803"/>
      <c r="F441" s="803"/>
      <c r="G441" s="803"/>
      <c r="H441" s="803"/>
      <c r="I441" s="803"/>
      <c r="J441" s="803"/>
      <c r="K441" s="803"/>
      <c r="L441" s="804"/>
    </row>
    <row r="442" spans="2:12" x14ac:dyDescent="0.25">
      <c r="B442" s="802"/>
      <c r="C442" s="802"/>
      <c r="D442" s="803"/>
      <c r="E442" s="803"/>
      <c r="F442" s="803"/>
      <c r="G442" s="803"/>
      <c r="H442" s="803"/>
      <c r="I442" s="803"/>
      <c r="J442" s="803"/>
      <c r="K442" s="803"/>
      <c r="L442" s="804"/>
    </row>
    <row r="443" spans="2:12" x14ac:dyDescent="0.25">
      <c r="B443" s="802"/>
      <c r="C443" s="802"/>
      <c r="D443" s="803"/>
      <c r="E443" s="803"/>
      <c r="F443" s="803"/>
      <c r="G443" s="803"/>
      <c r="H443" s="803"/>
      <c r="I443" s="803"/>
      <c r="J443" s="803"/>
      <c r="K443" s="803"/>
      <c r="L443" s="804"/>
    </row>
    <row r="444" spans="2:12" x14ac:dyDescent="0.25">
      <c r="B444" s="802"/>
      <c r="C444" s="802"/>
      <c r="D444" s="803"/>
      <c r="E444" s="803"/>
      <c r="F444" s="803"/>
      <c r="G444" s="803"/>
      <c r="H444" s="803"/>
      <c r="I444" s="803"/>
      <c r="J444" s="803"/>
      <c r="K444" s="803"/>
      <c r="L444" s="804"/>
    </row>
    <row r="445" spans="2:12" x14ac:dyDescent="0.25">
      <c r="B445" s="802"/>
      <c r="C445" s="802"/>
      <c r="D445" s="803"/>
      <c r="E445" s="803"/>
      <c r="F445" s="803"/>
      <c r="G445" s="803"/>
      <c r="H445" s="803"/>
      <c r="I445" s="803"/>
      <c r="J445" s="803"/>
      <c r="K445" s="803"/>
      <c r="L445" s="804"/>
    </row>
    <row r="446" spans="2:12" x14ac:dyDescent="0.25">
      <c r="B446" s="802"/>
      <c r="C446" s="802"/>
      <c r="D446" s="803"/>
      <c r="E446" s="803"/>
      <c r="F446" s="803"/>
      <c r="G446" s="803"/>
      <c r="H446" s="803"/>
      <c r="I446" s="803"/>
      <c r="J446" s="803"/>
      <c r="K446" s="803"/>
      <c r="L446" s="804"/>
    </row>
    <row r="447" spans="2:12" x14ac:dyDescent="0.25">
      <c r="B447" s="802"/>
      <c r="C447" s="802"/>
      <c r="D447" s="803"/>
      <c r="E447" s="803"/>
      <c r="F447" s="803"/>
      <c r="G447" s="803"/>
      <c r="H447" s="803"/>
      <c r="I447" s="803"/>
      <c r="J447" s="803"/>
      <c r="K447" s="803"/>
      <c r="L447" s="804"/>
    </row>
    <row r="448" spans="2:12" x14ac:dyDescent="0.25">
      <c r="B448" s="802"/>
      <c r="C448" s="802"/>
      <c r="D448" s="803"/>
      <c r="E448" s="803"/>
      <c r="F448" s="803"/>
      <c r="G448" s="803"/>
      <c r="H448" s="803"/>
      <c r="I448" s="803"/>
      <c r="J448" s="803"/>
      <c r="K448" s="803"/>
      <c r="L448" s="804"/>
    </row>
    <row r="449" spans="2:12" x14ac:dyDescent="0.25">
      <c r="B449" s="802"/>
      <c r="C449" s="802"/>
      <c r="D449" s="803"/>
      <c r="E449" s="803"/>
      <c r="F449" s="803"/>
      <c r="G449" s="803"/>
      <c r="H449" s="803"/>
      <c r="I449" s="803"/>
      <c r="J449" s="803"/>
      <c r="K449" s="803"/>
      <c r="L449" s="804"/>
    </row>
    <row r="450" spans="2:12" x14ac:dyDescent="0.25">
      <c r="B450" s="802"/>
      <c r="C450" s="802"/>
      <c r="D450" s="803"/>
      <c r="E450" s="803"/>
      <c r="F450" s="803"/>
      <c r="G450" s="803"/>
      <c r="H450" s="803"/>
      <c r="I450" s="803"/>
      <c r="J450" s="803"/>
      <c r="K450" s="803"/>
      <c r="L450" s="804"/>
    </row>
    <row r="451" spans="2:12" x14ac:dyDescent="0.25">
      <c r="B451" s="802"/>
      <c r="C451" s="802"/>
      <c r="D451" s="803"/>
      <c r="E451" s="803"/>
      <c r="F451" s="803"/>
      <c r="G451" s="803"/>
      <c r="H451" s="803"/>
      <c r="I451" s="803"/>
      <c r="J451" s="803"/>
      <c r="K451" s="803"/>
      <c r="L451" s="804"/>
    </row>
    <row r="452" spans="2:12" x14ac:dyDescent="0.25">
      <c r="B452" s="802"/>
      <c r="C452" s="802"/>
      <c r="D452" s="803"/>
      <c r="E452" s="803"/>
      <c r="F452" s="803"/>
      <c r="G452" s="803"/>
      <c r="H452" s="803"/>
      <c r="I452" s="803"/>
      <c r="J452" s="803"/>
      <c r="K452" s="803"/>
      <c r="L452" s="804"/>
    </row>
    <row r="453" spans="2:12" x14ac:dyDescent="0.25">
      <c r="B453" s="802"/>
      <c r="C453" s="802"/>
      <c r="D453" s="803"/>
      <c r="E453" s="803"/>
      <c r="F453" s="803"/>
      <c r="G453" s="803"/>
      <c r="H453" s="803"/>
      <c r="I453" s="803"/>
      <c r="J453" s="803"/>
      <c r="K453" s="803"/>
      <c r="L453" s="804"/>
    </row>
    <row r="454" spans="2:12" x14ac:dyDescent="0.25">
      <c r="B454" s="802"/>
      <c r="C454" s="802"/>
      <c r="D454" s="803"/>
      <c r="E454" s="803"/>
      <c r="F454" s="803"/>
      <c r="G454" s="803"/>
      <c r="H454" s="803"/>
      <c r="I454" s="803"/>
      <c r="J454" s="803"/>
      <c r="K454" s="803"/>
      <c r="L454" s="804"/>
    </row>
    <row r="455" spans="2:12" x14ac:dyDescent="0.25">
      <c r="B455" s="802"/>
      <c r="C455" s="802"/>
      <c r="D455" s="803"/>
      <c r="E455" s="803"/>
      <c r="F455" s="803"/>
      <c r="G455" s="803"/>
      <c r="H455" s="803"/>
      <c r="I455" s="803"/>
      <c r="J455" s="803"/>
      <c r="K455" s="803"/>
      <c r="L455" s="804"/>
    </row>
    <row r="456" spans="2:12" x14ac:dyDescent="0.25">
      <c r="B456" s="802"/>
      <c r="C456" s="802"/>
      <c r="D456" s="803"/>
      <c r="E456" s="803"/>
      <c r="F456" s="803"/>
      <c r="G456" s="803"/>
      <c r="H456" s="803"/>
      <c r="I456" s="803"/>
      <c r="J456" s="803"/>
      <c r="K456" s="803"/>
      <c r="L456" s="804"/>
    </row>
    <row r="457" spans="2:12" x14ac:dyDescent="0.25">
      <c r="B457" s="802"/>
      <c r="C457" s="802"/>
      <c r="D457" s="803"/>
      <c r="E457" s="803"/>
      <c r="F457" s="803"/>
      <c r="G457" s="803"/>
      <c r="H457" s="803"/>
      <c r="I457" s="803"/>
      <c r="J457" s="803"/>
      <c r="K457" s="803"/>
      <c r="L457" s="804"/>
    </row>
    <row r="458" spans="2:12" x14ac:dyDescent="0.25">
      <c r="B458" s="802"/>
      <c r="C458" s="802"/>
      <c r="D458" s="803"/>
      <c r="E458" s="803"/>
      <c r="F458" s="803"/>
      <c r="G458" s="803"/>
      <c r="H458" s="803"/>
      <c r="I458" s="803"/>
      <c r="J458" s="803"/>
      <c r="K458" s="803"/>
      <c r="L458" s="804"/>
    </row>
    <row r="459" spans="2:12" x14ac:dyDescent="0.25">
      <c r="B459" s="802"/>
      <c r="C459" s="802"/>
      <c r="D459" s="803"/>
      <c r="E459" s="803"/>
      <c r="F459" s="803"/>
      <c r="G459" s="803"/>
      <c r="H459" s="803"/>
      <c r="I459" s="803"/>
      <c r="J459" s="803"/>
      <c r="K459" s="803"/>
      <c r="L459" s="804"/>
    </row>
    <row r="460" spans="2:12" x14ac:dyDescent="0.25">
      <c r="B460" s="802"/>
      <c r="C460" s="802"/>
      <c r="D460" s="803"/>
      <c r="E460" s="803"/>
      <c r="F460" s="803"/>
      <c r="G460" s="803"/>
      <c r="H460" s="803"/>
      <c r="I460" s="803"/>
      <c r="J460" s="803"/>
      <c r="K460" s="803"/>
      <c r="L460" s="804"/>
    </row>
    <row r="461" spans="2:12" x14ac:dyDescent="0.25">
      <c r="B461" s="802"/>
      <c r="C461" s="802"/>
      <c r="D461" s="803"/>
      <c r="E461" s="803"/>
      <c r="F461" s="803"/>
      <c r="G461" s="803"/>
      <c r="H461" s="803"/>
      <c r="I461" s="803"/>
      <c r="J461" s="803"/>
      <c r="K461" s="803"/>
      <c r="L461" s="804"/>
    </row>
    <row r="462" spans="2:12" x14ac:dyDescent="0.25">
      <c r="B462" s="802"/>
      <c r="C462" s="802"/>
      <c r="D462" s="803"/>
      <c r="E462" s="803"/>
      <c r="F462" s="803"/>
      <c r="G462" s="803"/>
      <c r="H462" s="803"/>
      <c r="I462" s="803"/>
      <c r="J462" s="803"/>
      <c r="K462" s="803"/>
      <c r="L462" s="804"/>
    </row>
    <row r="463" spans="2:12" x14ac:dyDescent="0.25">
      <c r="B463" s="802"/>
      <c r="C463" s="802"/>
      <c r="D463" s="803"/>
      <c r="E463" s="803"/>
      <c r="F463" s="803"/>
      <c r="G463" s="803"/>
      <c r="H463" s="803"/>
      <c r="I463" s="803"/>
      <c r="J463" s="803"/>
      <c r="K463" s="803"/>
      <c r="L463" s="804"/>
    </row>
    <row r="464" spans="2:12" x14ac:dyDescent="0.25">
      <c r="B464" s="802"/>
      <c r="C464" s="802"/>
      <c r="D464" s="803"/>
      <c r="E464" s="803"/>
      <c r="F464" s="803"/>
      <c r="G464" s="803"/>
      <c r="H464" s="803"/>
      <c r="I464" s="803"/>
      <c r="J464" s="803"/>
      <c r="K464" s="803"/>
      <c r="L464" s="804"/>
    </row>
    <row r="465" spans="2:12" x14ac:dyDescent="0.25">
      <c r="B465" s="802"/>
      <c r="C465" s="802"/>
      <c r="D465" s="803"/>
      <c r="E465" s="803"/>
      <c r="F465" s="803"/>
      <c r="G465" s="803"/>
      <c r="H465" s="803"/>
      <c r="I465" s="803"/>
      <c r="J465" s="803"/>
      <c r="K465" s="803"/>
      <c r="L465" s="804"/>
    </row>
    <row r="466" spans="2:12" x14ac:dyDescent="0.25">
      <c r="B466" s="802"/>
      <c r="C466" s="802"/>
      <c r="D466" s="803"/>
      <c r="E466" s="803"/>
      <c r="F466" s="803"/>
      <c r="G466" s="803"/>
      <c r="H466" s="803"/>
      <c r="I466" s="803"/>
      <c r="J466" s="803"/>
      <c r="K466" s="803"/>
      <c r="L466" s="804"/>
    </row>
    <row r="467" spans="2:12" x14ac:dyDescent="0.25">
      <c r="B467" s="802"/>
      <c r="C467" s="802"/>
      <c r="D467" s="803"/>
      <c r="E467" s="803"/>
      <c r="F467" s="803"/>
      <c r="G467" s="803"/>
      <c r="H467" s="803"/>
      <c r="I467" s="803"/>
      <c r="J467" s="803"/>
      <c r="K467" s="803"/>
      <c r="L467" s="804"/>
    </row>
    <row r="468" spans="2:12" x14ac:dyDescent="0.25">
      <c r="B468" s="802"/>
      <c r="C468" s="802"/>
      <c r="D468" s="803"/>
      <c r="E468" s="803"/>
      <c r="F468" s="803"/>
      <c r="G468" s="803"/>
      <c r="H468" s="803"/>
      <c r="I468" s="803"/>
      <c r="J468" s="803"/>
      <c r="K468" s="803"/>
      <c r="L468" s="804"/>
    </row>
    <row r="469" spans="2:12" x14ac:dyDescent="0.25">
      <c r="B469" s="802"/>
      <c r="C469" s="802"/>
      <c r="D469" s="803"/>
      <c r="E469" s="803"/>
      <c r="F469" s="803"/>
      <c r="G469" s="803"/>
      <c r="H469" s="803"/>
      <c r="I469" s="803"/>
      <c r="J469" s="803"/>
      <c r="K469" s="803"/>
      <c r="L469" s="804"/>
    </row>
    <row r="470" spans="2:12" x14ac:dyDescent="0.25">
      <c r="B470" s="802"/>
      <c r="C470" s="802"/>
      <c r="D470" s="803"/>
      <c r="E470" s="803"/>
      <c r="F470" s="803"/>
      <c r="G470" s="803"/>
      <c r="H470" s="803"/>
      <c r="I470" s="803"/>
      <c r="J470" s="803"/>
      <c r="K470" s="803"/>
      <c r="L470" s="804"/>
    </row>
    <row r="471" spans="2:12" x14ac:dyDescent="0.25">
      <c r="B471" s="802"/>
      <c r="C471" s="802"/>
      <c r="D471" s="803"/>
      <c r="E471" s="803"/>
      <c r="F471" s="803"/>
      <c r="G471" s="803"/>
      <c r="H471" s="803"/>
      <c r="I471" s="803"/>
      <c r="J471" s="803"/>
      <c r="K471" s="803"/>
      <c r="L471" s="804"/>
    </row>
    <row r="472" spans="2:12" x14ac:dyDescent="0.25">
      <c r="B472" s="802"/>
      <c r="C472" s="802"/>
      <c r="D472" s="803"/>
      <c r="E472" s="803"/>
      <c r="F472" s="803"/>
      <c r="G472" s="803"/>
      <c r="H472" s="803"/>
      <c r="I472" s="803"/>
      <c r="J472" s="803"/>
      <c r="K472" s="803"/>
      <c r="L472" s="804"/>
    </row>
    <row r="473" spans="2:12" x14ac:dyDescent="0.25">
      <c r="B473" s="802"/>
      <c r="C473" s="802"/>
      <c r="D473" s="803"/>
      <c r="E473" s="803"/>
      <c r="F473" s="803"/>
      <c r="G473" s="803"/>
      <c r="H473" s="803"/>
      <c r="I473" s="803"/>
      <c r="J473" s="803"/>
      <c r="K473" s="803"/>
      <c r="L473" s="804"/>
    </row>
    <row r="474" spans="2:12" x14ac:dyDescent="0.25">
      <c r="B474" s="802"/>
      <c r="C474" s="802"/>
      <c r="D474" s="803"/>
      <c r="E474" s="803"/>
      <c r="F474" s="803"/>
      <c r="G474" s="803"/>
      <c r="H474" s="803"/>
      <c r="I474" s="803"/>
      <c r="J474" s="803"/>
      <c r="K474" s="803"/>
      <c r="L474" s="804"/>
    </row>
    <row r="475" spans="2:12" x14ac:dyDescent="0.25">
      <c r="B475" s="802"/>
      <c r="C475" s="802"/>
      <c r="D475" s="803"/>
      <c r="E475" s="803"/>
      <c r="F475" s="803"/>
      <c r="G475" s="803"/>
      <c r="H475" s="803"/>
      <c r="I475" s="803"/>
      <c r="J475" s="803"/>
      <c r="K475" s="803"/>
      <c r="L475" s="804"/>
    </row>
    <row r="476" spans="2:12" x14ac:dyDescent="0.25">
      <c r="B476" s="802"/>
      <c r="C476" s="802"/>
      <c r="D476" s="803"/>
      <c r="E476" s="803"/>
      <c r="F476" s="803"/>
      <c r="G476" s="803"/>
      <c r="H476" s="803"/>
      <c r="I476" s="803"/>
      <c r="J476" s="803"/>
      <c r="K476" s="803"/>
      <c r="L476" s="804"/>
    </row>
    <row r="477" spans="2:12" x14ac:dyDescent="0.25">
      <c r="B477" s="802"/>
      <c r="C477" s="802"/>
      <c r="D477" s="803"/>
      <c r="E477" s="803"/>
      <c r="F477" s="803"/>
      <c r="G477" s="803"/>
      <c r="H477" s="803"/>
      <c r="I477" s="803"/>
      <c r="J477" s="803"/>
      <c r="K477" s="803"/>
      <c r="L477" s="804"/>
    </row>
    <row r="478" spans="2:12" x14ac:dyDescent="0.25">
      <c r="B478" s="802"/>
      <c r="C478" s="802"/>
      <c r="D478" s="803"/>
      <c r="E478" s="803"/>
      <c r="F478" s="803"/>
      <c r="G478" s="803"/>
      <c r="H478" s="803"/>
      <c r="I478" s="803"/>
      <c r="J478" s="803"/>
      <c r="K478" s="803"/>
      <c r="L478" s="804"/>
    </row>
    <row r="479" spans="2:12" x14ac:dyDescent="0.25">
      <c r="B479" s="802"/>
      <c r="C479" s="802"/>
      <c r="D479" s="803"/>
      <c r="E479" s="803"/>
      <c r="F479" s="803"/>
      <c r="G479" s="803"/>
      <c r="H479" s="803"/>
      <c r="I479" s="803"/>
      <c r="J479" s="803"/>
      <c r="K479" s="803"/>
      <c r="L479" s="804"/>
    </row>
    <row r="480" spans="2:12" x14ac:dyDescent="0.25">
      <c r="B480" s="802"/>
      <c r="C480" s="802"/>
      <c r="D480" s="803"/>
      <c r="E480" s="803"/>
      <c r="F480" s="803"/>
      <c r="G480" s="803"/>
      <c r="H480" s="803"/>
      <c r="I480" s="803"/>
      <c r="J480" s="803"/>
      <c r="K480" s="803"/>
      <c r="L480" s="804"/>
    </row>
    <row r="481" spans="2:12" x14ac:dyDescent="0.25">
      <c r="B481" s="802"/>
      <c r="C481" s="802"/>
      <c r="D481" s="803"/>
      <c r="E481" s="803"/>
      <c r="F481" s="803"/>
      <c r="G481" s="803"/>
      <c r="H481" s="803"/>
      <c r="I481" s="803"/>
      <c r="J481" s="803"/>
      <c r="K481" s="803"/>
      <c r="L481" s="804"/>
    </row>
    <row r="482" spans="2:12" x14ac:dyDescent="0.25">
      <c r="B482" s="802"/>
      <c r="C482" s="802"/>
      <c r="D482" s="803"/>
      <c r="E482" s="803"/>
      <c r="F482" s="803"/>
      <c r="G482" s="803"/>
      <c r="H482" s="803"/>
      <c r="I482" s="803"/>
      <c r="J482" s="803"/>
      <c r="K482" s="803"/>
      <c r="L482" s="804"/>
    </row>
    <row r="483" spans="2:12" x14ac:dyDescent="0.25">
      <c r="B483" s="802"/>
      <c r="C483" s="802"/>
      <c r="D483" s="803"/>
      <c r="E483" s="803"/>
      <c r="F483" s="803"/>
      <c r="G483" s="803"/>
      <c r="H483" s="803"/>
      <c r="I483" s="803"/>
      <c r="J483" s="803"/>
      <c r="K483" s="803"/>
      <c r="L483" s="804"/>
    </row>
    <row r="484" spans="2:12" x14ac:dyDescent="0.25">
      <c r="B484" s="802"/>
      <c r="C484" s="802"/>
      <c r="D484" s="803"/>
      <c r="E484" s="803"/>
      <c r="F484" s="803"/>
      <c r="G484" s="803"/>
      <c r="H484" s="803"/>
      <c r="I484" s="803"/>
      <c r="J484" s="803"/>
      <c r="K484" s="803"/>
      <c r="L484" s="804"/>
    </row>
    <row r="485" spans="2:12" x14ac:dyDescent="0.25">
      <c r="B485" s="802"/>
      <c r="C485" s="802"/>
      <c r="D485" s="803"/>
      <c r="E485" s="803"/>
      <c r="F485" s="803"/>
      <c r="G485" s="803"/>
      <c r="H485" s="803"/>
      <c r="I485" s="803"/>
      <c r="J485" s="803"/>
      <c r="K485" s="803"/>
      <c r="L485" s="804"/>
    </row>
    <row r="486" spans="2:12" x14ac:dyDescent="0.25">
      <c r="B486" s="802"/>
      <c r="C486" s="802"/>
      <c r="D486" s="803"/>
      <c r="E486" s="803"/>
      <c r="F486" s="803"/>
      <c r="G486" s="803"/>
      <c r="H486" s="803"/>
      <c r="I486" s="803"/>
      <c r="J486" s="803"/>
      <c r="K486" s="803"/>
      <c r="L486" s="804"/>
    </row>
    <row r="487" spans="2:12" x14ac:dyDescent="0.25">
      <c r="B487" s="802"/>
      <c r="C487" s="802"/>
      <c r="D487" s="803"/>
      <c r="E487" s="803"/>
      <c r="F487" s="803"/>
      <c r="G487" s="803"/>
      <c r="H487" s="803"/>
      <c r="I487" s="803"/>
      <c r="J487" s="803"/>
      <c r="K487" s="803"/>
      <c r="L487" s="804"/>
    </row>
    <row r="488" spans="2:12" x14ac:dyDescent="0.25">
      <c r="B488" s="802"/>
      <c r="C488" s="802"/>
      <c r="D488" s="803"/>
      <c r="E488" s="803"/>
      <c r="F488" s="803"/>
      <c r="G488" s="803"/>
      <c r="H488" s="803"/>
      <c r="I488" s="803"/>
      <c r="J488" s="803"/>
      <c r="K488" s="803"/>
      <c r="L488" s="804"/>
    </row>
    <row r="489" spans="2:12" x14ac:dyDescent="0.25">
      <c r="B489" s="802"/>
      <c r="C489" s="802"/>
      <c r="D489" s="803"/>
      <c r="E489" s="803"/>
      <c r="F489" s="803"/>
      <c r="G489" s="803"/>
      <c r="H489" s="803"/>
      <c r="I489" s="803"/>
      <c r="J489" s="803"/>
      <c r="K489" s="803"/>
      <c r="L489" s="804"/>
    </row>
    <row r="490" spans="2:12" x14ac:dyDescent="0.25">
      <c r="B490" s="802"/>
      <c r="C490" s="802"/>
      <c r="D490" s="803"/>
      <c r="E490" s="803"/>
      <c r="F490" s="803"/>
      <c r="G490" s="803"/>
      <c r="H490" s="803"/>
      <c r="I490" s="803"/>
      <c r="J490" s="803"/>
      <c r="K490" s="803"/>
      <c r="L490" s="804"/>
    </row>
    <row r="491" spans="2:12" x14ac:dyDescent="0.25">
      <c r="B491" s="802"/>
      <c r="C491" s="802"/>
      <c r="D491" s="803"/>
      <c r="E491" s="803"/>
      <c r="F491" s="803"/>
      <c r="G491" s="803"/>
      <c r="H491" s="803"/>
      <c r="I491" s="803"/>
      <c r="J491" s="803"/>
      <c r="K491" s="803"/>
      <c r="L491" s="804"/>
    </row>
    <row r="492" spans="2:12" x14ac:dyDescent="0.25">
      <c r="B492" s="802"/>
      <c r="C492" s="802"/>
      <c r="D492" s="803"/>
      <c r="E492" s="803"/>
      <c r="F492" s="803"/>
      <c r="G492" s="803"/>
      <c r="H492" s="803"/>
      <c r="I492" s="803"/>
      <c r="J492" s="803"/>
      <c r="K492" s="803"/>
      <c r="L492" s="804"/>
    </row>
    <row r="493" spans="2:12" x14ac:dyDescent="0.25">
      <c r="B493" s="802"/>
      <c r="C493" s="802"/>
      <c r="D493" s="803"/>
      <c r="E493" s="803"/>
      <c r="F493" s="803"/>
      <c r="G493" s="803"/>
      <c r="H493" s="803"/>
      <c r="I493" s="803"/>
      <c r="J493" s="803"/>
      <c r="K493" s="803"/>
      <c r="L493" s="804"/>
    </row>
    <row r="494" spans="2:12" x14ac:dyDescent="0.25">
      <c r="B494" s="802"/>
      <c r="C494" s="802"/>
      <c r="D494" s="803"/>
      <c r="E494" s="803"/>
      <c r="F494" s="803"/>
      <c r="G494" s="803"/>
      <c r="H494" s="803"/>
      <c r="I494" s="803"/>
      <c r="J494" s="803"/>
      <c r="K494" s="803"/>
      <c r="L494" s="804"/>
    </row>
    <row r="495" spans="2:12" x14ac:dyDescent="0.25">
      <c r="B495" s="802"/>
      <c r="C495" s="802"/>
      <c r="D495" s="803"/>
      <c r="E495" s="803"/>
      <c r="F495" s="803"/>
      <c r="G495" s="803"/>
      <c r="H495" s="803"/>
      <c r="I495" s="803"/>
      <c r="J495" s="803"/>
      <c r="K495" s="803"/>
      <c r="L495" s="804"/>
    </row>
    <row r="496" spans="2:12" x14ac:dyDescent="0.25">
      <c r="B496" s="802"/>
      <c r="C496" s="802"/>
      <c r="D496" s="803"/>
      <c r="E496" s="803"/>
      <c r="F496" s="803"/>
      <c r="G496" s="803"/>
      <c r="H496" s="803"/>
      <c r="I496" s="803"/>
      <c r="J496" s="803"/>
      <c r="K496" s="803"/>
      <c r="L496" s="804"/>
    </row>
    <row r="497" spans="2:12" x14ac:dyDescent="0.25">
      <c r="B497" s="802"/>
      <c r="C497" s="802"/>
      <c r="D497" s="803"/>
      <c r="E497" s="803"/>
      <c r="F497" s="803"/>
      <c r="G497" s="803"/>
      <c r="H497" s="803"/>
      <c r="I497" s="803"/>
      <c r="J497" s="803"/>
      <c r="K497" s="803"/>
      <c r="L497" s="804"/>
    </row>
    <row r="498" spans="2:12" x14ac:dyDescent="0.25">
      <c r="B498" s="802"/>
      <c r="C498" s="802"/>
      <c r="D498" s="803"/>
      <c r="E498" s="803"/>
      <c r="F498" s="803"/>
      <c r="G498" s="803"/>
      <c r="H498" s="803"/>
      <c r="I498" s="803"/>
      <c r="J498" s="803"/>
      <c r="K498" s="803"/>
      <c r="L498" s="804"/>
    </row>
    <row r="499" spans="2:12" x14ac:dyDescent="0.25">
      <c r="B499" s="802"/>
      <c r="C499" s="802"/>
      <c r="D499" s="803"/>
      <c r="E499" s="803"/>
      <c r="F499" s="803"/>
      <c r="G499" s="803"/>
      <c r="H499" s="803"/>
      <c r="I499" s="803"/>
      <c r="J499" s="803"/>
      <c r="K499" s="803"/>
      <c r="L499" s="804"/>
    </row>
    <row r="500" spans="2:12" x14ac:dyDescent="0.25">
      <c r="B500" s="802"/>
      <c r="C500" s="802"/>
      <c r="D500" s="803"/>
      <c r="E500" s="803"/>
      <c r="F500" s="803"/>
      <c r="G500" s="803"/>
      <c r="H500" s="803"/>
      <c r="I500" s="803"/>
      <c r="J500" s="803"/>
      <c r="K500" s="803"/>
      <c r="L500" s="804"/>
    </row>
    <row r="501" spans="2:12" x14ac:dyDescent="0.25">
      <c r="B501" s="802"/>
      <c r="C501" s="802"/>
      <c r="D501" s="803"/>
      <c r="E501" s="803"/>
      <c r="F501" s="803"/>
      <c r="G501" s="803"/>
      <c r="H501" s="803"/>
      <c r="I501" s="803"/>
      <c r="J501" s="803"/>
      <c r="K501" s="803"/>
      <c r="L501" s="804"/>
    </row>
    <row r="502" spans="2:12" x14ac:dyDescent="0.25">
      <c r="B502" s="802"/>
      <c r="C502" s="802"/>
      <c r="D502" s="803"/>
      <c r="E502" s="803"/>
      <c r="F502" s="803"/>
      <c r="G502" s="803"/>
      <c r="H502" s="803"/>
      <c r="I502" s="803"/>
      <c r="J502" s="803"/>
      <c r="K502" s="803"/>
      <c r="L502" s="804"/>
    </row>
    <row r="503" spans="2:12" x14ac:dyDescent="0.25">
      <c r="B503" s="802"/>
      <c r="C503" s="802"/>
      <c r="D503" s="803"/>
      <c r="E503" s="803"/>
      <c r="F503" s="803"/>
      <c r="G503" s="803"/>
      <c r="H503" s="803"/>
      <c r="I503" s="803"/>
      <c r="J503" s="803"/>
      <c r="K503" s="803"/>
      <c r="L503" s="804"/>
    </row>
    <row r="504" spans="2:12" x14ac:dyDescent="0.25">
      <c r="B504" s="802"/>
      <c r="C504" s="802"/>
      <c r="D504" s="803"/>
      <c r="E504" s="803"/>
      <c r="F504" s="803"/>
      <c r="G504" s="803"/>
      <c r="H504" s="803"/>
      <c r="I504" s="803"/>
      <c r="J504" s="803"/>
      <c r="K504" s="803"/>
      <c r="L504" s="804"/>
    </row>
    <row r="505" spans="2:12" x14ac:dyDescent="0.25">
      <c r="B505" s="802"/>
      <c r="C505" s="802"/>
      <c r="D505" s="803"/>
      <c r="E505" s="803"/>
      <c r="F505" s="803"/>
      <c r="G505" s="803"/>
      <c r="H505" s="803"/>
      <c r="I505" s="803"/>
      <c r="J505" s="803"/>
      <c r="K505" s="803"/>
      <c r="L505" s="804"/>
    </row>
    <row r="506" spans="2:12" x14ac:dyDescent="0.25">
      <c r="B506" s="802"/>
      <c r="C506" s="802"/>
      <c r="D506" s="803"/>
      <c r="E506" s="803"/>
      <c r="F506" s="803"/>
      <c r="G506" s="803"/>
      <c r="H506" s="803"/>
      <c r="I506" s="803"/>
      <c r="J506" s="803"/>
      <c r="K506" s="803"/>
      <c r="L506" s="804"/>
    </row>
    <row r="507" spans="2:12" x14ac:dyDescent="0.25">
      <c r="B507" s="802"/>
      <c r="C507" s="802"/>
      <c r="D507" s="803"/>
      <c r="E507" s="803"/>
      <c r="F507" s="803"/>
      <c r="G507" s="803"/>
      <c r="H507" s="803"/>
      <c r="I507" s="803"/>
      <c r="J507" s="803"/>
      <c r="K507" s="803"/>
      <c r="L507" s="804"/>
    </row>
    <row r="508" spans="2:12" x14ac:dyDescent="0.25">
      <c r="B508" s="802"/>
      <c r="C508" s="802"/>
      <c r="D508" s="803"/>
      <c r="E508" s="803"/>
      <c r="F508" s="803"/>
      <c r="G508" s="803"/>
      <c r="H508" s="803"/>
      <c r="I508" s="803"/>
      <c r="J508" s="803"/>
      <c r="K508" s="803"/>
      <c r="L508" s="804"/>
    </row>
    <row r="509" spans="2:12" x14ac:dyDescent="0.25">
      <c r="B509" s="802"/>
      <c r="C509" s="802"/>
      <c r="D509" s="803"/>
      <c r="E509" s="803"/>
      <c r="F509" s="803"/>
      <c r="G509" s="803"/>
      <c r="H509" s="803"/>
      <c r="I509" s="803"/>
      <c r="J509" s="803"/>
      <c r="K509" s="803"/>
      <c r="L509" s="804"/>
    </row>
    <row r="510" spans="2:12" x14ac:dyDescent="0.25">
      <c r="B510" s="802"/>
      <c r="C510" s="802"/>
      <c r="D510" s="803"/>
      <c r="E510" s="803"/>
      <c r="F510" s="803"/>
      <c r="G510" s="803"/>
      <c r="H510" s="803"/>
      <c r="I510" s="803"/>
      <c r="J510" s="803"/>
      <c r="K510" s="803"/>
      <c r="L510" s="804"/>
    </row>
    <row r="511" spans="2:12" x14ac:dyDescent="0.25">
      <c r="B511" s="802"/>
      <c r="C511" s="802"/>
      <c r="D511" s="803"/>
      <c r="E511" s="803"/>
      <c r="F511" s="803"/>
      <c r="G511" s="803"/>
      <c r="H511" s="803"/>
      <c r="I511" s="803"/>
      <c r="J511" s="803"/>
      <c r="K511" s="803"/>
      <c r="L511" s="804"/>
    </row>
    <row r="512" spans="2:12" x14ac:dyDescent="0.25">
      <c r="B512" s="802"/>
      <c r="C512" s="802"/>
      <c r="D512" s="803"/>
      <c r="E512" s="803"/>
      <c r="F512" s="803"/>
      <c r="G512" s="803"/>
      <c r="H512" s="803"/>
      <c r="I512" s="803"/>
      <c r="J512" s="803"/>
      <c r="K512" s="803"/>
      <c r="L512" s="804"/>
    </row>
    <row r="513" spans="2:12" x14ac:dyDescent="0.25">
      <c r="B513" s="802"/>
      <c r="C513" s="802"/>
      <c r="D513" s="803"/>
      <c r="E513" s="803"/>
      <c r="F513" s="803"/>
      <c r="G513" s="803"/>
      <c r="H513" s="803"/>
      <c r="I513" s="803"/>
      <c r="J513" s="803"/>
      <c r="K513" s="803"/>
      <c r="L513" s="804"/>
    </row>
    <row r="514" spans="2:12" x14ac:dyDescent="0.25">
      <c r="B514" s="802"/>
      <c r="C514" s="802"/>
      <c r="D514" s="803"/>
      <c r="E514" s="803"/>
      <c r="F514" s="803"/>
      <c r="G514" s="803"/>
      <c r="H514" s="803"/>
      <c r="I514" s="803"/>
      <c r="J514" s="803"/>
      <c r="K514" s="803"/>
      <c r="L514" s="804"/>
    </row>
    <row r="515" spans="2:12" x14ac:dyDescent="0.25">
      <c r="B515" s="802"/>
      <c r="C515" s="802"/>
      <c r="D515" s="803"/>
      <c r="E515" s="803"/>
      <c r="F515" s="803"/>
      <c r="G515" s="803"/>
      <c r="H515" s="803"/>
      <c r="I515" s="803"/>
      <c r="J515" s="803"/>
      <c r="K515" s="803"/>
      <c r="L515" s="804"/>
    </row>
    <row r="516" spans="2:12" x14ac:dyDescent="0.25">
      <c r="B516" s="802"/>
      <c r="C516" s="802"/>
      <c r="D516" s="803"/>
      <c r="E516" s="803"/>
      <c r="F516" s="803"/>
      <c r="G516" s="803"/>
      <c r="H516" s="803"/>
      <c r="I516" s="803"/>
      <c r="J516" s="803"/>
      <c r="K516" s="803"/>
      <c r="L516" s="804"/>
    </row>
    <row r="517" spans="2:12" x14ac:dyDescent="0.25">
      <c r="B517" s="802"/>
      <c r="C517" s="802"/>
      <c r="D517" s="803"/>
      <c r="E517" s="803"/>
      <c r="F517" s="803"/>
      <c r="G517" s="803"/>
      <c r="H517" s="803"/>
      <c r="I517" s="803"/>
      <c r="J517" s="803"/>
      <c r="K517" s="803"/>
      <c r="L517" s="804"/>
    </row>
    <row r="518" spans="2:12" x14ac:dyDescent="0.25">
      <c r="B518" s="802"/>
      <c r="C518" s="802"/>
      <c r="D518" s="803"/>
      <c r="E518" s="803"/>
      <c r="F518" s="803"/>
      <c r="G518" s="803"/>
      <c r="H518" s="803"/>
      <c r="I518" s="803"/>
      <c r="J518" s="803"/>
      <c r="K518" s="803"/>
      <c r="L518" s="804"/>
    </row>
    <row r="519" spans="2:12" x14ac:dyDescent="0.25">
      <c r="B519" s="802"/>
      <c r="C519" s="802"/>
      <c r="D519" s="803"/>
      <c r="E519" s="803"/>
      <c r="F519" s="803"/>
      <c r="G519" s="803"/>
      <c r="H519" s="803"/>
      <c r="I519" s="803"/>
      <c r="J519" s="803"/>
      <c r="K519" s="803"/>
      <c r="L519" s="804"/>
    </row>
    <row r="520" spans="2:12" x14ac:dyDescent="0.25">
      <c r="B520" s="802"/>
      <c r="C520" s="802"/>
      <c r="D520" s="803"/>
      <c r="E520" s="803"/>
      <c r="F520" s="803"/>
      <c r="G520" s="803"/>
      <c r="H520" s="803"/>
      <c r="I520" s="803"/>
      <c r="J520" s="803"/>
      <c r="K520" s="803"/>
      <c r="L520" s="804"/>
    </row>
    <row r="521" spans="2:12" x14ac:dyDescent="0.25">
      <c r="B521" s="802"/>
      <c r="C521" s="802"/>
      <c r="D521" s="803"/>
      <c r="E521" s="803"/>
      <c r="F521" s="803"/>
      <c r="G521" s="803"/>
      <c r="H521" s="803"/>
      <c r="I521" s="803"/>
      <c r="J521" s="803"/>
      <c r="K521" s="803"/>
      <c r="L521" s="804"/>
    </row>
    <row r="522" spans="2:12" x14ac:dyDescent="0.25">
      <c r="B522" s="802"/>
      <c r="C522" s="802"/>
      <c r="D522" s="803"/>
      <c r="E522" s="803"/>
      <c r="F522" s="803"/>
      <c r="G522" s="803"/>
      <c r="H522" s="803"/>
      <c r="I522" s="803"/>
      <c r="J522" s="803"/>
      <c r="K522" s="803"/>
      <c r="L522" s="804"/>
    </row>
    <row r="523" spans="2:12" x14ac:dyDescent="0.25">
      <c r="B523" s="802"/>
      <c r="C523" s="802"/>
      <c r="D523" s="803"/>
      <c r="E523" s="803"/>
      <c r="F523" s="803"/>
      <c r="G523" s="803"/>
      <c r="H523" s="803"/>
      <c r="I523" s="803"/>
      <c r="J523" s="803"/>
      <c r="K523" s="803"/>
      <c r="L523" s="804"/>
    </row>
    <row r="524" spans="2:12" x14ac:dyDescent="0.25">
      <c r="B524" s="802"/>
      <c r="C524" s="802"/>
      <c r="D524" s="803"/>
      <c r="E524" s="803"/>
      <c r="F524" s="803"/>
      <c r="G524" s="803"/>
      <c r="H524" s="803"/>
      <c r="I524" s="803"/>
      <c r="J524" s="803"/>
      <c r="K524" s="803"/>
      <c r="L524" s="804"/>
    </row>
    <row r="525" spans="2:12" x14ac:dyDescent="0.25">
      <c r="B525" s="802"/>
      <c r="C525" s="802"/>
      <c r="D525" s="803"/>
      <c r="E525" s="803"/>
      <c r="F525" s="803"/>
      <c r="G525" s="803"/>
      <c r="H525" s="803"/>
      <c r="I525" s="803"/>
      <c r="J525" s="803"/>
      <c r="K525" s="803"/>
      <c r="L525" s="804"/>
    </row>
    <row r="526" spans="2:12" x14ac:dyDescent="0.25">
      <c r="B526" s="802"/>
      <c r="C526" s="802"/>
      <c r="D526" s="803"/>
      <c r="E526" s="803"/>
      <c r="F526" s="803"/>
      <c r="G526" s="803"/>
      <c r="H526" s="803"/>
      <c r="I526" s="803"/>
      <c r="J526" s="803"/>
      <c r="K526" s="803"/>
      <c r="L526" s="804"/>
    </row>
    <row r="527" spans="2:12" x14ac:dyDescent="0.25">
      <c r="B527" s="802"/>
      <c r="C527" s="802"/>
      <c r="D527" s="803"/>
      <c r="E527" s="803"/>
      <c r="F527" s="803"/>
      <c r="G527" s="803"/>
      <c r="H527" s="803"/>
      <c r="I527" s="803"/>
      <c r="J527" s="803"/>
      <c r="K527" s="803"/>
      <c r="L527" s="804"/>
    </row>
    <row r="528" spans="2:12" x14ac:dyDescent="0.25">
      <c r="B528" s="802"/>
      <c r="C528" s="802"/>
      <c r="D528" s="803"/>
      <c r="E528" s="803"/>
      <c r="F528" s="803"/>
      <c r="G528" s="803"/>
      <c r="H528" s="803"/>
      <c r="I528" s="803"/>
      <c r="J528" s="803"/>
      <c r="K528" s="803"/>
      <c r="L528" s="804"/>
    </row>
    <row r="529" spans="2:12" x14ac:dyDescent="0.25">
      <c r="B529" s="802"/>
      <c r="C529" s="802"/>
      <c r="D529" s="803"/>
      <c r="E529" s="803"/>
      <c r="F529" s="803"/>
      <c r="G529" s="803"/>
      <c r="H529" s="803"/>
      <c r="I529" s="803"/>
      <c r="J529" s="803"/>
      <c r="K529" s="803"/>
      <c r="L529" s="804"/>
    </row>
    <row r="530" spans="2:12" x14ac:dyDescent="0.25">
      <c r="B530" s="802"/>
      <c r="C530" s="802"/>
      <c r="D530" s="803"/>
      <c r="E530" s="803"/>
      <c r="F530" s="803"/>
      <c r="G530" s="803"/>
      <c r="H530" s="803"/>
      <c r="I530" s="803"/>
      <c r="J530" s="803"/>
      <c r="K530" s="803"/>
      <c r="L530" s="804"/>
    </row>
    <row r="531" spans="2:12" x14ac:dyDescent="0.25">
      <c r="B531" s="802"/>
      <c r="C531" s="802"/>
      <c r="D531" s="803"/>
      <c r="E531" s="803"/>
      <c r="F531" s="803"/>
      <c r="G531" s="803"/>
      <c r="H531" s="803"/>
      <c r="I531" s="803"/>
      <c r="J531" s="803"/>
      <c r="K531" s="803"/>
      <c r="L531" s="804"/>
    </row>
    <row r="532" spans="2:12" x14ac:dyDescent="0.25">
      <c r="B532" s="802"/>
      <c r="C532" s="802"/>
      <c r="D532" s="803"/>
      <c r="E532" s="803"/>
      <c r="F532" s="803"/>
      <c r="G532" s="803"/>
      <c r="H532" s="803"/>
      <c r="I532" s="803"/>
      <c r="J532" s="803"/>
      <c r="K532" s="803"/>
      <c r="L532" s="804"/>
    </row>
    <row r="533" spans="2:12" x14ac:dyDescent="0.25">
      <c r="B533" s="802"/>
      <c r="C533" s="802"/>
      <c r="D533" s="803"/>
      <c r="E533" s="803"/>
      <c r="F533" s="803"/>
      <c r="G533" s="803"/>
      <c r="H533" s="803"/>
      <c r="I533" s="803"/>
      <c r="J533" s="803"/>
      <c r="K533" s="803"/>
      <c r="L533" s="804"/>
    </row>
    <row r="534" spans="2:12" x14ac:dyDescent="0.25">
      <c r="B534" s="802"/>
      <c r="C534" s="802"/>
      <c r="D534" s="803"/>
      <c r="E534" s="803"/>
      <c r="F534" s="803"/>
      <c r="G534" s="803"/>
      <c r="H534" s="803"/>
      <c r="I534" s="803"/>
      <c r="J534" s="803"/>
      <c r="K534" s="803"/>
      <c r="L534" s="804"/>
    </row>
    <row r="535" spans="2:12" x14ac:dyDescent="0.25">
      <c r="B535" s="802"/>
      <c r="C535" s="802"/>
      <c r="D535" s="803"/>
      <c r="E535" s="803"/>
      <c r="F535" s="803"/>
      <c r="G535" s="803"/>
      <c r="H535" s="803"/>
      <c r="I535" s="803"/>
      <c r="J535" s="803"/>
      <c r="K535" s="803"/>
      <c r="L535" s="804"/>
    </row>
    <row r="536" spans="2:12" x14ac:dyDescent="0.25">
      <c r="B536" s="802"/>
      <c r="C536" s="802"/>
      <c r="D536" s="803"/>
      <c r="E536" s="803"/>
      <c r="F536" s="803"/>
      <c r="G536" s="803"/>
      <c r="H536" s="803"/>
      <c r="I536" s="803"/>
      <c r="J536" s="803"/>
      <c r="K536" s="803"/>
      <c r="L536" s="804"/>
    </row>
    <row r="537" spans="2:12" x14ac:dyDescent="0.25">
      <c r="B537" s="802"/>
      <c r="C537" s="802"/>
      <c r="D537" s="803"/>
      <c r="E537" s="803"/>
      <c r="F537" s="803"/>
      <c r="G537" s="803"/>
      <c r="H537" s="803"/>
      <c r="I537" s="803"/>
      <c r="J537" s="803"/>
      <c r="K537" s="803"/>
      <c r="L537" s="804"/>
    </row>
    <row r="538" spans="2:12" x14ac:dyDescent="0.25">
      <c r="B538" s="802"/>
      <c r="C538" s="802"/>
      <c r="D538" s="803"/>
      <c r="E538" s="803"/>
      <c r="F538" s="803"/>
      <c r="G538" s="803"/>
      <c r="H538" s="803"/>
      <c r="I538" s="803"/>
      <c r="J538" s="803"/>
      <c r="K538" s="803"/>
      <c r="L538" s="804"/>
    </row>
    <row r="539" spans="2:12" x14ac:dyDescent="0.25">
      <c r="B539" s="802"/>
      <c r="C539" s="802"/>
      <c r="D539" s="803"/>
      <c r="E539" s="803"/>
      <c r="F539" s="803"/>
      <c r="G539" s="803"/>
      <c r="H539" s="803"/>
      <c r="I539" s="803"/>
      <c r="J539" s="803"/>
      <c r="K539" s="803"/>
      <c r="L539" s="804"/>
    </row>
    <row r="540" spans="2:12" x14ac:dyDescent="0.25">
      <c r="B540" s="802"/>
      <c r="C540" s="802"/>
      <c r="D540" s="803"/>
      <c r="E540" s="803"/>
      <c r="F540" s="803"/>
      <c r="G540" s="803"/>
      <c r="H540" s="803"/>
      <c r="I540" s="803"/>
      <c r="J540" s="803"/>
      <c r="K540" s="803"/>
      <c r="L540" s="804"/>
    </row>
    <row r="541" spans="2:12" x14ac:dyDescent="0.25">
      <c r="B541" s="802"/>
      <c r="C541" s="802"/>
      <c r="D541" s="803"/>
      <c r="E541" s="803"/>
      <c r="F541" s="803"/>
      <c r="G541" s="803"/>
      <c r="H541" s="803"/>
      <c r="I541" s="803"/>
      <c r="J541" s="803"/>
      <c r="K541" s="803"/>
      <c r="L541" s="804"/>
    </row>
    <row r="542" spans="2:12" x14ac:dyDescent="0.25">
      <c r="B542" s="802"/>
      <c r="C542" s="802"/>
      <c r="D542" s="803"/>
      <c r="E542" s="803"/>
      <c r="F542" s="803"/>
      <c r="G542" s="803"/>
      <c r="H542" s="803"/>
      <c r="I542" s="803"/>
      <c r="J542" s="803"/>
      <c r="K542" s="803"/>
      <c r="L542" s="804"/>
    </row>
    <row r="543" spans="2:12" x14ac:dyDescent="0.25">
      <c r="B543" s="802"/>
      <c r="C543" s="802"/>
      <c r="D543" s="803"/>
      <c r="E543" s="803"/>
      <c r="F543" s="803"/>
      <c r="G543" s="803"/>
      <c r="H543" s="803"/>
      <c r="I543" s="803"/>
      <c r="J543" s="803"/>
      <c r="K543" s="803"/>
      <c r="L543" s="804"/>
    </row>
    <row r="544" spans="2:12" x14ac:dyDescent="0.25">
      <c r="B544" s="802"/>
      <c r="C544" s="802"/>
      <c r="D544" s="803"/>
      <c r="E544" s="803"/>
      <c r="F544" s="803"/>
      <c r="G544" s="803"/>
      <c r="H544" s="803"/>
      <c r="I544" s="803"/>
      <c r="J544" s="803"/>
      <c r="K544" s="803"/>
      <c r="L544" s="804"/>
    </row>
    <row r="545" spans="2:12" x14ac:dyDescent="0.25">
      <c r="B545" s="802"/>
      <c r="C545" s="802"/>
      <c r="D545" s="803"/>
      <c r="E545" s="803"/>
      <c r="F545" s="803"/>
      <c r="G545" s="803"/>
      <c r="H545" s="803"/>
      <c r="I545" s="803"/>
      <c r="J545" s="803"/>
      <c r="K545" s="803"/>
      <c r="L545" s="804"/>
    </row>
    <row r="546" spans="2:12" x14ac:dyDescent="0.25">
      <c r="B546" s="802"/>
      <c r="C546" s="802"/>
      <c r="D546" s="803"/>
      <c r="E546" s="803"/>
      <c r="F546" s="803"/>
      <c r="G546" s="803"/>
      <c r="H546" s="803"/>
      <c r="I546" s="803"/>
      <c r="J546" s="803"/>
      <c r="K546" s="803"/>
      <c r="L546" s="804"/>
    </row>
    <row r="547" spans="2:12" x14ac:dyDescent="0.25">
      <c r="B547" s="802"/>
      <c r="C547" s="802"/>
      <c r="D547" s="803"/>
      <c r="E547" s="803"/>
      <c r="F547" s="803"/>
      <c r="G547" s="803"/>
      <c r="H547" s="803"/>
      <c r="I547" s="803"/>
      <c r="J547" s="803"/>
      <c r="K547" s="803"/>
      <c r="L547" s="804"/>
    </row>
    <row r="548" spans="2:12" x14ac:dyDescent="0.25">
      <c r="B548" s="802"/>
      <c r="C548" s="802"/>
      <c r="D548" s="803"/>
      <c r="E548" s="803"/>
      <c r="F548" s="803"/>
      <c r="G548" s="803"/>
      <c r="H548" s="803"/>
      <c r="I548" s="803"/>
      <c r="J548" s="803"/>
      <c r="K548" s="803"/>
      <c r="L548" s="804"/>
    </row>
    <row r="549" spans="2:12" x14ac:dyDescent="0.25">
      <c r="B549" s="802"/>
      <c r="C549" s="802"/>
      <c r="D549" s="803"/>
      <c r="E549" s="803"/>
      <c r="F549" s="803"/>
      <c r="G549" s="803"/>
      <c r="H549" s="803"/>
      <c r="I549" s="803"/>
      <c r="J549" s="803"/>
      <c r="K549" s="803"/>
      <c r="L549" s="804"/>
    </row>
    <row r="550" spans="2:12" x14ac:dyDescent="0.25">
      <c r="B550" s="802"/>
      <c r="C550" s="802"/>
      <c r="D550" s="803"/>
      <c r="E550" s="803"/>
      <c r="F550" s="803"/>
      <c r="G550" s="803"/>
      <c r="H550" s="803"/>
      <c r="I550" s="803"/>
      <c r="J550" s="803"/>
      <c r="K550" s="803"/>
      <c r="L550" s="804"/>
    </row>
    <row r="551" spans="2:12" x14ac:dyDescent="0.25">
      <c r="B551" s="802"/>
      <c r="C551" s="802"/>
      <c r="D551" s="803"/>
      <c r="E551" s="803"/>
      <c r="F551" s="803"/>
      <c r="G551" s="803"/>
      <c r="H551" s="803"/>
      <c r="I551" s="803"/>
      <c r="J551" s="803"/>
      <c r="K551" s="803"/>
      <c r="L551" s="804"/>
    </row>
    <row r="552" spans="2:12" x14ac:dyDescent="0.25">
      <c r="B552" s="802"/>
      <c r="C552" s="802"/>
      <c r="D552" s="803"/>
      <c r="E552" s="803"/>
      <c r="F552" s="803"/>
      <c r="G552" s="803"/>
      <c r="H552" s="803"/>
      <c r="I552" s="803"/>
      <c r="J552" s="803"/>
      <c r="K552" s="803"/>
      <c r="L552" s="804"/>
    </row>
    <row r="553" spans="2:12" x14ac:dyDescent="0.25">
      <c r="B553" s="802"/>
      <c r="C553" s="802"/>
      <c r="D553" s="803"/>
      <c r="E553" s="803"/>
      <c r="F553" s="803"/>
      <c r="G553" s="803"/>
      <c r="H553" s="803"/>
      <c r="I553" s="803"/>
      <c r="J553" s="803"/>
      <c r="K553" s="803"/>
      <c r="L553" s="804"/>
    </row>
    <row r="554" spans="2:12" x14ac:dyDescent="0.25">
      <c r="B554" s="802"/>
      <c r="C554" s="802"/>
      <c r="D554" s="803"/>
      <c r="E554" s="803"/>
      <c r="F554" s="803"/>
      <c r="G554" s="803"/>
      <c r="H554" s="803"/>
      <c r="I554" s="803"/>
      <c r="J554" s="803"/>
      <c r="K554" s="803"/>
      <c r="L554" s="804"/>
    </row>
    <row r="555" spans="2:12" x14ac:dyDescent="0.25">
      <c r="B555" s="802"/>
      <c r="C555" s="802"/>
      <c r="D555" s="803"/>
      <c r="E555" s="803"/>
      <c r="F555" s="803"/>
      <c r="G555" s="803"/>
      <c r="H555" s="803"/>
      <c r="I555" s="803"/>
      <c r="J555" s="803"/>
      <c r="K555" s="803"/>
      <c r="L555" s="804"/>
    </row>
    <row r="556" spans="2:12" x14ac:dyDescent="0.25">
      <c r="B556" s="802"/>
      <c r="C556" s="802"/>
      <c r="D556" s="803"/>
      <c r="E556" s="803"/>
      <c r="F556" s="803"/>
      <c r="G556" s="803"/>
      <c r="H556" s="803"/>
      <c r="I556" s="803"/>
      <c r="J556" s="803"/>
      <c r="K556" s="803"/>
      <c r="L556" s="804"/>
    </row>
    <row r="557" spans="2:12" x14ac:dyDescent="0.25">
      <c r="B557" s="802"/>
      <c r="C557" s="802"/>
      <c r="D557" s="803"/>
      <c r="E557" s="803"/>
      <c r="F557" s="803"/>
      <c r="G557" s="803"/>
      <c r="H557" s="803"/>
      <c r="I557" s="803"/>
      <c r="J557" s="803"/>
      <c r="K557" s="803"/>
      <c r="L557" s="804"/>
    </row>
    <row r="558" spans="2:12" x14ac:dyDescent="0.25">
      <c r="B558" s="802"/>
      <c r="C558" s="802"/>
      <c r="D558" s="803"/>
      <c r="E558" s="803"/>
      <c r="F558" s="803"/>
      <c r="G558" s="803"/>
      <c r="H558" s="803"/>
      <c r="I558" s="803"/>
      <c r="J558" s="803"/>
      <c r="K558" s="803"/>
      <c r="L558" s="804"/>
    </row>
    <row r="559" spans="2:12" x14ac:dyDescent="0.25">
      <c r="B559" s="802"/>
      <c r="C559" s="802"/>
      <c r="D559" s="803"/>
      <c r="E559" s="803"/>
      <c r="F559" s="803"/>
      <c r="G559" s="803"/>
      <c r="H559" s="803"/>
      <c r="I559" s="803"/>
      <c r="J559" s="803"/>
      <c r="K559" s="803"/>
      <c r="L559" s="804"/>
    </row>
    <row r="560" spans="2:12" x14ac:dyDescent="0.25">
      <c r="B560" s="802"/>
      <c r="C560" s="802"/>
      <c r="D560" s="803"/>
      <c r="E560" s="803"/>
      <c r="F560" s="803"/>
      <c r="G560" s="803"/>
      <c r="H560" s="803"/>
      <c r="I560" s="803"/>
      <c r="J560" s="803"/>
      <c r="K560" s="803"/>
      <c r="L560" s="804"/>
    </row>
    <row r="561" spans="2:12" x14ac:dyDescent="0.25">
      <c r="B561" s="802"/>
      <c r="C561" s="802"/>
      <c r="D561" s="803"/>
      <c r="E561" s="803"/>
      <c r="F561" s="803"/>
      <c r="G561" s="803"/>
      <c r="H561" s="803"/>
      <c r="I561" s="803"/>
      <c r="J561" s="803"/>
      <c r="K561" s="803"/>
      <c r="L561" s="804"/>
    </row>
    <row r="562" spans="2:12" x14ac:dyDescent="0.25">
      <c r="B562" s="802"/>
      <c r="C562" s="802"/>
      <c r="D562" s="803"/>
      <c r="E562" s="803"/>
      <c r="F562" s="803"/>
      <c r="G562" s="803"/>
      <c r="H562" s="803"/>
      <c r="I562" s="803"/>
      <c r="J562" s="803"/>
      <c r="K562" s="803"/>
      <c r="L562" s="804"/>
    </row>
    <row r="563" spans="2:12" x14ac:dyDescent="0.25">
      <c r="B563" s="802"/>
      <c r="C563" s="802"/>
      <c r="D563" s="803"/>
      <c r="E563" s="803"/>
      <c r="F563" s="803"/>
      <c r="G563" s="803"/>
      <c r="H563" s="803"/>
      <c r="I563" s="803"/>
      <c r="J563" s="803"/>
      <c r="K563" s="803"/>
      <c r="L563" s="804"/>
    </row>
    <row r="564" spans="2:12" x14ac:dyDescent="0.25">
      <c r="B564" s="802"/>
      <c r="C564" s="802"/>
      <c r="D564" s="803"/>
      <c r="E564" s="803"/>
      <c r="F564" s="803"/>
      <c r="G564" s="803"/>
      <c r="H564" s="803"/>
      <c r="I564" s="803"/>
      <c r="J564" s="803"/>
      <c r="K564" s="803"/>
      <c r="L564" s="804"/>
    </row>
    <row r="565" spans="2:12" x14ac:dyDescent="0.25">
      <c r="B565" s="802"/>
      <c r="C565" s="802"/>
      <c r="D565" s="803"/>
      <c r="E565" s="803"/>
      <c r="F565" s="803"/>
      <c r="G565" s="803"/>
      <c r="H565" s="803"/>
      <c r="I565" s="803"/>
      <c r="J565" s="803"/>
      <c r="K565" s="803"/>
      <c r="L565" s="804"/>
    </row>
    <row r="566" spans="2:12" x14ac:dyDescent="0.25">
      <c r="B566" s="802"/>
      <c r="C566" s="802"/>
      <c r="D566" s="803"/>
      <c r="E566" s="803"/>
      <c r="F566" s="803"/>
      <c r="G566" s="803"/>
      <c r="H566" s="803"/>
      <c r="I566" s="803"/>
      <c r="J566" s="803"/>
      <c r="K566" s="803"/>
      <c r="L566" s="804"/>
    </row>
    <row r="567" spans="2:12" x14ac:dyDescent="0.25">
      <c r="B567" s="802"/>
      <c r="C567" s="802"/>
      <c r="D567" s="803"/>
      <c r="E567" s="803"/>
      <c r="F567" s="803"/>
      <c r="G567" s="803"/>
      <c r="H567" s="803"/>
      <c r="I567" s="803"/>
      <c r="J567" s="803"/>
      <c r="K567" s="803"/>
      <c r="L567" s="804"/>
    </row>
    <row r="568" spans="2:12" x14ac:dyDescent="0.25">
      <c r="B568" s="802"/>
      <c r="C568" s="802"/>
      <c r="D568" s="803"/>
      <c r="E568" s="803"/>
      <c r="F568" s="803"/>
      <c r="G568" s="803"/>
      <c r="H568" s="803"/>
      <c r="I568" s="803"/>
      <c r="J568" s="803"/>
      <c r="K568" s="803"/>
      <c r="L568" s="804"/>
    </row>
    <row r="569" spans="2:12" x14ac:dyDescent="0.25">
      <c r="B569" s="802"/>
      <c r="C569" s="802"/>
      <c r="D569" s="803"/>
      <c r="E569" s="803"/>
      <c r="F569" s="803"/>
      <c r="G569" s="803"/>
      <c r="H569" s="803"/>
      <c r="I569" s="803"/>
      <c r="J569" s="803"/>
      <c r="K569" s="803"/>
      <c r="L569" s="804"/>
    </row>
    <row r="570" spans="2:12" x14ac:dyDescent="0.25">
      <c r="B570" s="802"/>
      <c r="C570" s="802"/>
      <c r="D570" s="803"/>
      <c r="E570" s="803"/>
      <c r="F570" s="803"/>
      <c r="G570" s="803"/>
      <c r="H570" s="803"/>
      <c r="I570" s="803"/>
      <c r="J570" s="803"/>
      <c r="K570" s="803"/>
      <c r="L570" s="804"/>
    </row>
    <row r="571" spans="2:12" x14ac:dyDescent="0.25">
      <c r="B571" s="802"/>
      <c r="C571" s="802"/>
      <c r="D571" s="803"/>
      <c r="E571" s="803"/>
      <c r="F571" s="803"/>
      <c r="G571" s="803"/>
      <c r="H571" s="803"/>
      <c r="I571" s="803"/>
      <c r="J571" s="803"/>
      <c r="K571" s="803"/>
      <c r="L571" s="804"/>
    </row>
    <row r="572" spans="2:12" x14ac:dyDescent="0.25">
      <c r="B572" s="802"/>
      <c r="C572" s="802"/>
      <c r="D572" s="803"/>
      <c r="E572" s="803"/>
      <c r="F572" s="803"/>
      <c r="G572" s="803"/>
      <c r="H572" s="803"/>
      <c r="I572" s="803"/>
      <c r="J572" s="803"/>
      <c r="K572" s="803"/>
      <c r="L572" s="804"/>
    </row>
    <row r="573" spans="2:12" x14ac:dyDescent="0.25">
      <c r="B573" s="802"/>
      <c r="C573" s="802"/>
      <c r="D573" s="803"/>
      <c r="E573" s="803"/>
      <c r="F573" s="803"/>
      <c r="G573" s="803"/>
      <c r="H573" s="803"/>
      <c r="I573" s="803"/>
      <c r="J573" s="803"/>
      <c r="K573" s="803"/>
      <c r="L573" s="804"/>
    </row>
    <row r="574" spans="2:12" x14ac:dyDescent="0.25">
      <c r="B574" s="802"/>
      <c r="C574" s="802"/>
      <c r="D574" s="803"/>
      <c r="E574" s="803"/>
      <c r="F574" s="803"/>
      <c r="G574" s="803"/>
      <c r="H574" s="803"/>
      <c r="I574" s="803"/>
      <c r="J574" s="803"/>
      <c r="K574" s="803"/>
      <c r="L574" s="804"/>
    </row>
    <row r="575" spans="2:12" x14ac:dyDescent="0.25">
      <c r="B575" s="802"/>
      <c r="C575" s="802"/>
      <c r="D575" s="803"/>
      <c r="E575" s="803"/>
      <c r="F575" s="803"/>
      <c r="G575" s="803"/>
      <c r="H575" s="803"/>
      <c r="I575" s="803"/>
      <c r="J575" s="803"/>
      <c r="K575" s="803"/>
      <c r="L575" s="804"/>
    </row>
    <row r="576" spans="2:12" x14ac:dyDescent="0.25">
      <c r="B576" s="802"/>
      <c r="C576" s="802"/>
      <c r="D576" s="803"/>
      <c r="E576" s="803"/>
      <c r="F576" s="803"/>
      <c r="G576" s="803"/>
      <c r="H576" s="803"/>
      <c r="I576" s="803"/>
      <c r="J576" s="803"/>
      <c r="K576" s="803"/>
      <c r="L576" s="804"/>
    </row>
    <row r="577" spans="2:12" x14ac:dyDescent="0.25">
      <c r="B577" s="802"/>
      <c r="C577" s="802"/>
      <c r="D577" s="803"/>
      <c r="E577" s="803"/>
      <c r="F577" s="803"/>
      <c r="G577" s="803"/>
      <c r="H577" s="803"/>
      <c r="I577" s="803"/>
      <c r="J577" s="803"/>
      <c r="K577" s="803"/>
      <c r="L577" s="804"/>
    </row>
    <row r="578" spans="2:12" x14ac:dyDescent="0.25">
      <c r="B578" s="802"/>
      <c r="C578" s="802"/>
      <c r="D578" s="803"/>
      <c r="E578" s="803"/>
      <c r="F578" s="803"/>
      <c r="G578" s="803"/>
      <c r="H578" s="803"/>
      <c r="I578" s="803"/>
      <c r="J578" s="803"/>
      <c r="K578" s="803"/>
      <c r="L578" s="804"/>
    </row>
    <row r="579" spans="2:12" x14ac:dyDescent="0.25">
      <c r="B579" s="802"/>
      <c r="C579" s="802"/>
      <c r="D579" s="803"/>
      <c r="E579" s="803"/>
      <c r="F579" s="803"/>
      <c r="G579" s="803"/>
      <c r="H579" s="803"/>
      <c r="I579" s="803"/>
      <c r="J579" s="803"/>
      <c r="K579" s="803"/>
      <c r="L579" s="804"/>
    </row>
    <row r="580" spans="2:12" x14ac:dyDescent="0.25">
      <c r="B580" s="802"/>
      <c r="C580" s="802"/>
      <c r="D580" s="803"/>
      <c r="E580" s="803"/>
      <c r="F580" s="803"/>
      <c r="G580" s="803"/>
      <c r="H580" s="803"/>
      <c r="I580" s="803"/>
      <c r="J580" s="803"/>
      <c r="K580" s="803"/>
      <c r="L580" s="804"/>
    </row>
    <row r="581" spans="2:12" x14ac:dyDescent="0.25">
      <c r="B581" s="802"/>
      <c r="C581" s="802"/>
      <c r="D581" s="803"/>
      <c r="E581" s="803"/>
      <c r="F581" s="803"/>
      <c r="G581" s="803"/>
      <c r="H581" s="803"/>
      <c r="I581" s="803"/>
      <c r="J581" s="803"/>
      <c r="K581" s="803"/>
      <c r="L581" s="804"/>
    </row>
    <row r="582" spans="2:12" x14ac:dyDescent="0.25">
      <c r="B582" s="802"/>
      <c r="C582" s="802"/>
      <c r="D582" s="803"/>
      <c r="E582" s="803"/>
      <c r="F582" s="803"/>
      <c r="G582" s="803"/>
      <c r="H582" s="803"/>
      <c r="I582" s="803"/>
      <c r="J582" s="803"/>
      <c r="K582" s="803"/>
      <c r="L582" s="804"/>
    </row>
    <row r="583" spans="2:12" x14ac:dyDescent="0.25">
      <c r="B583" s="802"/>
      <c r="C583" s="802"/>
      <c r="D583" s="803"/>
      <c r="E583" s="803"/>
      <c r="F583" s="803"/>
      <c r="G583" s="803"/>
      <c r="H583" s="803"/>
      <c r="I583" s="803"/>
      <c r="J583" s="803"/>
      <c r="K583" s="803"/>
      <c r="L583" s="804"/>
    </row>
    <row r="584" spans="2:12" x14ac:dyDescent="0.25">
      <c r="B584" s="802"/>
      <c r="C584" s="802"/>
      <c r="D584" s="803"/>
      <c r="E584" s="803"/>
      <c r="F584" s="803"/>
      <c r="G584" s="803"/>
      <c r="H584" s="803"/>
      <c r="I584" s="803"/>
      <c r="J584" s="803"/>
      <c r="K584" s="803"/>
      <c r="L584" s="804"/>
    </row>
    <row r="585" spans="2:12" x14ac:dyDescent="0.25">
      <c r="B585" s="802"/>
      <c r="C585" s="802"/>
      <c r="D585" s="803"/>
      <c r="E585" s="803"/>
      <c r="F585" s="803"/>
      <c r="G585" s="803"/>
      <c r="H585" s="803"/>
      <c r="I585" s="803"/>
      <c r="J585" s="803"/>
      <c r="K585" s="803"/>
      <c r="L585" s="804"/>
    </row>
    <row r="586" spans="2:12" x14ac:dyDescent="0.25">
      <c r="B586" s="802"/>
      <c r="C586" s="802"/>
      <c r="D586" s="803"/>
      <c r="E586" s="803"/>
      <c r="F586" s="803"/>
      <c r="G586" s="803"/>
      <c r="H586" s="803"/>
      <c r="I586" s="803"/>
      <c r="J586" s="803"/>
      <c r="K586" s="803"/>
      <c r="L586" s="804"/>
    </row>
    <row r="587" spans="2:12" x14ac:dyDescent="0.25">
      <c r="B587" s="802"/>
      <c r="C587" s="802"/>
      <c r="D587" s="803"/>
      <c r="E587" s="803"/>
      <c r="F587" s="803"/>
      <c r="G587" s="803"/>
      <c r="H587" s="803"/>
      <c r="I587" s="803"/>
      <c r="J587" s="803"/>
      <c r="K587" s="803"/>
      <c r="L587" s="804"/>
    </row>
    <row r="588" spans="2:12" x14ac:dyDescent="0.25">
      <c r="B588" s="802"/>
      <c r="C588" s="802"/>
      <c r="D588" s="803"/>
      <c r="E588" s="803"/>
      <c r="F588" s="803"/>
      <c r="G588" s="803"/>
      <c r="H588" s="803"/>
      <c r="I588" s="803"/>
      <c r="J588" s="803"/>
      <c r="K588" s="803"/>
      <c r="L588" s="804"/>
    </row>
    <row r="589" spans="2:12" x14ac:dyDescent="0.25">
      <c r="B589" s="802"/>
      <c r="C589" s="802"/>
      <c r="D589" s="803"/>
      <c r="E589" s="803"/>
      <c r="F589" s="803"/>
      <c r="G589" s="803"/>
      <c r="H589" s="803"/>
      <c r="I589" s="803"/>
      <c r="J589" s="803"/>
      <c r="K589" s="803"/>
      <c r="L589" s="804"/>
    </row>
    <row r="590" spans="2:12" x14ac:dyDescent="0.25">
      <c r="B590" s="802"/>
      <c r="C590" s="802"/>
      <c r="D590" s="803"/>
      <c r="E590" s="803"/>
      <c r="F590" s="803"/>
      <c r="G590" s="803"/>
      <c r="H590" s="803"/>
      <c r="I590" s="803"/>
      <c r="J590" s="803"/>
      <c r="K590" s="803"/>
      <c r="L590" s="804"/>
    </row>
    <row r="591" spans="2:12" x14ac:dyDescent="0.25">
      <c r="B591" s="802"/>
      <c r="C591" s="802"/>
      <c r="D591" s="803"/>
      <c r="E591" s="803"/>
      <c r="F591" s="803"/>
      <c r="G591" s="803"/>
      <c r="H591" s="803"/>
      <c r="I591" s="803"/>
      <c r="J591" s="803"/>
      <c r="K591" s="803"/>
      <c r="L591" s="804"/>
    </row>
    <row r="592" spans="2:12" x14ac:dyDescent="0.25">
      <c r="B592" s="802"/>
      <c r="C592" s="802"/>
      <c r="D592" s="803"/>
      <c r="E592" s="803"/>
      <c r="F592" s="803"/>
      <c r="G592" s="803"/>
      <c r="H592" s="803"/>
      <c r="I592" s="803"/>
      <c r="J592" s="803"/>
      <c r="K592" s="803"/>
      <c r="L592" s="804"/>
    </row>
    <row r="593" spans="2:12" x14ac:dyDescent="0.25">
      <c r="B593" s="802"/>
      <c r="C593" s="802"/>
      <c r="D593" s="803"/>
      <c r="E593" s="803"/>
      <c r="F593" s="803"/>
      <c r="G593" s="803"/>
      <c r="H593" s="803"/>
      <c r="I593" s="803"/>
      <c r="J593" s="803"/>
      <c r="K593" s="803"/>
      <c r="L593" s="804"/>
    </row>
    <row r="594" spans="2:12" x14ac:dyDescent="0.25">
      <c r="B594" s="802"/>
      <c r="C594" s="802"/>
      <c r="D594" s="803"/>
      <c r="E594" s="803"/>
      <c r="F594" s="803"/>
      <c r="G594" s="803"/>
      <c r="H594" s="803"/>
      <c r="I594" s="803"/>
      <c r="J594" s="803"/>
      <c r="K594" s="803"/>
      <c r="L594" s="804"/>
    </row>
    <row r="595" spans="2:12" x14ac:dyDescent="0.25">
      <c r="B595" s="802"/>
      <c r="C595" s="802"/>
      <c r="D595" s="803"/>
      <c r="E595" s="803"/>
      <c r="F595" s="803"/>
      <c r="G595" s="803"/>
      <c r="H595" s="803"/>
      <c r="I595" s="803"/>
      <c r="J595" s="803"/>
      <c r="K595" s="803"/>
      <c r="L595" s="804"/>
    </row>
    <row r="596" spans="2:12" x14ac:dyDescent="0.25">
      <c r="B596" s="802"/>
      <c r="C596" s="802"/>
      <c r="D596" s="803"/>
      <c r="E596" s="803"/>
      <c r="F596" s="803"/>
      <c r="G596" s="803"/>
      <c r="H596" s="803"/>
      <c r="I596" s="803"/>
      <c r="J596" s="803"/>
      <c r="K596" s="803"/>
      <c r="L596" s="804"/>
    </row>
    <row r="597" spans="2:12" x14ac:dyDescent="0.25">
      <c r="B597" s="802"/>
      <c r="C597" s="802"/>
      <c r="D597" s="803"/>
      <c r="E597" s="803"/>
      <c r="F597" s="803"/>
      <c r="G597" s="803"/>
      <c r="H597" s="803"/>
      <c r="I597" s="803"/>
      <c r="J597" s="803"/>
      <c r="K597" s="803"/>
      <c r="L597" s="804"/>
    </row>
    <row r="598" spans="2:12" x14ac:dyDescent="0.25">
      <c r="B598" s="802"/>
      <c r="C598" s="802"/>
      <c r="D598" s="803"/>
      <c r="E598" s="803"/>
      <c r="F598" s="803"/>
      <c r="G598" s="803"/>
      <c r="H598" s="803"/>
      <c r="I598" s="803"/>
      <c r="J598" s="803"/>
      <c r="K598" s="803"/>
      <c r="L598" s="804"/>
    </row>
    <row r="599" spans="2:12" x14ac:dyDescent="0.25">
      <c r="B599" s="802"/>
      <c r="C599" s="802"/>
      <c r="D599" s="803"/>
      <c r="E599" s="803"/>
      <c r="F599" s="803"/>
      <c r="G599" s="803"/>
      <c r="H599" s="803"/>
      <c r="I599" s="803"/>
      <c r="J599" s="803"/>
      <c r="K599" s="803"/>
      <c r="L599" s="804"/>
    </row>
    <row r="600" spans="2:12" x14ac:dyDescent="0.25">
      <c r="B600" s="802"/>
      <c r="C600" s="802"/>
      <c r="D600" s="803"/>
      <c r="E600" s="803"/>
      <c r="F600" s="803"/>
      <c r="G600" s="803"/>
      <c r="H600" s="803"/>
      <c r="I600" s="803"/>
      <c r="J600" s="803"/>
      <c r="K600" s="803"/>
      <c r="L600" s="804"/>
    </row>
    <row r="601" spans="2:12" x14ac:dyDescent="0.25">
      <c r="B601" s="802"/>
      <c r="C601" s="802"/>
      <c r="D601" s="803"/>
      <c r="E601" s="803"/>
      <c r="F601" s="803"/>
      <c r="G601" s="803"/>
      <c r="H601" s="803"/>
      <c r="I601" s="803"/>
      <c r="J601" s="803"/>
      <c r="K601" s="803"/>
      <c r="L601" s="804"/>
    </row>
    <row r="602" spans="2:12" x14ac:dyDescent="0.25">
      <c r="B602" s="802"/>
      <c r="C602" s="802"/>
      <c r="D602" s="803"/>
      <c r="E602" s="803"/>
      <c r="F602" s="803"/>
      <c r="G602" s="803"/>
      <c r="H602" s="803"/>
      <c r="I602" s="803"/>
      <c r="J602" s="803"/>
      <c r="K602" s="803"/>
      <c r="L602" s="804"/>
    </row>
    <row r="603" spans="2:12" x14ac:dyDescent="0.25">
      <c r="B603" s="802"/>
      <c r="C603" s="802"/>
      <c r="D603" s="803"/>
      <c r="E603" s="803"/>
      <c r="F603" s="803"/>
      <c r="G603" s="803"/>
      <c r="H603" s="803"/>
      <c r="I603" s="803"/>
      <c r="J603" s="803"/>
      <c r="K603" s="803"/>
      <c r="L603" s="804"/>
    </row>
    <row r="604" spans="2:12" x14ac:dyDescent="0.25">
      <c r="B604" s="802"/>
      <c r="C604" s="802"/>
      <c r="D604" s="803"/>
      <c r="E604" s="803"/>
      <c r="F604" s="803"/>
      <c r="G604" s="803"/>
      <c r="H604" s="803"/>
      <c r="I604" s="803"/>
      <c r="J604" s="803"/>
      <c r="K604" s="803"/>
      <c r="L604" s="804"/>
    </row>
    <row r="605" spans="2:12" x14ac:dyDescent="0.25">
      <c r="B605" s="802"/>
      <c r="C605" s="802"/>
      <c r="D605" s="803"/>
      <c r="E605" s="803"/>
      <c r="F605" s="803"/>
      <c r="G605" s="803"/>
      <c r="H605" s="803"/>
      <c r="I605" s="803"/>
      <c r="J605" s="803"/>
      <c r="K605" s="803"/>
      <c r="L605" s="804"/>
    </row>
    <row r="606" spans="2:12" x14ac:dyDescent="0.25">
      <c r="B606" s="802"/>
      <c r="C606" s="802"/>
      <c r="D606" s="803"/>
      <c r="E606" s="803"/>
      <c r="F606" s="803"/>
      <c r="G606" s="803"/>
      <c r="H606" s="803"/>
      <c r="I606" s="803"/>
      <c r="J606" s="803"/>
      <c r="K606" s="803"/>
      <c r="L606" s="804"/>
    </row>
    <row r="607" spans="2:12" x14ac:dyDescent="0.25">
      <c r="B607" s="802"/>
      <c r="C607" s="802"/>
      <c r="D607" s="803"/>
      <c r="E607" s="803"/>
      <c r="F607" s="803"/>
      <c r="G607" s="803"/>
      <c r="H607" s="803"/>
      <c r="I607" s="803"/>
      <c r="J607" s="803"/>
      <c r="K607" s="803"/>
      <c r="L607" s="804"/>
    </row>
    <row r="608" spans="2:12" x14ac:dyDescent="0.25">
      <c r="B608" s="802"/>
      <c r="C608" s="802"/>
      <c r="D608" s="803"/>
      <c r="E608" s="803"/>
      <c r="F608" s="803"/>
      <c r="G608" s="803"/>
      <c r="H608" s="803"/>
      <c r="I608" s="803"/>
      <c r="J608" s="803"/>
      <c r="K608" s="803"/>
      <c r="L608" s="804"/>
    </row>
    <row r="609" spans="2:12" x14ac:dyDescent="0.25">
      <c r="B609" s="802"/>
      <c r="C609" s="802"/>
      <c r="D609" s="803"/>
      <c r="E609" s="803"/>
      <c r="F609" s="803"/>
      <c r="G609" s="803"/>
      <c r="H609" s="803"/>
      <c r="I609" s="803"/>
      <c r="J609" s="803"/>
      <c r="K609" s="803"/>
      <c r="L609" s="804"/>
    </row>
    <row r="610" spans="2:12" x14ac:dyDescent="0.25">
      <c r="B610" s="802"/>
      <c r="C610" s="802"/>
      <c r="D610" s="803"/>
      <c r="E610" s="803"/>
      <c r="F610" s="803"/>
      <c r="G610" s="803"/>
      <c r="H610" s="803"/>
      <c r="I610" s="803"/>
      <c r="J610" s="803"/>
      <c r="K610" s="803"/>
      <c r="L610" s="804"/>
    </row>
    <row r="611" spans="2:12" x14ac:dyDescent="0.25">
      <c r="B611" s="802"/>
      <c r="C611" s="802"/>
      <c r="D611" s="803"/>
      <c r="E611" s="803"/>
      <c r="F611" s="803"/>
      <c r="G611" s="803"/>
      <c r="H611" s="803"/>
      <c r="I611" s="803"/>
      <c r="J611" s="803"/>
      <c r="K611" s="803"/>
      <c r="L611" s="804"/>
    </row>
    <row r="612" spans="2:12" x14ac:dyDescent="0.25">
      <c r="B612" s="802"/>
      <c r="C612" s="802"/>
      <c r="D612" s="803"/>
      <c r="E612" s="803"/>
      <c r="F612" s="803"/>
      <c r="G612" s="803"/>
      <c r="H612" s="803"/>
      <c r="I612" s="803"/>
      <c r="J612" s="803"/>
      <c r="K612" s="803"/>
      <c r="L612" s="804"/>
    </row>
    <row r="613" spans="2:12" x14ac:dyDescent="0.25">
      <c r="B613" s="802"/>
      <c r="C613" s="802"/>
      <c r="D613" s="803"/>
      <c r="E613" s="803"/>
      <c r="F613" s="803"/>
      <c r="G613" s="803"/>
      <c r="H613" s="803"/>
      <c r="I613" s="803"/>
      <c r="J613" s="803"/>
      <c r="K613" s="803"/>
      <c r="L613" s="804"/>
    </row>
    <row r="614" spans="2:12" x14ac:dyDescent="0.25">
      <c r="B614" s="802"/>
      <c r="C614" s="802"/>
      <c r="D614" s="803"/>
      <c r="E614" s="803"/>
      <c r="F614" s="803"/>
      <c r="G614" s="803"/>
      <c r="H614" s="803"/>
      <c r="I614" s="803"/>
      <c r="J614" s="803"/>
      <c r="K614" s="803"/>
      <c r="L614" s="804"/>
    </row>
    <row r="615" spans="2:12" x14ac:dyDescent="0.25">
      <c r="B615" s="802"/>
      <c r="C615" s="802"/>
      <c r="D615" s="803"/>
      <c r="E615" s="803"/>
      <c r="F615" s="803"/>
      <c r="G615" s="803"/>
      <c r="H615" s="803"/>
      <c r="I615" s="803"/>
      <c r="J615" s="803"/>
      <c r="K615" s="803"/>
      <c r="L615" s="804"/>
    </row>
    <row r="616" spans="2:12" x14ac:dyDescent="0.25">
      <c r="B616" s="802"/>
      <c r="C616" s="802"/>
      <c r="D616" s="803"/>
      <c r="E616" s="803"/>
      <c r="F616" s="803"/>
      <c r="G616" s="803"/>
      <c r="H616" s="803"/>
      <c r="I616" s="803"/>
      <c r="J616" s="803"/>
      <c r="K616" s="803"/>
      <c r="L616" s="804"/>
    </row>
    <row r="617" spans="2:12" x14ac:dyDescent="0.25">
      <c r="B617" s="802"/>
      <c r="C617" s="802"/>
      <c r="D617" s="803"/>
      <c r="E617" s="803"/>
      <c r="F617" s="803"/>
      <c r="G617" s="803"/>
      <c r="H617" s="803"/>
      <c r="I617" s="803"/>
      <c r="J617" s="803"/>
      <c r="K617" s="803"/>
      <c r="L617" s="804"/>
    </row>
    <row r="618" spans="2:12" x14ac:dyDescent="0.25">
      <c r="B618" s="802"/>
      <c r="C618" s="802"/>
      <c r="D618" s="803"/>
      <c r="E618" s="803"/>
      <c r="F618" s="803"/>
      <c r="G618" s="803"/>
      <c r="H618" s="803"/>
      <c r="I618" s="803"/>
      <c r="J618" s="803"/>
      <c r="K618" s="803"/>
      <c r="L618" s="804"/>
    </row>
    <row r="619" spans="2:12" x14ac:dyDescent="0.25">
      <c r="B619" s="802"/>
      <c r="C619" s="802"/>
      <c r="D619" s="803"/>
      <c r="E619" s="803"/>
      <c r="F619" s="803"/>
      <c r="G619" s="803"/>
      <c r="H619" s="803"/>
      <c r="I619" s="803"/>
      <c r="J619" s="803"/>
      <c r="K619" s="803"/>
      <c r="L619" s="804"/>
    </row>
    <row r="620" spans="2:12" x14ac:dyDescent="0.25">
      <c r="B620" s="802"/>
      <c r="C620" s="802"/>
      <c r="D620" s="803"/>
      <c r="E620" s="803"/>
      <c r="F620" s="803"/>
      <c r="G620" s="803"/>
      <c r="H620" s="803"/>
      <c r="I620" s="803"/>
      <c r="J620" s="803"/>
      <c r="K620" s="803"/>
      <c r="L620" s="804"/>
    </row>
    <row r="621" spans="2:12" x14ac:dyDescent="0.25">
      <c r="B621" s="802"/>
      <c r="C621" s="802"/>
      <c r="D621" s="803"/>
      <c r="E621" s="803"/>
      <c r="F621" s="803"/>
      <c r="G621" s="803"/>
      <c r="H621" s="803"/>
      <c r="I621" s="803"/>
      <c r="J621" s="803"/>
      <c r="K621" s="803"/>
      <c r="L621" s="804"/>
    </row>
    <row r="622" spans="2:12" x14ac:dyDescent="0.25">
      <c r="B622" s="802"/>
      <c r="C622" s="802"/>
      <c r="D622" s="803"/>
      <c r="E622" s="803"/>
      <c r="F622" s="803"/>
      <c r="G622" s="803"/>
      <c r="H622" s="803"/>
      <c r="I622" s="803"/>
      <c r="J622" s="803"/>
      <c r="K622" s="803"/>
      <c r="L622" s="804"/>
    </row>
    <row r="623" spans="2:12" x14ac:dyDescent="0.25">
      <c r="B623" s="802"/>
      <c r="C623" s="802"/>
      <c r="D623" s="803"/>
      <c r="E623" s="803"/>
      <c r="F623" s="803"/>
      <c r="G623" s="803"/>
      <c r="H623" s="803"/>
      <c r="I623" s="803"/>
      <c r="J623" s="803"/>
      <c r="K623" s="803"/>
      <c r="L623" s="804"/>
    </row>
    <row r="624" spans="2:12" x14ac:dyDescent="0.25">
      <c r="B624" s="802"/>
      <c r="C624" s="802"/>
      <c r="D624" s="803"/>
      <c r="E624" s="803"/>
      <c r="F624" s="803"/>
      <c r="G624" s="803"/>
      <c r="H624" s="803"/>
      <c r="I624" s="803"/>
      <c r="J624" s="803"/>
      <c r="K624" s="803"/>
      <c r="L624" s="804"/>
    </row>
    <row r="625" spans="2:12" x14ac:dyDescent="0.25">
      <c r="B625" s="802"/>
      <c r="C625" s="802"/>
      <c r="D625" s="803"/>
      <c r="E625" s="803"/>
      <c r="F625" s="803"/>
      <c r="G625" s="803"/>
      <c r="H625" s="803"/>
      <c r="I625" s="803"/>
      <c r="J625" s="803"/>
      <c r="K625" s="803"/>
      <c r="L625" s="804"/>
    </row>
    <row r="626" spans="2:12" x14ac:dyDescent="0.25">
      <c r="B626" s="802"/>
      <c r="C626" s="802"/>
      <c r="D626" s="803"/>
      <c r="E626" s="803"/>
      <c r="F626" s="803"/>
      <c r="G626" s="803"/>
      <c r="H626" s="803"/>
      <c r="I626" s="803"/>
      <c r="J626" s="803"/>
      <c r="K626" s="803"/>
      <c r="L626" s="804"/>
    </row>
    <row r="627" spans="2:12" x14ac:dyDescent="0.25">
      <c r="B627" s="802"/>
      <c r="C627" s="802"/>
      <c r="D627" s="803"/>
      <c r="E627" s="803"/>
      <c r="F627" s="803"/>
      <c r="G627" s="803"/>
      <c r="H627" s="803"/>
      <c r="I627" s="803"/>
      <c r="J627" s="803"/>
      <c r="K627" s="803"/>
      <c r="L627" s="804"/>
    </row>
    <row r="628" spans="2:12" x14ac:dyDescent="0.25">
      <c r="B628" s="802"/>
      <c r="C628" s="802"/>
      <c r="D628" s="803"/>
      <c r="E628" s="803"/>
      <c r="F628" s="803"/>
      <c r="G628" s="803"/>
      <c r="H628" s="803"/>
      <c r="I628" s="803"/>
      <c r="J628" s="803"/>
      <c r="K628" s="803"/>
      <c r="L628" s="804"/>
    </row>
    <row r="629" spans="2:12" x14ac:dyDescent="0.25">
      <c r="B629" s="802"/>
      <c r="C629" s="802"/>
      <c r="D629" s="803"/>
      <c r="E629" s="803"/>
      <c r="F629" s="803"/>
      <c r="G629" s="803"/>
      <c r="H629" s="803"/>
      <c r="I629" s="803"/>
      <c r="J629" s="803"/>
      <c r="K629" s="803"/>
      <c r="L629" s="804"/>
    </row>
    <row r="630" spans="2:12" x14ac:dyDescent="0.25">
      <c r="B630" s="802"/>
      <c r="C630" s="802"/>
      <c r="D630" s="803"/>
      <c r="E630" s="803"/>
      <c r="F630" s="803"/>
      <c r="G630" s="803"/>
      <c r="H630" s="803"/>
      <c r="I630" s="803"/>
      <c r="J630" s="803"/>
      <c r="K630" s="803"/>
      <c r="L630" s="804"/>
    </row>
    <row r="631" spans="2:12" x14ac:dyDescent="0.25">
      <c r="B631" s="802"/>
      <c r="C631" s="802"/>
      <c r="D631" s="803"/>
      <c r="E631" s="803"/>
      <c r="F631" s="803"/>
      <c r="G631" s="803"/>
      <c r="H631" s="803"/>
      <c r="I631" s="803"/>
      <c r="J631" s="803"/>
      <c r="K631" s="803"/>
      <c r="L631" s="804"/>
    </row>
    <row r="632" spans="2:12" x14ac:dyDescent="0.25">
      <c r="B632" s="802"/>
      <c r="C632" s="802"/>
      <c r="D632" s="803"/>
      <c r="E632" s="803"/>
      <c r="F632" s="803"/>
      <c r="G632" s="803"/>
      <c r="H632" s="803"/>
      <c r="I632" s="803"/>
      <c r="J632" s="803"/>
      <c r="K632" s="803"/>
      <c r="L632" s="804"/>
    </row>
    <row r="633" spans="2:12" x14ac:dyDescent="0.25">
      <c r="B633" s="802"/>
      <c r="C633" s="802"/>
      <c r="D633" s="803"/>
      <c r="E633" s="803"/>
      <c r="F633" s="803"/>
      <c r="G633" s="803"/>
      <c r="H633" s="803"/>
      <c r="I633" s="803"/>
      <c r="J633" s="803"/>
      <c r="K633" s="803"/>
      <c r="L633" s="804"/>
    </row>
    <row r="634" spans="2:12" x14ac:dyDescent="0.25">
      <c r="B634" s="802"/>
      <c r="C634" s="802"/>
      <c r="D634" s="803"/>
      <c r="E634" s="803"/>
      <c r="F634" s="803"/>
      <c r="G634" s="803"/>
      <c r="H634" s="803"/>
      <c r="I634" s="803"/>
      <c r="J634" s="803"/>
      <c r="K634" s="803"/>
      <c r="L634" s="804"/>
    </row>
    <row r="635" spans="2:12" x14ac:dyDescent="0.25">
      <c r="B635" s="802"/>
      <c r="C635" s="802"/>
      <c r="D635" s="803"/>
      <c r="E635" s="803"/>
      <c r="F635" s="803"/>
      <c r="G635" s="803"/>
      <c r="H635" s="803"/>
      <c r="I635" s="803"/>
      <c r="J635" s="803"/>
      <c r="K635" s="803"/>
      <c r="L635" s="804"/>
    </row>
    <row r="636" spans="2:12" x14ac:dyDescent="0.25">
      <c r="B636" s="802"/>
      <c r="C636" s="802"/>
      <c r="D636" s="803"/>
      <c r="E636" s="803"/>
      <c r="F636" s="803"/>
      <c r="G636" s="803"/>
      <c r="H636" s="803"/>
      <c r="I636" s="803"/>
      <c r="J636" s="803"/>
      <c r="K636" s="803"/>
      <c r="L636" s="804"/>
    </row>
    <row r="637" spans="2:12" x14ac:dyDescent="0.25">
      <c r="B637" s="802"/>
      <c r="C637" s="802"/>
      <c r="D637" s="803"/>
      <c r="E637" s="803"/>
      <c r="F637" s="803"/>
      <c r="G637" s="803"/>
      <c r="H637" s="803"/>
      <c r="I637" s="803"/>
      <c r="J637" s="803"/>
      <c r="K637" s="803"/>
      <c r="L637" s="804"/>
    </row>
    <row r="638" spans="2:12" x14ac:dyDescent="0.25">
      <c r="B638" s="802"/>
      <c r="C638" s="802"/>
      <c r="D638" s="803"/>
      <c r="E638" s="803"/>
      <c r="F638" s="803"/>
      <c r="G638" s="803"/>
      <c r="H638" s="803"/>
      <c r="I638" s="803"/>
      <c r="J638" s="803"/>
      <c r="K638" s="803"/>
      <c r="L638" s="804"/>
    </row>
    <row r="639" spans="2:12" x14ac:dyDescent="0.25">
      <c r="B639" s="802"/>
      <c r="C639" s="802"/>
      <c r="D639" s="803"/>
      <c r="E639" s="803"/>
      <c r="F639" s="803"/>
      <c r="G639" s="803"/>
      <c r="H639" s="803"/>
      <c r="I639" s="803"/>
      <c r="J639" s="803"/>
      <c r="K639" s="803"/>
      <c r="L639" s="804"/>
    </row>
    <row r="640" spans="2:12" x14ac:dyDescent="0.25">
      <c r="B640" s="802"/>
      <c r="C640" s="802"/>
      <c r="D640" s="803"/>
      <c r="E640" s="803"/>
      <c r="F640" s="803"/>
      <c r="G640" s="803"/>
      <c r="H640" s="803"/>
      <c r="I640" s="803"/>
      <c r="J640" s="803"/>
      <c r="K640" s="803"/>
      <c r="L640" s="804"/>
    </row>
    <row r="641" spans="2:12" x14ac:dyDescent="0.25">
      <c r="B641" s="802"/>
      <c r="C641" s="802"/>
      <c r="D641" s="803"/>
      <c r="E641" s="803"/>
      <c r="F641" s="803"/>
      <c r="G641" s="803"/>
      <c r="H641" s="803"/>
      <c r="I641" s="803"/>
      <c r="J641" s="803"/>
      <c r="K641" s="803"/>
      <c r="L641" s="804"/>
    </row>
    <row r="642" spans="2:12" x14ac:dyDescent="0.25">
      <c r="B642" s="802"/>
      <c r="C642" s="802"/>
      <c r="D642" s="803"/>
      <c r="E642" s="803"/>
      <c r="F642" s="803"/>
      <c r="G642" s="803"/>
      <c r="H642" s="803"/>
      <c r="I642" s="803"/>
      <c r="J642" s="803"/>
      <c r="K642" s="803"/>
      <c r="L642" s="804"/>
    </row>
    <row r="643" spans="2:12" x14ac:dyDescent="0.25">
      <c r="B643" s="802"/>
      <c r="C643" s="802"/>
      <c r="D643" s="803"/>
      <c r="E643" s="803"/>
      <c r="F643" s="803"/>
      <c r="G643" s="803"/>
      <c r="H643" s="803"/>
      <c r="I643" s="803"/>
      <c r="J643" s="803"/>
      <c r="K643" s="803"/>
      <c r="L643" s="804"/>
    </row>
    <row r="644" spans="2:12" x14ac:dyDescent="0.25">
      <c r="B644" s="802"/>
      <c r="C644" s="802"/>
      <c r="D644" s="803"/>
      <c r="E644" s="803"/>
      <c r="F644" s="803"/>
      <c r="G644" s="803"/>
      <c r="H644" s="803"/>
      <c r="I644" s="803"/>
      <c r="J644" s="803"/>
      <c r="K644" s="803"/>
      <c r="L644" s="804"/>
    </row>
    <row r="645" spans="2:12" x14ac:dyDescent="0.25">
      <c r="B645" s="802"/>
      <c r="C645" s="802"/>
      <c r="D645" s="803"/>
      <c r="E645" s="803"/>
      <c r="F645" s="803"/>
      <c r="G645" s="803"/>
      <c r="H645" s="803"/>
      <c r="I645" s="803"/>
      <c r="J645" s="803"/>
      <c r="K645" s="803"/>
      <c r="L645" s="804"/>
    </row>
    <row r="646" spans="2:12" x14ac:dyDescent="0.25">
      <c r="B646" s="802"/>
      <c r="C646" s="802"/>
      <c r="D646" s="803"/>
      <c r="E646" s="803"/>
      <c r="F646" s="803"/>
      <c r="G646" s="803"/>
      <c r="H646" s="803"/>
      <c r="I646" s="803"/>
      <c r="J646" s="803"/>
      <c r="K646" s="803"/>
      <c r="L646" s="804"/>
    </row>
    <row r="647" spans="2:12" x14ac:dyDescent="0.25">
      <c r="B647" s="802"/>
      <c r="C647" s="802"/>
      <c r="D647" s="803"/>
      <c r="E647" s="803"/>
      <c r="F647" s="803"/>
      <c r="G647" s="803"/>
      <c r="H647" s="803"/>
      <c r="I647" s="803"/>
      <c r="J647" s="803"/>
      <c r="K647" s="803"/>
      <c r="L647" s="804"/>
    </row>
    <row r="648" spans="2:12" x14ac:dyDescent="0.25">
      <c r="B648" s="802"/>
      <c r="C648" s="802"/>
      <c r="D648" s="803"/>
      <c r="E648" s="803"/>
      <c r="F648" s="803"/>
      <c r="G648" s="803"/>
      <c r="H648" s="803"/>
      <c r="I648" s="803"/>
      <c r="J648" s="803"/>
      <c r="K648" s="803"/>
      <c r="L648" s="804"/>
    </row>
    <row r="649" spans="2:12" x14ac:dyDescent="0.25">
      <c r="B649" s="802"/>
      <c r="C649" s="802"/>
      <c r="D649" s="803"/>
      <c r="E649" s="803"/>
      <c r="F649" s="803"/>
      <c r="G649" s="803"/>
      <c r="H649" s="803"/>
      <c r="I649" s="803"/>
      <c r="J649" s="803"/>
      <c r="K649" s="803"/>
      <c r="L649" s="804"/>
    </row>
    <row r="650" spans="2:12" x14ac:dyDescent="0.25">
      <c r="B650" s="802"/>
      <c r="C650" s="802"/>
      <c r="D650" s="803"/>
      <c r="E650" s="803"/>
      <c r="F650" s="803"/>
      <c r="G650" s="803"/>
      <c r="H650" s="803"/>
      <c r="I650" s="803"/>
      <c r="J650" s="803"/>
      <c r="K650" s="803"/>
      <c r="L650" s="804"/>
    </row>
    <row r="651" spans="2:12" x14ac:dyDescent="0.25">
      <c r="B651" s="802"/>
      <c r="C651" s="802"/>
      <c r="D651" s="803"/>
      <c r="E651" s="803"/>
      <c r="F651" s="803"/>
      <c r="G651" s="803"/>
      <c r="H651" s="803"/>
      <c r="I651" s="803"/>
      <c r="J651" s="803"/>
      <c r="K651" s="803"/>
      <c r="L651" s="804"/>
    </row>
    <row r="652" spans="2:12" x14ac:dyDescent="0.25">
      <c r="B652" s="802"/>
      <c r="C652" s="802"/>
      <c r="D652" s="803"/>
      <c r="E652" s="803"/>
      <c r="F652" s="803"/>
      <c r="G652" s="803"/>
      <c r="H652" s="803"/>
      <c r="I652" s="803"/>
      <c r="J652" s="803"/>
      <c r="K652" s="803"/>
      <c r="L652" s="804"/>
    </row>
    <row r="653" spans="2:12" x14ac:dyDescent="0.25">
      <c r="B653" s="802"/>
      <c r="C653" s="802"/>
      <c r="D653" s="803"/>
      <c r="E653" s="803"/>
      <c r="F653" s="803"/>
      <c r="G653" s="803"/>
      <c r="H653" s="803"/>
      <c r="I653" s="803"/>
      <c r="J653" s="803"/>
      <c r="K653" s="803"/>
      <c r="L653" s="804"/>
    </row>
    <row r="654" spans="2:12" x14ac:dyDescent="0.25">
      <c r="B654" s="802"/>
      <c r="C654" s="802"/>
      <c r="D654" s="803"/>
      <c r="E654" s="803"/>
      <c r="F654" s="803"/>
      <c r="G654" s="803"/>
      <c r="H654" s="803"/>
      <c r="I654" s="803"/>
      <c r="J654" s="803"/>
      <c r="K654" s="803"/>
      <c r="L654" s="804"/>
    </row>
    <row r="655" spans="2:12" x14ac:dyDescent="0.25">
      <c r="B655" s="802"/>
      <c r="C655" s="802"/>
      <c r="D655" s="803"/>
      <c r="E655" s="803"/>
      <c r="F655" s="803"/>
      <c r="G655" s="803"/>
      <c r="H655" s="803"/>
      <c r="I655" s="803"/>
      <c r="J655" s="803"/>
      <c r="K655" s="803"/>
      <c r="L655" s="804"/>
    </row>
    <row r="656" spans="2:12" x14ac:dyDescent="0.25">
      <c r="B656" s="802"/>
      <c r="C656" s="802"/>
      <c r="D656" s="803"/>
      <c r="E656" s="803"/>
      <c r="F656" s="803"/>
      <c r="G656" s="803"/>
      <c r="H656" s="803"/>
      <c r="I656" s="803"/>
      <c r="J656" s="803"/>
      <c r="K656" s="803"/>
      <c r="L656" s="804"/>
    </row>
    <row r="657" spans="2:12" x14ac:dyDescent="0.25">
      <c r="B657" s="802"/>
      <c r="C657" s="802"/>
      <c r="D657" s="803"/>
      <c r="E657" s="803"/>
      <c r="F657" s="803"/>
      <c r="G657" s="803"/>
      <c r="H657" s="803"/>
      <c r="I657" s="803"/>
      <c r="J657" s="803"/>
      <c r="K657" s="803"/>
      <c r="L657" s="804"/>
    </row>
    <row r="658" spans="2:12" x14ac:dyDescent="0.25">
      <c r="B658" s="802"/>
      <c r="C658" s="802"/>
      <c r="D658" s="803"/>
      <c r="E658" s="803"/>
      <c r="F658" s="803"/>
      <c r="G658" s="803"/>
      <c r="H658" s="803"/>
      <c r="I658" s="803"/>
      <c r="J658" s="803"/>
      <c r="K658" s="803"/>
      <c r="L658" s="804"/>
    </row>
    <row r="659" spans="2:12" x14ac:dyDescent="0.25">
      <c r="B659" s="802"/>
      <c r="C659" s="802"/>
      <c r="D659" s="803"/>
      <c r="E659" s="803"/>
      <c r="F659" s="803"/>
      <c r="G659" s="803"/>
      <c r="H659" s="803"/>
      <c r="I659" s="803"/>
      <c r="J659" s="803"/>
      <c r="K659" s="803"/>
      <c r="L659" s="804"/>
    </row>
    <row r="660" spans="2:12" x14ac:dyDescent="0.25">
      <c r="B660" s="802"/>
      <c r="C660" s="802"/>
      <c r="D660" s="803"/>
      <c r="E660" s="803"/>
      <c r="F660" s="803"/>
      <c r="G660" s="803"/>
      <c r="H660" s="803"/>
      <c r="I660" s="803"/>
      <c r="J660" s="803"/>
      <c r="K660" s="803"/>
      <c r="L660" s="804"/>
    </row>
    <row r="661" spans="2:12" x14ac:dyDescent="0.25">
      <c r="B661" s="802"/>
      <c r="C661" s="802"/>
      <c r="D661" s="803"/>
      <c r="E661" s="803"/>
      <c r="F661" s="803"/>
      <c r="G661" s="803"/>
      <c r="H661" s="803"/>
      <c r="I661" s="803"/>
      <c r="J661" s="803"/>
      <c r="K661" s="803"/>
      <c r="L661" s="804"/>
    </row>
    <row r="662" spans="2:12" x14ac:dyDescent="0.25">
      <c r="B662" s="802"/>
      <c r="C662" s="802"/>
      <c r="D662" s="803"/>
      <c r="E662" s="803"/>
      <c r="F662" s="803"/>
      <c r="G662" s="803"/>
      <c r="H662" s="803"/>
      <c r="I662" s="803"/>
      <c r="J662" s="803"/>
      <c r="K662" s="803"/>
      <c r="L662" s="804"/>
    </row>
    <row r="663" spans="2:12" x14ac:dyDescent="0.25">
      <c r="B663" s="802"/>
      <c r="C663" s="802"/>
      <c r="D663" s="803"/>
      <c r="E663" s="803"/>
      <c r="F663" s="803"/>
      <c r="G663" s="803"/>
      <c r="H663" s="803"/>
      <c r="I663" s="803"/>
      <c r="J663" s="803"/>
      <c r="K663" s="803"/>
      <c r="L663" s="804"/>
    </row>
    <row r="664" spans="2:12" x14ac:dyDescent="0.25">
      <c r="B664" s="802"/>
      <c r="C664" s="802"/>
      <c r="D664" s="803"/>
      <c r="E664" s="803"/>
      <c r="F664" s="803"/>
      <c r="G664" s="803"/>
      <c r="H664" s="803"/>
      <c r="I664" s="803"/>
      <c r="J664" s="803"/>
      <c r="K664" s="803"/>
      <c r="L664" s="804"/>
    </row>
    <row r="665" spans="2:12" x14ac:dyDescent="0.25">
      <c r="B665" s="802"/>
      <c r="C665" s="802"/>
      <c r="D665" s="803"/>
      <c r="E665" s="803"/>
      <c r="F665" s="803"/>
      <c r="G665" s="803"/>
      <c r="H665" s="803"/>
      <c r="I665" s="803"/>
      <c r="J665" s="803"/>
      <c r="K665" s="803"/>
      <c r="L665" s="804"/>
    </row>
    <row r="666" spans="2:12" x14ac:dyDescent="0.25">
      <c r="B666" s="802"/>
      <c r="C666" s="802"/>
      <c r="D666" s="803"/>
      <c r="E666" s="803"/>
      <c r="F666" s="803"/>
      <c r="G666" s="803"/>
      <c r="H666" s="803"/>
      <c r="I666" s="803"/>
      <c r="J666" s="803"/>
      <c r="K666" s="803"/>
      <c r="L666" s="804"/>
    </row>
    <row r="667" spans="2:12" x14ac:dyDescent="0.25">
      <c r="B667" s="802"/>
      <c r="C667" s="802"/>
      <c r="D667" s="803"/>
      <c r="E667" s="803"/>
      <c r="F667" s="803"/>
      <c r="G667" s="803"/>
      <c r="H667" s="803"/>
      <c r="I667" s="803"/>
      <c r="J667" s="803"/>
      <c r="K667" s="803"/>
      <c r="L667" s="804"/>
    </row>
    <row r="668" spans="2:12" x14ac:dyDescent="0.25">
      <c r="B668" s="802"/>
      <c r="C668" s="802"/>
      <c r="D668" s="803"/>
      <c r="E668" s="803"/>
      <c r="F668" s="803"/>
      <c r="G668" s="803"/>
      <c r="H668" s="803"/>
      <c r="I668" s="803"/>
      <c r="J668" s="803"/>
      <c r="K668" s="803"/>
      <c r="L668" s="804"/>
    </row>
    <row r="669" spans="2:12" x14ac:dyDescent="0.25">
      <c r="B669" s="802"/>
      <c r="C669" s="802"/>
      <c r="D669" s="803"/>
      <c r="E669" s="803"/>
      <c r="F669" s="803"/>
      <c r="G669" s="803"/>
      <c r="H669" s="803"/>
      <c r="I669" s="803"/>
      <c r="J669" s="803"/>
      <c r="K669" s="803"/>
      <c r="L669" s="804"/>
    </row>
    <row r="670" spans="2:12" x14ac:dyDescent="0.25">
      <c r="B670" s="802"/>
      <c r="C670" s="802"/>
      <c r="D670" s="803"/>
      <c r="E670" s="803"/>
      <c r="F670" s="803"/>
      <c r="G670" s="803"/>
      <c r="H670" s="803"/>
      <c r="I670" s="803"/>
      <c r="J670" s="803"/>
      <c r="K670" s="803"/>
      <c r="L670" s="804"/>
    </row>
    <row r="671" spans="2:12" x14ac:dyDescent="0.25">
      <c r="B671" s="802"/>
      <c r="C671" s="802"/>
      <c r="D671" s="803"/>
      <c r="E671" s="803"/>
      <c r="F671" s="803"/>
      <c r="G671" s="803"/>
      <c r="H671" s="803"/>
      <c r="I671" s="803"/>
      <c r="J671" s="803"/>
      <c r="K671" s="803"/>
      <c r="L671" s="804"/>
    </row>
    <row r="672" spans="2:12" x14ac:dyDescent="0.25">
      <c r="B672" s="802"/>
      <c r="C672" s="802"/>
      <c r="D672" s="803"/>
      <c r="E672" s="803"/>
      <c r="F672" s="803"/>
      <c r="G672" s="803"/>
      <c r="H672" s="803"/>
      <c r="I672" s="803"/>
      <c r="J672" s="803"/>
      <c r="K672" s="803"/>
      <c r="L672" s="804"/>
    </row>
    <row r="673" spans="2:12" x14ac:dyDescent="0.25">
      <c r="B673" s="802"/>
      <c r="C673" s="802"/>
      <c r="D673" s="803"/>
      <c r="E673" s="803"/>
      <c r="F673" s="803"/>
      <c r="G673" s="803"/>
      <c r="H673" s="803"/>
      <c r="I673" s="803"/>
      <c r="J673" s="803"/>
      <c r="K673" s="803"/>
      <c r="L673" s="804"/>
    </row>
    <row r="674" spans="2:12" x14ac:dyDescent="0.25">
      <c r="B674" s="802"/>
      <c r="C674" s="802"/>
      <c r="D674" s="803"/>
      <c r="E674" s="803"/>
      <c r="F674" s="803"/>
      <c r="G674" s="803"/>
      <c r="H674" s="803"/>
      <c r="I674" s="803"/>
      <c r="J674" s="803"/>
      <c r="K674" s="803"/>
      <c r="L674" s="804"/>
    </row>
    <row r="675" spans="2:12" x14ac:dyDescent="0.25">
      <c r="B675" s="802"/>
      <c r="C675" s="802"/>
      <c r="D675" s="803"/>
      <c r="E675" s="803"/>
      <c r="F675" s="803"/>
      <c r="G675" s="803"/>
      <c r="H675" s="803"/>
      <c r="I675" s="803"/>
      <c r="J675" s="803"/>
      <c r="K675" s="803"/>
      <c r="L675" s="804"/>
    </row>
    <row r="676" spans="2:12" x14ac:dyDescent="0.25">
      <c r="B676" s="802"/>
      <c r="C676" s="802"/>
      <c r="D676" s="803"/>
      <c r="E676" s="803"/>
      <c r="F676" s="803"/>
      <c r="G676" s="803"/>
      <c r="H676" s="803"/>
      <c r="I676" s="803"/>
      <c r="J676" s="803"/>
      <c r="K676" s="803"/>
      <c r="L676" s="804"/>
    </row>
    <row r="677" spans="2:12" x14ac:dyDescent="0.25">
      <c r="B677" s="802"/>
      <c r="C677" s="802"/>
      <c r="D677" s="803"/>
      <c r="E677" s="803"/>
      <c r="F677" s="803"/>
      <c r="G677" s="803"/>
      <c r="H677" s="803"/>
      <c r="I677" s="803"/>
      <c r="J677" s="803"/>
      <c r="K677" s="803"/>
      <c r="L677" s="804"/>
    </row>
    <row r="678" spans="2:12" x14ac:dyDescent="0.25">
      <c r="B678" s="802"/>
      <c r="C678" s="802"/>
      <c r="D678" s="803"/>
      <c r="E678" s="803"/>
      <c r="F678" s="803"/>
      <c r="G678" s="803"/>
      <c r="H678" s="803"/>
      <c r="I678" s="803"/>
      <c r="J678" s="803"/>
      <c r="K678" s="803"/>
      <c r="L678" s="804"/>
    </row>
    <row r="679" spans="2:12" x14ac:dyDescent="0.25">
      <c r="B679" s="802"/>
      <c r="C679" s="802"/>
      <c r="D679" s="803"/>
      <c r="E679" s="803"/>
      <c r="F679" s="803"/>
      <c r="G679" s="803"/>
      <c r="H679" s="803"/>
      <c r="I679" s="803"/>
      <c r="J679" s="803"/>
      <c r="K679" s="803"/>
      <c r="L679" s="804"/>
    </row>
    <row r="680" spans="2:12" x14ac:dyDescent="0.25">
      <c r="B680" s="802"/>
      <c r="C680" s="802"/>
      <c r="D680" s="803"/>
      <c r="E680" s="803"/>
      <c r="F680" s="803"/>
      <c r="G680" s="803"/>
      <c r="H680" s="803"/>
      <c r="I680" s="803"/>
      <c r="J680" s="803"/>
      <c r="K680" s="803"/>
      <c r="L680" s="804"/>
    </row>
    <row r="681" spans="2:12" x14ac:dyDescent="0.25">
      <c r="B681" s="802"/>
      <c r="C681" s="802"/>
      <c r="D681" s="803"/>
      <c r="E681" s="803"/>
      <c r="F681" s="803"/>
      <c r="G681" s="803"/>
      <c r="H681" s="803"/>
      <c r="I681" s="803"/>
      <c r="J681" s="803"/>
      <c r="K681" s="803"/>
      <c r="L681" s="804"/>
    </row>
    <row r="682" spans="2:12" x14ac:dyDescent="0.25">
      <c r="B682" s="802"/>
      <c r="C682" s="802"/>
      <c r="D682" s="803"/>
      <c r="E682" s="803"/>
      <c r="F682" s="803"/>
      <c r="G682" s="803"/>
      <c r="H682" s="803"/>
      <c r="I682" s="803"/>
      <c r="J682" s="803"/>
      <c r="K682" s="803"/>
      <c r="L682" s="804"/>
    </row>
    <row r="683" spans="2:12" x14ac:dyDescent="0.25">
      <c r="B683" s="802"/>
      <c r="C683" s="802"/>
      <c r="D683" s="803"/>
      <c r="E683" s="803"/>
      <c r="F683" s="803"/>
      <c r="G683" s="803"/>
      <c r="H683" s="803"/>
      <c r="I683" s="803"/>
      <c r="J683" s="803"/>
      <c r="K683" s="803"/>
      <c r="L683" s="804"/>
    </row>
    <row r="684" spans="2:12" x14ac:dyDescent="0.25">
      <c r="B684" s="802"/>
      <c r="C684" s="802"/>
      <c r="D684" s="803"/>
      <c r="E684" s="803"/>
      <c r="F684" s="803"/>
      <c r="G684" s="803"/>
      <c r="H684" s="803"/>
      <c r="I684" s="803"/>
      <c r="J684" s="803"/>
      <c r="K684" s="803"/>
      <c r="L684" s="804"/>
    </row>
    <row r="685" spans="2:12" x14ac:dyDescent="0.25">
      <c r="B685" s="802"/>
      <c r="C685" s="802"/>
      <c r="D685" s="803"/>
      <c r="E685" s="803"/>
      <c r="F685" s="803"/>
      <c r="G685" s="803"/>
      <c r="H685" s="803"/>
      <c r="I685" s="803"/>
      <c r="J685" s="803"/>
      <c r="K685" s="803"/>
      <c r="L685" s="804"/>
    </row>
    <row r="686" spans="2:12" x14ac:dyDescent="0.25">
      <c r="B686" s="802"/>
      <c r="C686" s="802"/>
      <c r="D686" s="803"/>
      <c r="E686" s="803"/>
      <c r="F686" s="803"/>
      <c r="G686" s="803"/>
      <c r="H686" s="803"/>
      <c r="I686" s="803"/>
      <c r="J686" s="803"/>
      <c r="K686" s="803"/>
      <c r="L686" s="804"/>
    </row>
    <row r="687" spans="2:12" x14ac:dyDescent="0.25">
      <c r="B687" s="802"/>
      <c r="C687" s="802"/>
      <c r="D687" s="803"/>
      <c r="E687" s="803"/>
      <c r="F687" s="803"/>
      <c r="G687" s="803"/>
      <c r="H687" s="803"/>
      <c r="I687" s="803"/>
      <c r="J687" s="803"/>
      <c r="K687" s="803"/>
      <c r="L687" s="804"/>
    </row>
    <row r="688" spans="2:12" x14ac:dyDescent="0.25">
      <c r="B688" s="802"/>
      <c r="C688" s="802"/>
      <c r="D688" s="803"/>
      <c r="E688" s="803"/>
      <c r="F688" s="803"/>
      <c r="G688" s="803"/>
      <c r="H688" s="803"/>
      <c r="I688" s="803"/>
      <c r="J688" s="803"/>
      <c r="K688" s="803"/>
      <c r="L688" s="804"/>
    </row>
    <row r="689" spans="2:12" x14ac:dyDescent="0.25">
      <c r="B689" s="802"/>
      <c r="C689" s="802"/>
      <c r="D689" s="803"/>
      <c r="E689" s="803"/>
      <c r="F689" s="803"/>
      <c r="G689" s="803"/>
      <c r="H689" s="803"/>
      <c r="I689" s="803"/>
      <c r="J689" s="803"/>
      <c r="K689" s="803"/>
      <c r="L689" s="804"/>
    </row>
    <row r="690" spans="2:12" x14ac:dyDescent="0.25">
      <c r="B690" s="802"/>
      <c r="C690" s="802"/>
      <c r="D690" s="803"/>
      <c r="E690" s="803"/>
      <c r="F690" s="803"/>
      <c r="G690" s="803"/>
      <c r="H690" s="803"/>
      <c r="I690" s="803"/>
      <c r="J690" s="803"/>
      <c r="K690" s="803"/>
      <c r="L690" s="804"/>
    </row>
    <row r="691" spans="2:12" x14ac:dyDescent="0.25">
      <c r="B691" s="802"/>
      <c r="C691" s="802"/>
      <c r="D691" s="803"/>
      <c r="E691" s="803"/>
      <c r="F691" s="803"/>
      <c r="G691" s="803"/>
      <c r="H691" s="803"/>
      <c r="I691" s="803"/>
      <c r="J691" s="803"/>
      <c r="K691" s="803"/>
      <c r="L691" s="804"/>
    </row>
    <row r="692" spans="2:12" x14ac:dyDescent="0.25">
      <c r="B692" s="802"/>
      <c r="C692" s="802"/>
      <c r="D692" s="803"/>
      <c r="E692" s="803"/>
      <c r="F692" s="803"/>
      <c r="G692" s="803"/>
      <c r="H692" s="803"/>
      <c r="I692" s="803"/>
      <c r="J692" s="803"/>
      <c r="K692" s="803"/>
      <c r="L692" s="804"/>
    </row>
    <row r="693" spans="2:12" x14ac:dyDescent="0.25">
      <c r="B693" s="802"/>
      <c r="C693" s="802"/>
      <c r="D693" s="803"/>
      <c r="E693" s="803"/>
      <c r="F693" s="803"/>
      <c r="G693" s="803"/>
      <c r="H693" s="803"/>
      <c r="I693" s="803"/>
      <c r="J693" s="803"/>
      <c r="K693" s="803"/>
      <c r="L693" s="804"/>
    </row>
    <row r="694" spans="2:12" x14ac:dyDescent="0.25">
      <c r="B694" s="802"/>
      <c r="C694" s="802"/>
      <c r="D694" s="803"/>
      <c r="E694" s="803"/>
      <c r="F694" s="803"/>
      <c r="G694" s="803"/>
      <c r="H694" s="803"/>
      <c r="I694" s="803"/>
      <c r="J694" s="803"/>
      <c r="K694" s="803"/>
      <c r="L694" s="804"/>
    </row>
    <row r="695" spans="2:12" x14ac:dyDescent="0.25">
      <c r="B695" s="802"/>
      <c r="C695" s="802"/>
      <c r="D695" s="803"/>
      <c r="E695" s="803"/>
      <c r="F695" s="803"/>
      <c r="G695" s="803"/>
      <c r="H695" s="803"/>
      <c r="I695" s="803"/>
      <c r="J695" s="803"/>
      <c r="K695" s="803"/>
      <c r="L695" s="804"/>
    </row>
    <row r="696" spans="2:12" x14ac:dyDescent="0.25">
      <c r="B696" s="802"/>
      <c r="C696" s="802"/>
      <c r="D696" s="803"/>
      <c r="E696" s="803"/>
      <c r="F696" s="803"/>
      <c r="G696" s="803"/>
      <c r="H696" s="803"/>
      <c r="I696" s="803"/>
      <c r="J696" s="803"/>
      <c r="K696" s="803"/>
      <c r="L696" s="804"/>
    </row>
    <row r="697" spans="2:12" x14ac:dyDescent="0.25">
      <c r="B697" s="802"/>
      <c r="C697" s="802"/>
      <c r="D697" s="803"/>
      <c r="E697" s="803"/>
      <c r="F697" s="803"/>
      <c r="G697" s="803"/>
      <c r="H697" s="803"/>
      <c r="I697" s="803"/>
      <c r="J697" s="803"/>
      <c r="K697" s="803"/>
      <c r="L697" s="804"/>
    </row>
    <row r="698" spans="2:12" x14ac:dyDescent="0.25">
      <c r="B698" s="802"/>
      <c r="C698" s="802"/>
      <c r="D698" s="803"/>
      <c r="E698" s="803"/>
      <c r="F698" s="803"/>
      <c r="G698" s="803"/>
      <c r="H698" s="803"/>
      <c r="I698" s="803"/>
      <c r="J698" s="803"/>
      <c r="K698" s="803"/>
      <c r="L698" s="804"/>
    </row>
    <row r="699" spans="2:12" x14ac:dyDescent="0.25">
      <c r="B699" s="802"/>
      <c r="C699" s="802"/>
      <c r="D699" s="803"/>
      <c r="E699" s="803"/>
      <c r="F699" s="803"/>
      <c r="G699" s="803"/>
      <c r="H699" s="803"/>
      <c r="I699" s="803"/>
      <c r="J699" s="803"/>
      <c r="K699" s="803"/>
      <c r="L699" s="804"/>
    </row>
    <row r="700" spans="2:12" x14ac:dyDescent="0.25">
      <c r="B700" s="802"/>
      <c r="C700" s="802"/>
      <c r="D700" s="803"/>
      <c r="E700" s="803"/>
      <c r="F700" s="803"/>
      <c r="G700" s="803"/>
      <c r="H700" s="803"/>
      <c r="I700" s="803"/>
      <c r="J700" s="803"/>
      <c r="K700" s="803"/>
      <c r="L700" s="804"/>
    </row>
    <row r="701" spans="2:12" x14ac:dyDescent="0.25">
      <c r="B701" s="802"/>
      <c r="C701" s="802"/>
      <c r="D701" s="803"/>
      <c r="E701" s="803"/>
      <c r="F701" s="803"/>
      <c r="G701" s="803"/>
      <c r="H701" s="803"/>
      <c r="I701" s="803"/>
      <c r="J701" s="803"/>
      <c r="K701" s="803"/>
      <c r="L701" s="804"/>
    </row>
    <row r="702" spans="2:12" x14ac:dyDescent="0.25">
      <c r="B702" s="802"/>
      <c r="C702" s="802"/>
      <c r="D702" s="803"/>
      <c r="E702" s="803"/>
      <c r="F702" s="803"/>
      <c r="G702" s="803"/>
      <c r="H702" s="803"/>
      <c r="I702" s="803"/>
      <c r="J702" s="803"/>
      <c r="K702" s="803"/>
      <c r="L702" s="804"/>
    </row>
    <row r="703" spans="2:12" x14ac:dyDescent="0.25">
      <c r="B703" s="802"/>
      <c r="C703" s="802"/>
      <c r="D703" s="803"/>
      <c r="E703" s="803"/>
      <c r="F703" s="803"/>
      <c r="G703" s="803"/>
      <c r="H703" s="803"/>
      <c r="I703" s="803"/>
      <c r="J703" s="803"/>
      <c r="K703" s="803"/>
      <c r="L703" s="804"/>
    </row>
    <row r="704" spans="2:12" x14ac:dyDescent="0.25">
      <c r="B704" s="802"/>
      <c r="C704" s="802"/>
      <c r="D704" s="803"/>
      <c r="E704" s="803"/>
      <c r="F704" s="803"/>
      <c r="G704" s="803"/>
      <c r="H704" s="803"/>
      <c r="I704" s="803"/>
      <c r="J704" s="803"/>
      <c r="K704" s="803"/>
      <c r="L704" s="804"/>
    </row>
    <row r="705" spans="2:12" x14ac:dyDescent="0.25">
      <c r="B705" s="802"/>
      <c r="C705" s="802"/>
      <c r="D705" s="803"/>
      <c r="E705" s="803"/>
      <c r="F705" s="803"/>
      <c r="G705" s="803"/>
      <c r="H705" s="803"/>
      <c r="I705" s="803"/>
      <c r="J705" s="803"/>
      <c r="K705" s="803"/>
      <c r="L705" s="804"/>
    </row>
    <row r="706" spans="2:12" x14ac:dyDescent="0.25">
      <c r="B706" s="802"/>
      <c r="C706" s="802"/>
      <c r="D706" s="803"/>
      <c r="E706" s="803"/>
      <c r="F706" s="803"/>
      <c r="G706" s="803"/>
      <c r="H706" s="803"/>
      <c r="I706" s="803"/>
      <c r="J706" s="803"/>
      <c r="K706" s="803"/>
      <c r="L706" s="804"/>
    </row>
    <row r="707" spans="2:12" x14ac:dyDescent="0.25">
      <c r="B707" s="802"/>
      <c r="C707" s="802"/>
      <c r="D707" s="803"/>
      <c r="E707" s="803"/>
      <c r="F707" s="803"/>
      <c r="G707" s="803"/>
      <c r="H707" s="803"/>
      <c r="I707" s="803"/>
      <c r="J707" s="803"/>
      <c r="K707" s="803"/>
      <c r="L707" s="804"/>
    </row>
    <row r="708" spans="2:12" x14ac:dyDescent="0.25">
      <c r="B708" s="802"/>
      <c r="C708" s="802"/>
      <c r="D708" s="803"/>
      <c r="E708" s="803"/>
      <c r="F708" s="803"/>
      <c r="G708" s="803"/>
      <c r="H708" s="803"/>
      <c r="I708" s="803"/>
      <c r="J708" s="803"/>
      <c r="K708" s="803"/>
      <c r="L708" s="804"/>
    </row>
    <row r="709" spans="2:12" x14ac:dyDescent="0.25">
      <c r="B709" s="802"/>
      <c r="C709" s="802"/>
      <c r="D709" s="803"/>
      <c r="E709" s="803"/>
      <c r="F709" s="803"/>
      <c r="G709" s="803"/>
      <c r="H709" s="803"/>
      <c r="I709" s="803"/>
      <c r="J709" s="803"/>
      <c r="K709" s="803"/>
      <c r="L709" s="804"/>
    </row>
    <row r="710" spans="2:12" x14ac:dyDescent="0.25">
      <c r="B710" s="802"/>
      <c r="C710" s="802"/>
      <c r="D710" s="803"/>
      <c r="E710" s="803"/>
      <c r="F710" s="803"/>
      <c r="G710" s="803"/>
      <c r="H710" s="803"/>
      <c r="I710" s="803"/>
      <c r="J710" s="803"/>
      <c r="K710" s="803"/>
      <c r="L710" s="804"/>
    </row>
    <row r="711" spans="2:12" x14ac:dyDescent="0.25">
      <c r="B711" s="802"/>
      <c r="C711" s="802"/>
      <c r="D711" s="803"/>
      <c r="E711" s="803"/>
      <c r="F711" s="803"/>
      <c r="G711" s="803"/>
      <c r="H711" s="803"/>
      <c r="I711" s="803"/>
      <c r="J711" s="803"/>
      <c r="K711" s="803"/>
      <c r="L711" s="804"/>
    </row>
    <row r="712" spans="2:12" x14ac:dyDescent="0.25">
      <c r="B712" s="802"/>
      <c r="C712" s="802"/>
      <c r="D712" s="803"/>
      <c r="E712" s="803"/>
      <c r="F712" s="803"/>
      <c r="G712" s="803"/>
      <c r="H712" s="803"/>
      <c r="I712" s="803"/>
      <c r="J712" s="803"/>
      <c r="K712" s="803"/>
      <c r="L712" s="804"/>
    </row>
    <row r="713" spans="2:12" x14ac:dyDescent="0.25">
      <c r="B713" s="802"/>
      <c r="C713" s="802"/>
      <c r="D713" s="803"/>
      <c r="E713" s="803"/>
      <c r="F713" s="803"/>
      <c r="G713" s="803"/>
      <c r="H713" s="803"/>
      <c r="I713" s="803"/>
      <c r="J713" s="803"/>
      <c r="K713" s="803"/>
      <c r="L713" s="804"/>
    </row>
    <row r="714" spans="2:12" x14ac:dyDescent="0.25">
      <c r="B714" s="802"/>
      <c r="C714" s="802"/>
      <c r="D714" s="803"/>
      <c r="E714" s="803"/>
      <c r="F714" s="803"/>
      <c r="G714" s="803"/>
      <c r="H714" s="803"/>
      <c r="I714" s="803"/>
      <c r="J714" s="803"/>
      <c r="K714" s="803"/>
      <c r="L714" s="804"/>
    </row>
    <row r="715" spans="2:12" x14ac:dyDescent="0.25">
      <c r="B715" s="802"/>
      <c r="C715" s="802"/>
      <c r="D715" s="803"/>
      <c r="E715" s="803"/>
      <c r="F715" s="803"/>
      <c r="G715" s="803"/>
      <c r="H715" s="803"/>
      <c r="I715" s="803"/>
      <c r="J715" s="803"/>
      <c r="K715" s="803"/>
      <c r="L715" s="804"/>
    </row>
    <row r="716" spans="2:12" x14ac:dyDescent="0.25">
      <c r="B716" s="802"/>
      <c r="C716" s="802"/>
      <c r="D716" s="803"/>
      <c r="E716" s="803"/>
      <c r="F716" s="803"/>
      <c r="G716" s="803"/>
      <c r="H716" s="803"/>
      <c r="I716" s="803"/>
      <c r="J716" s="803"/>
      <c r="K716" s="803"/>
      <c r="L716" s="804"/>
    </row>
    <row r="717" spans="2:12" x14ac:dyDescent="0.25">
      <c r="B717" s="802"/>
      <c r="C717" s="802"/>
      <c r="D717" s="803"/>
      <c r="E717" s="803"/>
      <c r="F717" s="803"/>
      <c r="G717" s="803"/>
      <c r="H717" s="803"/>
      <c r="I717" s="803"/>
      <c r="J717" s="803"/>
      <c r="K717" s="803"/>
      <c r="L717" s="804"/>
    </row>
    <row r="718" spans="2:12" x14ac:dyDescent="0.25">
      <c r="B718" s="802"/>
      <c r="C718" s="802"/>
      <c r="D718" s="803"/>
      <c r="E718" s="803"/>
      <c r="F718" s="803"/>
      <c r="G718" s="803"/>
      <c r="H718" s="803"/>
      <c r="I718" s="803"/>
      <c r="J718" s="803"/>
      <c r="K718" s="803"/>
      <c r="L718" s="804"/>
    </row>
    <row r="719" spans="2:12" x14ac:dyDescent="0.25">
      <c r="B719" s="802"/>
      <c r="C719" s="802"/>
      <c r="D719" s="803"/>
      <c r="E719" s="803"/>
      <c r="F719" s="803"/>
      <c r="G719" s="803"/>
      <c r="H719" s="803"/>
      <c r="I719" s="803"/>
      <c r="J719" s="803"/>
      <c r="K719" s="803"/>
      <c r="L719" s="804"/>
    </row>
    <row r="720" spans="2:12" x14ac:dyDescent="0.25">
      <c r="B720" s="802"/>
      <c r="C720" s="802"/>
      <c r="D720" s="803"/>
      <c r="E720" s="803"/>
      <c r="F720" s="803"/>
      <c r="G720" s="803"/>
      <c r="H720" s="803"/>
      <c r="I720" s="803"/>
      <c r="J720" s="803"/>
      <c r="K720" s="803"/>
      <c r="L720" s="804"/>
    </row>
    <row r="721" spans="2:12" x14ac:dyDescent="0.25">
      <c r="B721" s="802"/>
      <c r="C721" s="802"/>
      <c r="D721" s="803"/>
      <c r="E721" s="803"/>
      <c r="F721" s="803"/>
      <c r="G721" s="803"/>
      <c r="H721" s="803"/>
      <c r="I721" s="803"/>
      <c r="J721" s="803"/>
      <c r="K721" s="803"/>
      <c r="L721" s="804"/>
    </row>
    <row r="722" spans="2:12" x14ac:dyDescent="0.25">
      <c r="B722" s="802"/>
      <c r="C722" s="802"/>
      <c r="D722" s="803"/>
      <c r="E722" s="803"/>
      <c r="F722" s="803"/>
      <c r="G722" s="803"/>
      <c r="H722" s="803"/>
      <c r="I722" s="803"/>
      <c r="J722" s="803"/>
      <c r="K722" s="803"/>
      <c r="L722" s="804"/>
    </row>
    <row r="723" spans="2:12" x14ac:dyDescent="0.25">
      <c r="B723" s="802"/>
      <c r="C723" s="802"/>
      <c r="D723" s="803"/>
      <c r="E723" s="803"/>
      <c r="F723" s="803"/>
      <c r="G723" s="803"/>
      <c r="H723" s="803"/>
      <c r="I723" s="803"/>
      <c r="J723" s="803"/>
      <c r="K723" s="803"/>
      <c r="L723" s="804"/>
    </row>
    <row r="724" spans="2:12" x14ac:dyDescent="0.25">
      <c r="B724" s="802"/>
      <c r="C724" s="802"/>
      <c r="D724" s="803"/>
      <c r="E724" s="803"/>
      <c r="F724" s="803"/>
      <c r="G724" s="803"/>
      <c r="H724" s="803"/>
      <c r="I724" s="803"/>
      <c r="J724" s="803"/>
      <c r="K724" s="803"/>
      <c r="L724" s="804"/>
    </row>
    <row r="725" spans="2:12" x14ac:dyDescent="0.25">
      <c r="B725" s="802"/>
      <c r="C725" s="802"/>
      <c r="D725" s="803"/>
      <c r="E725" s="803"/>
      <c r="F725" s="803"/>
      <c r="G725" s="803"/>
      <c r="H725" s="803"/>
      <c r="I725" s="803"/>
      <c r="J725" s="803"/>
      <c r="K725" s="803"/>
      <c r="L725" s="804"/>
    </row>
    <row r="726" spans="2:12" x14ac:dyDescent="0.25">
      <c r="B726" s="802"/>
      <c r="C726" s="802"/>
      <c r="D726" s="803"/>
      <c r="E726" s="803"/>
      <c r="F726" s="803"/>
      <c r="G726" s="803"/>
      <c r="H726" s="803"/>
      <c r="I726" s="803"/>
      <c r="J726" s="803"/>
      <c r="K726" s="803"/>
      <c r="L726" s="804"/>
    </row>
    <row r="727" spans="2:12" x14ac:dyDescent="0.25">
      <c r="B727" s="802"/>
      <c r="C727" s="802"/>
      <c r="D727" s="803"/>
      <c r="E727" s="803"/>
      <c r="F727" s="803"/>
      <c r="G727" s="803"/>
      <c r="H727" s="803"/>
      <c r="I727" s="803"/>
      <c r="J727" s="803"/>
      <c r="K727" s="803"/>
      <c r="L727" s="804"/>
    </row>
    <row r="728" spans="2:12" x14ac:dyDescent="0.25">
      <c r="B728" s="802"/>
      <c r="C728" s="802"/>
      <c r="D728" s="803"/>
      <c r="E728" s="803"/>
      <c r="F728" s="803"/>
      <c r="G728" s="803"/>
      <c r="H728" s="803"/>
      <c r="I728" s="803"/>
      <c r="J728" s="803"/>
      <c r="K728" s="803"/>
      <c r="L728" s="804"/>
    </row>
    <row r="729" spans="2:12" x14ac:dyDescent="0.25">
      <c r="B729" s="802"/>
      <c r="C729" s="802"/>
      <c r="D729" s="803"/>
      <c r="E729" s="803"/>
      <c r="F729" s="803"/>
      <c r="G729" s="803"/>
      <c r="H729" s="803"/>
      <c r="I729" s="803"/>
      <c r="J729" s="803"/>
      <c r="K729" s="803"/>
      <c r="L729" s="804"/>
    </row>
    <row r="730" spans="2:12" x14ac:dyDescent="0.25">
      <c r="B730" s="802"/>
      <c r="C730" s="802"/>
      <c r="D730" s="803"/>
      <c r="E730" s="803"/>
      <c r="F730" s="803"/>
      <c r="G730" s="803"/>
      <c r="H730" s="803"/>
      <c r="I730" s="803"/>
      <c r="J730" s="803"/>
      <c r="K730" s="803"/>
      <c r="L730" s="804"/>
    </row>
    <row r="731" spans="2:12" x14ac:dyDescent="0.25">
      <c r="B731" s="802"/>
      <c r="C731" s="802"/>
      <c r="D731" s="803"/>
      <c r="E731" s="803"/>
      <c r="F731" s="803"/>
      <c r="G731" s="803"/>
      <c r="H731" s="803"/>
      <c r="I731" s="803"/>
      <c r="J731" s="803"/>
      <c r="K731" s="803"/>
      <c r="L731" s="804"/>
    </row>
    <row r="732" spans="2:12" x14ac:dyDescent="0.25">
      <c r="B732" s="802"/>
      <c r="C732" s="802"/>
      <c r="D732" s="803"/>
      <c r="E732" s="803"/>
      <c r="F732" s="803"/>
      <c r="G732" s="803"/>
      <c r="H732" s="803"/>
      <c r="I732" s="803"/>
      <c r="J732" s="803"/>
      <c r="K732" s="803"/>
      <c r="L732" s="804"/>
    </row>
    <row r="733" spans="2:12" x14ac:dyDescent="0.25">
      <c r="B733" s="802"/>
      <c r="C733" s="802"/>
      <c r="D733" s="803"/>
      <c r="E733" s="803"/>
      <c r="F733" s="803"/>
      <c r="G733" s="803"/>
      <c r="H733" s="803"/>
      <c r="I733" s="803"/>
      <c r="J733" s="803"/>
      <c r="K733" s="803"/>
      <c r="L733" s="804"/>
    </row>
    <row r="734" spans="2:12" x14ac:dyDescent="0.25">
      <c r="B734" s="802"/>
      <c r="C734" s="802"/>
      <c r="D734" s="803"/>
      <c r="E734" s="803"/>
      <c r="F734" s="803"/>
      <c r="G734" s="803"/>
      <c r="H734" s="803"/>
      <c r="I734" s="803"/>
      <c r="J734" s="803"/>
      <c r="K734" s="803"/>
      <c r="L734" s="804"/>
    </row>
    <row r="735" spans="2:12" x14ac:dyDescent="0.25">
      <c r="B735" s="802"/>
      <c r="C735" s="802"/>
      <c r="D735" s="803"/>
      <c r="E735" s="803"/>
      <c r="F735" s="803"/>
      <c r="G735" s="803"/>
      <c r="H735" s="803"/>
      <c r="I735" s="803"/>
      <c r="J735" s="803"/>
      <c r="K735" s="803"/>
      <c r="L735" s="804"/>
    </row>
    <row r="736" spans="2:12" x14ac:dyDescent="0.25">
      <c r="B736" s="802"/>
      <c r="C736" s="802"/>
      <c r="D736" s="803"/>
      <c r="E736" s="803"/>
      <c r="F736" s="803"/>
      <c r="G736" s="803"/>
      <c r="H736" s="803"/>
      <c r="I736" s="803"/>
      <c r="J736" s="803"/>
      <c r="K736" s="803"/>
      <c r="L736" s="804"/>
    </row>
    <row r="737" spans="2:12" x14ac:dyDescent="0.25">
      <c r="B737" s="802"/>
      <c r="C737" s="802"/>
      <c r="D737" s="803"/>
      <c r="E737" s="803"/>
      <c r="F737" s="803"/>
      <c r="G737" s="803"/>
      <c r="H737" s="803"/>
      <c r="I737" s="803"/>
      <c r="J737" s="803"/>
      <c r="K737" s="803"/>
      <c r="L737" s="804"/>
    </row>
    <row r="738" spans="2:12" x14ac:dyDescent="0.25">
      <c r="B738" s="802"/>
      <c r="C738" s="802"/>
      <c r="D738" s="803"/>
      <c r="E738" s="803"/>
      <c r="F738" s="803"/>
      <c r="G738" s="803"/>
      <c r="H738" s="803"/>
      <c r="I738" s="803"/>
      <c r="J738" s="803"/>
      <c r="K738" s="803"/>
      <c r="L738" s="804"/>
    </row>
    <row r="739" spans="2:12" x14ac:dyDescent="0.25">
      <c r="B739" s="802"/>
      <c r="C739" s="802"/>
      <c r="D739" s="803"/>
      <c r="E739" s="803"/>
      <c r="F739" s="803"/>
      <c r="G739" s="803"/>
      <c r="H739" s="803"/>
      <c r="I739" s="803"/>
      <c r="J739" s="803"/>
      <c r="K739" s="803"/>
      <c r="L739" s="804"/>
    </row>
    <row r="740" spans="2:12" x14ac:dyDescent="0.25">
      <c r="B740" s="802"/>
      <c r="C740" s="802"/>
      <c r="D740" s="803"/>
      <c r="E740" s="803"/>
      <c r="F740" s="803"/>
      <c r="G740" s="803"/>
      <c r="H740" s="803"/>
      <c r="I740" s="803"/>
      <c r="J740" s="803"/>
      <c r="K740" s="803"/>
      <c r="L740" s="804"/>
    </row>
    <row r="741" spans="2:12" x14ac:dyDescent="0.25">
      <c r="B741" s="802"/>
      <c r="C741" s="802"/>
      <c r="D741" s="803"/>
      <c r="E741" s="803"/>
      <c r="F741" s="803"/>
      <c r="G741" s="803"/>
      <c r="H741" s="803"/>
      <c r="I741" s="803"/>
      <c r="J741" s="803"/>
      <c r="K741" s="803"/>
      <c r="L741" s="804"/>
    </row>
    <row r="742" spans="2:12" x14ac:dyDescent="0.25">
      <c r="B742" s="802"/>
      <c r="C742" s="802"/>
      <c r="D742" s="803"/>
      <c r="E742" s="803"/>
      <c r="F742" s="803"/>
      <c r="G742" s="803"/>
      <c r="H742" s="803"/>
      <c r="I742" s="803"/>
      <c r="J742" s="803"/>
      <c r="K742" s="803"/>
      <c r="L742" s="804"/>
    </row>
    <row r="743" spans="2:12" x14ac:dyDescent="0.25">
      <c r="B743" s="802"/>
      <c r="C743" s="802"/>
      <c r="D743" s="803"/>
      <c r="E743" s="803"/>
      <c r="F743" s="803"/>
      <c r="G743" s="803"/>
      <c r="H743" s="803"/>
      <c r="I743" s="803"/>
      <c r="J743" s="803"/>
      <c r="K743" s="803"/>
      <c r="L743" s="804"/>
    </row>
    <row r="744" spans="2:12" x14ac:dyDescent="0.25">
      <c r="B744" s="802"/>
      <c r="C744" s="802"/>
      <c r="D744" s="803"/>
      <c r="E744" s="803"/>
      <c r="F744" s="803"/>
      <c r="G744" s="803"/>
      <c r="H744" s="803"/>
      <c r="I744" s="803"/>
      <c r="J744" s="803"/>
      <c r="K744" s="803"/>
      <c r="L744" s="804"/>
    </row>
    <row r="745" spans="2:12" x14ac:dyDescent="0.25">
      <c r="B745" s="802"/>
      <c r="C745" s="802"/>
      <c r="D745" s="803"/>
      <c r="E745" s="803"/>
      <c r="F745" s="803"/>
      <c r="G745" s="803"/>
      <c r="H745" s="803"/>
      <c r="I745" s="803"/>
      <c r="J745" s="803"/>
      <c r="K745" s="803"/>
      <c r="L745" s="804"/>
    </row>
    <row r="746" spans="2:12" x14ac:dyDescent="0.25">
      <c r="B746" s="802"/>
      <c r="C746" s="802"/>
      <c r="D746" s="803"/>
      <c r="E746" s="803"/>
      <c r="F746" s="803"/>
      <c r="G746" s="803"/>
      <c r="H746" s="803"/>
      <c r="I746" s="803"/>
      <c r="J746" s="803"/>
      <c r="K746" s="803"/>
      <c r="L746" s="804"/>
    </row>
    <row r="747" spans="2:12" x14ac:dyDescent="0.25">
      <c r="B747" s="802"/>
      <c r="C747" s="802"/>
      <c r="D747" s="803"/>
      <c r="E747" s="803"/>
      <c r="F747" s="803"/>
      <c r="G747" s="803"/>
      <c r="H747" s="803"/>
      <c r="I747" s="803"/>
      <c r="J747" s="803"/>
      <c r="K747" s="803"/>
      <c r="L747" s="804"/>
    </row>
    <row r="748" spans="2:12" x14ac:dyDescent="0.25">
      <c r="B748" s="802"/>
      <c r="C748" s="802"/>
      <c r="D748" s="803"/>
      <c r="E748" s="803"/>
      <c r="F748" s="803"/>
      <c r="G748" s="803"/>
      <c r="H748" s="803"/>
      <c r="I748" s="803"/>
      <c r="J748" s="803"/>
      <c r="K748" s="803"/>
      <c r="L748" s="804"/>
    </row>
    <row r="749" spans="2:12" x14ac:dyDescent="0.25">
      <c r="B749" s="802"/>
      <c r="C749" s="802"/>
      <c r="D749" s="803"/>
      <c r="E749" s="803"/>
      <c r="F749" s="803"/>
      <c r="G749" s="803"/>
      <c r="H749" s="803"/>
      <c r="I749" s="803"/>
      <c r="J749" s="803"/>
      <c r="K749" s="803"/>
      <c r="L749" s="804"/>
    </row>
    <row r="750" spans="2:12" x14ac:dyDescent="0.25">
      <c r="B750" s="802"/>
      <c r="C750" s="802"/>
      <c r="D750" s="803"/>
      <c r="E750" s="803"/>
      <c r="F750" s="803"/>
      <c r="G750" s="803"/>
      <c r="H750" s="803"/>
      <c r="I750" s="803"/>
      <c r="J750" s="803"/>
      <c r="K750" s="803"/>
      <c r="L750" s="804"/>
    </row>
    <row r="751" spans="2:12" x14ac:dyDescent="0.25">
      <c r="B751" s="802"/>
      <c r="C751" s="802"/>
      <c r="D751" s="803"/>
      <c r="E751" s="803"/>
      <c r="F751" s="803"/>
      <c r="G751" s="803"/>
      <c r="H751" s="803"/>
      <c r="I751" s="803"/>
      <c r="J751" s="803"/>
      <c r="K751" s="803"/>
      <c r="L751" s="804"/>
    </row>
    <row r="752" spans="2:12" x14ac:dyDescent="0.25">
      <c r="B752" s="802"/>
      <c r="C752" s="802"/>
      <c r="D752" s="803"/>
      <c r="E752" s="803"/>
      <c r="F752" s="803"/>
      <c r="G752" s="803"/>
      <c r="H752" s="803"/>
      <c r="I752" s="803"/>
      <c r="J752" s="803"/>
      <c r="K752" s="803"/>
      <c r="L752" s="804"/>
    </row>
    <row r="753" spans="2:12" x14ac:dyDescent="0.25">
      <c r="B753" s="802"/>
      <c r="C753" s="802"/>
      <c r="D753" s="803"/>
      <c r="E753" s="803"/>
      <c r="F753" s="803"/>
      <c r="G753" s="803"/>
      <c r="H753" s="803"/>
      <c r="I753" s="803"/>
      <c r="J753" s="803"/>
      <c r="K753" s="803"/>
      <c r="L753" s="804"/>
    </row>
    <row r="754" spans="2:12" x14ac:dyDescent="0.25">
      <c r="B754" s="802"/>
      <c r="C754" s="802"/>
      <c r="D754" s="803"/>
      <c r="E754" s="803"/>
      <c r="F754" s="803"/>
      <c r="G754" s="803"/>
      <c r="H754" s="803"/>
      <c r="I754" s="803"/>
      <c r="J754" s="803"/>
      <c r="K754" s="803"/>
      <c r="L754" s="804"/>
    </row>
    <row r="755" spans="2:12" x14ac:dyDescent="0.25">
      <c r="B755" s="802"/>
      <c r="C755" s="802"/>
      <c r="D755" s="803"/>
      <c r="E755" s="803"/>
      <c r="F755" s="803"/>
      <c r="G755" s="803"/>
      <c r="H755" s="803"/>
      <c r="I755" s="803"/>
      <c r="J755" s="803"/>
      <c r="K755" s="803"/>
      <c r="L755" s="804"/>
    </row>
    <row r="756" spans="2:12" x14ac:dyDescent="0.25">
      <c r="B756" s="802"/>
      <c r="C756" s="802"/>
      <c r="D756" s="803"/>
      <c r="E756" s="803"/>
      <c r="F756" s="803"/>
      <c r="G756" s="803"/>
      <c r="H756" s="803"/>
      <c r="I756" s="803"/>
      <c r="J756" s="803"/>
      <c r="K756" s="803"/>
      <c r="L756" s="804"/>
    </row>
    <row r="757" spans="2:12" x14ac:dyDescent="0.25">
      <c r="B757" s="802"/>
      <c r="C757" s="802"/>
      <c r="D757" s="803"/>
      <c r="E757" s="803"/>
      <c r="F757" s="803"/>
      <c r="G757" s="803"/>
      <c r="H757" s="803"/>
      <c r="I757" s="803"/>
      <c r="J757" s="803"/>
      <c r="K757" s="803"/>
      <c r="L757" s="804"/>
    </row>
    <row r="758" spans="2:12" x14ac:dyDescent="0.25">
      <c r="B758" s="802"/>
      <c r="C758" s="802"/>
      <c r="D758" s="803"/>
      <c r="E758" s="803"/>
      <c r="F758" s="803"/>
      <c r="G758" s="803"/>
      <c r="H758" s="803"/>
      <c r="I758" s="803"/>
      <c r="J758" s="803"/>
      <c r="K758" s="803"/>
      <c r="L758" s="804"/>
    </row>
    <row r="759" spans="2:12" x14ac:dyDescent="0.25">
      <c r="B759" s="802"/>
      <c r="C759" s="802"/>
      <c r="D759" s="803"/>
      <c r="E759" s="803"/>
      <c r="F759" s="803"/>
      <c r="G759" s="803"/>
      <c r="H759" s="803"/>
      <c r="I759" s="803"/>
      <c r="J759" s="803"/>
      <c r="K759" s="803"/>
      <c r="L759" s="804"/>
    </row>
    <row r="760" spans="2:12" x14ac:dyDescent="0.25">
      <c r="B760" s="802"/>
      <c r="C760" s="802"/>
      <c r="D760" s="803"/>
      <c r="E760" s="803"/>
      <c r="F760" s="803"/>
      <c r="G760" s="803"/>
      <c r="H760" s="803"/>
      <c r="I760" s="803"/>
      <c r="J760" s="803"/>
      <c r="K760" s="803"/>
      <c r="L760" s="804"/>
    </row>
    <row r="761" spans="2:12" x14ac:dyDescent="0.25">
      <c r="B761" s="802"/>
      <c r="C761" s="802"/>
      <c r="D761" s="803"/>
      <c r="E761" s="803"/>
      <c r="F761" s="803"/>
      <c r="G761" s="803"/>
      <c r="H761" s="803"/>
      <c r="I761" s="803"/>
      <c r="J761" s="803"/>
      <c r="K761" s="803"/>
      <c r="L761" s="804"/>
    </row>
    <row r="762" spans="2:12" x14ac:dyDescent="0.25">
      <c r="B762" s="802"/>
      <c r="C762" s="802"/>
      <c r="D762" s="803"/>
      <c r="E762" s="803"/>
      <c r="F762" s="803"/>
      <c r="G762" s="803"/>
      <c r="H762" s="803"/>
      <c r="I762" s="803"/>
      <c r="J762" s="803"/>
      <c r="K762" s="803"/>
      <c r="L762" s="804"/>
    </row>
    <row r="763" spans="2:12" x14ac:dyDescent="0.25">
      <c r="B763" s="802"/>
      <c r="C763" s="802"/>
      <c r="D763" s="803"/>
      <c r="E763" s="803"/>
      <c r="F763" s="803"/>
      <c r="G763" s="803"/>
      <c r="H763" s="803"/>
      <c r="I763" s="803"/>
      <c r="J763" s="803"/>
      <c r="K763" s="803"/>
      <c r="L763" s="804"/>
    </row>
    <row r="764" spans="2:12" x14ac:dyDescent="0.25">
      <c r="B764" s="802"/>
      <c r="C764" s="802"/>
      <c r="D764" s="803"/>
      <c r="E764" s="803"/>
      <c r="F764" s="803"/>
      <c r="G764" s="803"/>
      <c r="H764" s="803"/>
      <c r="I764" s="803"/>
      <c r="J764" s="803"/>
      <c r="K764" s="803"/>
      <c r="L764" s="804"/>
    </row>
    <row r="765" spans="2:12" x14ac:dyDescent="0.25">
      <c r="B765" s="802"/>
      <c r="C765" s="802"/>
      <c r="D765" s="803"/>
      <c r="E765" s="803"/>
      <c r="F765" s="803"/>
      <c r="G765" s="803"/>
      <c r="H765" s="803"/>
      <c r="I765" s="803"/>
      <c r="J765" s="803"/>
      <c r="K765" s="803"/>
      <c r="L765" s="804"/>
    </row>
    <row r="766" spans="2:12" x14ac:dyDescent="0.25">
      <c r="B766" s="802"/>
      <c r="C766" s="802"/>
      <c r="D766" s="803"/>
      <c r="E766" s="803"/>
      <c r="F766" s="803"/>
      <c r="G766" s="803"/>
      <c r="H766" s="803"/>
      <c r="I766" s="803"/>
      <c r="J766" s="803"/>
      <c r="K766" s="803"/>
      <c r="L766" s="804"/>
    </row>
    <row r="767" spans="2:12" x14ac:dyDescent="0.25">
      <c r="B767" s="802"/>
      <c r="C767" s="802"/>
      <c r="D767" s="803"/>
      <c r="E767" s="803"/>
      <c r="F767" s="803"/>
      <c r="G767" s="803"/>
      <c r="H767" s="803"/>
      <c r="I767" s="803"/>
      <c r="J767" s="803"/>
      <c r="K767" s="803"/>
      <c r="L767" s="804"/>
    </row>
    <row r="768" spans="2:12" x14ac:dyDescent="0.25">
      <c r="B768" s="802"/>
      <c r="C768" s="802"/>
      <c r="D768" s="803"/>
      <c r="E768" s="803"/>
      <c r="F768" s="803"/>
      <c r="G768" s="803"/>
      <c r="H768" s="803"/>
      <c r="I768" s="803"/>
      <c r="J768" s="803"/>
      <c r="K768" s="803"/>
      <c r="L768" s="804"/>
    </row>
    <row r="769" spans="2:12" x14ac:dyDescent="0.25">
      <c r="B769" s="802"/>
      <c r="C769" s="802"/>
      <c r="D769" s="803"/>
      <c r="E769" s="803"/>
      <c r="F769" s="803"/>
      <c r="G769" s="803"/>
      <c r="H769" s="803"/>
      <c r="I769" s="803"/>
      <c r="J769" s="803"/>
      <c r="K769" s="803"/>
      <c r="L769" s="804"/>
    </row>
    <row r="770" spans="2:12" x14ac:dyDescent="0.25">
      <c r="B770" s="802"/>
      <c r="C770" s="802"/>
      <c r="D770" s="803"/>
      <c r="E770" s="803"/>
      <c r="F770" s="803"/>
      <c r="G770" s="803"/>
      <c r="H770" s="803"/>
      <c r="I770" s="803"/>
      <c r="J770" s="803"/>
      <c r="K770" s="803"/>
      <c r="L770" s="804"/>
    </row>
    <row r="771" spans="2:12" x14ac:dyDescent="0.25">
      <c r="B771" s="802"/>
      <c r="C771" s="802"/>
      <c r="D771" s="803"/>
      <c r="E771" s="803"/>
      <c r="F771" s="803"/>
      <c r="G771" s="803"/>
      <c r="H771" s="803"/>
      <c r="I771" s="803"/>
      <c r="J771" s="803"/>
      <c r="K771" s="803"/>
      <c r="L771" s="804"/>
    </row>
    <row r="772" spans="2:12" x14ac:dyDescent="0.25">
      <c r="B772" s="802"/>
      <c r="C772" s="802"/>
      <c r="D772" s="803"/>
      <c r="E772" s="803"/>
      <c r="F772" s="803"/>
      <c r="G772" s="803"/>
      <c r="H772" s="803"/>
      <c r="I772" s="803"/>
      <c r="J772" s="803"/>
      <c r="K772" s="803"/>
      <c r="L772" s="804"/>
    </row>
    <row r="773" spans="2:12" x14ac:dyDescent="0.25">
      <c r="B773" s="802"/>
      <c r="C773" s="802"/>
      <c r="D773" s="803"/>
      <c r="E773" s="803"/>
      <c r="F773" s="803"/>
      <c r="G773" s="803"/>
      <c r="H773" s="803"/>
      <c r="I773" s="803"/>
      <c r="J773" s="803"/>
      <c r="K773" s="803"/>
      <c r="L773" s="804"/>
    </row>
    <row r="774" spans="2:12" x14ac:dyDescent="0.25">
      <c r="B774" s="802"/>
      <c r="C774" s="802"/>
      <c r="D774" s="803"/>
      <c r="E774" s="803"/>
      <c r="F774" s="803"/>
      <c r="G774" s="803"/>
      <c r="H774" s="803"/>
      <c r="I774" s="803"/>
      <c r="J774" s="803"/>
      <c r="K774" s="803"/>
      <c r="L774" s="804"/>
    </row>
    <row r="775" spans="2:12" x14ac:dyDescent="0.25">
      <c r="B775" s="802"/>
      <c r="C775" s="802"/>
      <c r="D775" s="803"/>
      <c r="E775" s="803"/>
      <c r="F775" s="803"/>
      <c r="G775" s="803"/>
      <c r="H775" s="803"/>
      <c r="I775" s="803"/>
      <c r="J775" s="803"/>
      <c r="K775" s="803"/>
      <c r="L775" s="804"/>
    </row>
    <row r="776" spans="2:12" x14ac:dyDescent="0.25">
      <c r="B776" s="802"/>
      <c r="C776" s="802"/>
      <c r="D776" s="803"/>
      <c r="E776" s="803"/>
      <c r="F776" s="803"/>
      <c r="G776" s="803"/>
      <c r="H776" s="803"/>
      <c r="I776" s="803"/>
      <c r="J776" s="803"/>
      <c r="K776" s="803"/>
      <c r="L776" s="804"/>
    </row>
    <row r="777" spans="2:12" x14ac:dyDescent="0.25">
      <c r="B777" s="802"/>
      <c r="C777" s="802"/>
      <c r="D777" s="803"/>
      <c r="E777" s="803"/>
      <c r="F777" s="803"/>
      <c r="G777" s="803"/>
      <c r="H777" s="803"/>
      <c r="I777" s="803"/>
      <c r="J777" s="803"/>
      <c r="K777" s="803"/>
      <c r="L777" s="804"/>
    </row>
    <row r="778" spans="2:12" x14ac:dyDescent="0.25">
      <c r="B778" s="802"/>
      <c r="C778" s="802"/>
      <c r="D778" s="803"/>
      <c r="E778" s="803"/>
      <c r="F778" s="803"/>
      <c r="G778" s="803"/>
      <c r="H778" s="803"/>
      <c r="I778" s="803"/>
      <c r="J778" s="803"/>
      <c r="K778" s="803"/>
      <c r="L778" s="804"/>
    </row>
    <row r="779" spans="2:12" x14ac:dyDescent="0.25">
      <c r="B779" s="802"/>
      <c r="C779" s="802"/>
      <c r="D779" s="803"/>
      <c r="E779" s="803"/>
      <c r="F779" s="803"/>
      <c r="G779" s="803"/>
      <c r="H779" s="803"/>
      <c r="I779" s="803"/>
      <c r="J779" s="803"/>
      <c r="K779" s="803"/>
      <c r="L779" s="804"/>
    </row>
    <row r="780" spans="2:12" x14ac:dyDescent="0.25">
      <c r="B780" s="802"/>
      <c r="C780" s="802"/>
      <c r="D780" s="803"/>
      <c r="E780" s="803"/>
      <c r="F780" s="803"/>
      <c r="G780" s="803"/>
      <c r="H780" s="803"/>
      <c r="I780" s="803"/>
      <c r="J780" s="803"/>
      <c r="K780" s="803"/>
      <c r="L780" s="804"/>
    </row>
    <row r="781" spans="2:12" x14ac:dyDescent="0.25">
      <c r="B781" s="802"/>
      <c r="C781" s="802"/>
      <c r="D781" s="803"/>
      <c r="E781" s="803"/>
      <c r="F781" s="803"/>
      <c r="G781" s="803"/>
      <c r="H781" s="803"/>
      <c r="I781" s="803"/>
      <c r="J781" s="803"/>
      <c r="K781" s="803"/>
      <c r="L781" s="804"/>
    </row>
    <row r="782" spans="2:12" x14ac:dyDescent="0.25">
      <c r="B782" s="802"/>
      <c r="C782" s="802"/>
      <c r="D782" s="803"/>
      <c r="E782" s="803"/>
      <c r="F782" s="803"/>
      <c r="G782" s="803"/>
      <c r="H782" s="803"/>
      <c r="I782" s="803"/>
      <c r="J782" s="803"/>
      <c r="K782" s="803"/>
      <c r="L782" s="804"/>
    </row>
    <row r="783" spans="2:12" x14ac:dyDescent="0.25">
      <c r="B783" s="802"/>
      <c r="C783" s="802"/>
      <c r="D783" s="803"/>
      <c r="E783" s="803"/>
      <c r="F783" s="803"/>
      <c r="G783" s="803"/>
      <c r="H783" s="803"/>
      <c r="I783" s="803"/>
      <c r="J783" s="803"/>
      <c r="K783" s="803"/>
      <c r="L783" s="804"/>
    </row>
    <row r="784" spans="2:12" x14ac:dyDescent="0.25">
      <c r="B784" s="802"/>
      <c r="C784" s="802"/>
      <c r="D784" s="803"/>
      <c r="E784" s="803"/>
      <c r="F784" s="803"/>
      <c r="G784" s="803"/>
      <c r="H784" s="803"/>
      <c r="I784" s="803"/>
      <c r="J784" s="803"/>
      <c r="K784" s="803"/>
      <c r="L784" s="804"/>
    </row>
    <row r="785" spans="2:12" x14ac:dyDescent="0.25">
      <c r="B785" s="802"/>
      <c r="C785" s="802"/>
      <c r="D785" s="803"/>
      <c r="E785" s="803"/>
      <c r="F785" s="803"/>
      <c r="G785" s="803"/>
      <c r="H785" s="803"/>
      <c r="I785" s="803"/>
      <c r="J785" s="803"/>
      <c r="K785" s="803"/>
      <c r="L785" s="804"/>
    </row>
    <row r="786" spans="2:12" x14ac:dyDescent="0.25">
      <c r="B786" s="802"/>
      <c r="C786" s="802"/>
      <c r="D786" s="803"/>
      <c r="E786" s="803"/>
      <c r="F786" s="803"/>
      <c r="G786" s="803"/>
      <c r="H786" s="803"/>
      <c r="I786" s="803"/>
      <c r="J786" s="803"/>
      <c r="K786" s="803"/>
      <c r="L786" s="804"/>
    </row>
    <row r="787" spans="2:12" x14ac:dyDescent="0.25">
      <c r="B787" s="802"/>
      <c r="C787" s="802"/>
      <c r="D787" s="803"/>
      <c r="E787" s="803"/>
      <c r="F787" s="803"/>
      <c r="G787" s="803"/>
      <c r="H787" s="803"/>
      <c r="I787" s="803"/>
      <c r="J787" s="803"/>
      <c r="K787" s="803"/>
      <c r="L787" s="804"/>
    </row>
    <row r="788" spans="2:12" x14ac:dyDescent="0.25">
      <c r="B788" s="802"/>
      <c r="C788" s="802"/>
      <c r="D788" s="803"/>
      <c r="E788" s="803"/>
      <c r="F788" s="803"/>
      <c r="G788" s="803"/>
      <c r="H788" s="803"/>
      <c r="I788" s="803"/>
      <c r="J788" s="803"/>
      <c r="K788" s="803"/>
      <c r="L788" s="804"/>
    </row>
    <row r="789" spans="2:12" x14ac:dyDescent="0.25">
      <c r="B789" s="802"/>
      <c r="C789" s="802"/>
      <c r="D789" s="803"/>
      <c r="E789" s="803"/>
      <c r="F789" s="803"/>
      <c r="G789" s="803"/>
      <c r="H789" s="803"/>
      <c r="I789" s="803"/>
      <c r="J789" s="803"/>
      <c r="K789" s="803"/>
      <c r="L789" s="804"/>
    </row>
    <row r="790" spans="2:12" x14ac:dyDescent="0.25">
      <c r="B790" s="802"/>
      <c r="C790" s="802"/>
      <c r="D790" s="803"/>
      <c r="E790" s="803"/>
      <c r="F790" s="803"/>
      <c r="G790" s="803"/>
      <c r="H790" s="803"/>
      <c r="I790" s="803"/>
      <c r="J790" s="803"/>
      <c r="K790" s="803"/>
      <c r="L790" s="804"/>
    </row>
    <row r="791" spans="2:12" x14ac:dyDescent="0.25">
      <c r="B791" s="802"/>
      <c r="C791" s="802"/>
      <c r="D791" s="803"/>
      <c r="E791" s="803"/>
      <c r="F791" s="803"/>
      <c r="G791" s="803"/>
      <c r="H791" s="803"/>
      <c r="I791" s="803"/>
      <c r="J791" s="803"/>
      <c r="K791" s="803"/>
      <c r="L791" s="804"/>
    </row>
    <row r="792" spans="2:12" x14ac:dyDescent="0.25">
      <c r="B792" s="802"/>
      <c r="C792" s="802"/>
      <c r="D792" s="803"/>
      <c r="E792" s="803"/>
      <c r="F792" s="803"/>
      <c r="G792" s="803"/>
      <c r="H792" s="803"/>
      <c r="I792" s="803"/>
      <c r="J792" s="803"/>
      <c r="K792" s="803"/>
      <c r="L792" s="804"/>
    </row>
    <row r="793" spans="2:12" x14ac:dyDescent="0.25">
      <c r="B793" s="802"/>
      <c r="C793" s="802"/>
      <c r="D793" s="803"/>
      <c r="E793" s="803"/>
      <c r="F793" s="803"/>
      <c r="G793" s="803"/>
      <c r="H793" s="803"/>
      <c r="I793" s="803"/>
      <c r="J793" s="803"/>
      <c r="K793" s="803"/>
      <c r="L793" s="804"/>
    </row>
    <row r="794" spans="2:12" x14ac:dyDescent="0.25">
      <c r="B794" s="802"/>
      <c r="C794" s="802"/>
      <c r="D794" s="803"/>
      <c r="E794" s="803"/>
      <c r="F794" s="803"/>
      <c r="G794" s="803"/>
      <c r="H794" s="803"/>
      <c r="I794" s="803"/>
      <c r="J794" s="803"/>
      <c r="K794" s="803"/>
      <c r="L794" s="804"/>
    </row>
    <row r="795" spans="2:12" x14ac:dyDescent="0.25">
      <c r="B795" s="802"/>
      <c r="C795" s="802"/>
      <c r="D795" s="803"/>
      <c r="E795" s="803"/>
      <c r="F795" s="803"/>
      <c r="G795" s="803"/>
      <c r="H795" s="803"/>
      <c r="I795" s="803"/>
      <c r="J795" s="803"/>
      <c r="K795" s="803"/>
      <c r="L795" s="804"/>
    </row>
    <row r="796" spans="2:12" x14ac:dyDescent="0.25">
      <c r="B796" s="802"/>
      <c r="C796" s="802"/>
      <c r="D796" s="803"/>
      <c r="E796" s="803"/>
      <c r="F796" s="803"/>
      <c r="G796" s="803"/>
      <c r="H796" s="803"/>
      <c r="I796" s="803"/>
      <c r="J796" s="803"/>
      <c r="K796" s="803"/>
      <c r="L796" s="804"/>
    </row>
    <row r="797" spans="2:12" x14ac:dyDescent="0.25">
      <c r="B797" s="802"/>
      <c r="C797" s="802"/>
      <c r="D797" s="803"/>
      <c r="E797" s="803"/>
      <c r="F797" s="803"/>
      <c r="G797" s="803"/>
      <c r="H797" s="803"/>
      <c r="I797" s="803"/>
      <c r="J797" s="803"/>
      <c r="K797" s="803"/>
      <c r="L797" s="804"/>
    </row>
    <row r="798" spans="2:12" x14ac:dyDescent="0.25">
      <c r="B798" s="802"/>
      <c r="C798" s="802"/>
      <c r="D798" s="803"/>
      <c r="E798" s="803"/>
      <c r="F798" s="803"/>
      <c r="G798" s="803"/>
      <c r="H798" s="803"/>
      <c r="I798" s="803"/>
      <c r="J798" s="803"/>
      <c r="K798" s="803"/>
      <c r="L798" s="804"/>
    </row>
    <row r="799" spans="2:12" x14ac:dyDescent="0.25">
      <c r="B799" s="802"/>
      <c r="C799" s="802"/>
      <c r="D799" s="803"/>
      <c r="E799" s="803"/>
      <c r="F799" s="803"/>
      <c r="G799" s="803"/>
      <c r="H799" s="803"/>
      <c r="I799" s="803"/>
      <c r="J799" s="803"/>
      <c r="K799" s="803"/>
      <c r="L799" s="804"/>
    </row>
    <row r="800" spans="2:12" x14ac:dyDescent="0.25">
      <c r="B800" s="802"/>
      <c r="C800" s="802"/>
      <c r="D800" s="803"/>
      <c r="E800" s="803"/>
      <c r="F800" s="803"/>
      <c r="G800" s="803"/>
      <c r="H800" s="803"/>
      <c r="I800" s="803"/>
      <c r="J800" s="803"/>
      <c r="K800" s="803"/>
      <c r="L800" s="804"/>
    </row>
    <row r="801" spans="2:12" x14ac:dyDescent="0.25">
      <c r="B801" s="802"/>
      <c r="C801" s="802"/>
      <c r="D801" s="803"/>
      <c r="E801" s="803"/>
      <c r="F801" s="803"/>
      <c r="G801" s="803"/>
      <c r="H801" s="803"/>
      <c r="I801" s="803"/>
      <c r="J801" s="803"/>
      <c r="K801" s="803"/>
      <c r="L801" s="804"/>
    </row>
    <row r="802" spans="2:12" x14ac:dyDescent="0.25">
      <c r="B802" s="802"/>
      <c r="C802" s="802"/>
      <c r="D802" s="803"/>
      <c r="E802" s="803"/>
      <c r="F802" s="803"/>
      <c r="G802" s="803"/>
      <c r="H802" s="803"/>
      <c r="I802" s="803"/>
      <c r="J802" s="803"/>
      <c r="K802" s="803"/>
      <c r="L802" s="804"/>
    </row>
    <row r="803" spans="2:12" x14ac:dyDescent="0.25">
      <c r="B803" s="802"/>
      <c r="C803" s="802"/>
      <c r="D803" s="803"/>
      <c r="E803" s="803"/>
      <c r="F803" s="803"/>
      <c r="G803" s="803"/>
      <c r="H803" s="803"/>
      <c r="I803" s="803"/>
      <c r="J803" s="803"/>
      <c r="K803" s="803"/>
      <c r="L803" s="804"/>
    </row>
    <row r="804" spans="2:12" x14ac:dyDescent="0.25">
      <c r="B804" s="802"/>
      <c r="C804" s="802"/>
      <c r="D804" s="803"/>
      <c r="E804" s="803"/>
      <c r="F804" s="803"/>
      <c r="G804" s="803"/>
      <c r="H804" s="803"/>
      <c r="I804" s="803"/>
      <c r="J804" s="803"/>
      <c r="K804" s="803"/>
      <c r="L804" s="804"/>
    </row>
    <row r="805" spans="2:12" x14ac:dyDescent="0.25">
      <c r="B805" s="802"/>
      <c r="C805" s="802"/>
      <c r="D805" s="803"/>
      <c r="E805" s="803"/>
      <c r="F805" s="803"/>
      <c r="G805" s="803"/>
      <c r="H805" s="803"/>
      <c r="I805" s="803"/>
      <c r="J805" s="803"/>
      <c r="K805" s="803"/>
      <c r="L805" s="804"/>
    </row>
    <row r="806" spans="2:12" x14ac:dyDescent="0.25">
      <c r="B806" s="802"/>
      <c r="C806" s="802"/>
      <c r="D806" s="803"/>
      <c r="E806" s="803"/>
      <c r="F806" s="803"/>
      <c r="G806" s="803"/>
      <c r="H806" s="803"/>
      <c r="I806" s="803"/>
      <c r="J806" s="803"/>
      <c r="K806" s="803"/>
      <c r="L806" s="804"/>
    </row>
    <row r="807" spans="2:12" x14ac:dyDescent="0.25">
      <c r="B807" s="802"/>
      <c r="C807" s="802"/>
      <c r="D807" s="803"/>
      <c r="E807" s="803"/>
      <c r="F807" s="803"/>
      <c r="G807" s="803"/>
      <c r="H807" s="803"/>
      <c r="I807" s="803"/>
      <c r="J807" s="803"/>
      <c r="K807" s="803"/>
      <c r="L807" s="804"/>
    </row>
    <row r="808" spans="2:12" x14ac:dyDescent="0.25">
      <c r="B808" s="802"/>
      <c r="C808" s="802"/>
      <c r="D808" s="803"/>
      <c r="E808" s="803"/>
      <c r="F808" s="803"/>
      <c r="G808" s="803"/>
      <c r="H808" s="803"/>
      <c r="I808" s="803"/>
      <c r="J808" s="803"/>
      <c r="K808" s="803"/>
      <c r="L808" s="804"/>
    </row>
    <row r="809" spans="2:12" x14ac:dyDescent="0.25">
      <c r="B809" s="802"/>
      <c r="C809" s="802"/>
      <c r="D809" s="803"/>
      <c r="E809" s="803"/>
      <c r="F809" s="803"/>
      <c r="G809" s="803"/>
      <c r="H809" s="803"/>
      <c r="I809" s="803"/>
      <c r="J809" s="803"/>
      <c r="K809" s="803"/>
      <c r="L809" s="804"/>
    </row>
    <row r="810" spans="2:12" x14ac:dyDescent="0.25">
      <c r="B810" s="802"/>
      <c r="C810" s="802"/>
      <c r="D810" s="803"/>
      <c r="E810" s="803"/>
      <c r="F810" s="803"/>
      <c r="G810" s="803"/>
      <c r="H810" s="803"/>
      <c r="I810" s="803"/>
      <c r="J810" s="803"/>
      <c r="K810" s="803"/>
      <c r="L810" s="804"/>
    </row>
    <row r="811" spans="2:12" x14ac:dyDescent="0.25">
      <c r="B811" s="802"/>
      <c r="C811" s="802"/>
      <c r="D811" s="803"/>
      <c r="E811" s="803"/>
      <c r="F811" s="803"/>
      <c r="G811" s="803"/>
      <c r="H811" s="803"/>
      <c r="I811" s="803"/>
      <c r="J811" s="803"/>
      <c r="K811" s="803"/>
      <c r="L811" s="804"/>
    </row>
    <row r="812" spans="2:12" x14ac:dyDescent="0.25">
      <c r="B812" s="802"/>
      <c r="C812" s="802"/>
      <c r="D812" s="803"/>
      <c r="E812" s="803"/>
      <c r="F812" s="803"/>
      <c r="G812" s="803"/>
      <c r="H812" s="803"/>
      <c r="I812" s="803"/>
      <c r="J812" s="803"/>
      <c r="K812" s="803"/>
      <c r="L812" s="804"/>
    </row>
    <row r="813" spans="2:12" x14ac:dyDescent="0.25">
      <c r="B813" s="802"/>
      <c r="C813" s="802"/>
      <c r="D813" s="803"/>
      <c r="E813" s="803"/>
      <c r="F813" s="803"/>
      <c r="G813" s="803"/>
      <c r="H813" s="803"/>
      <c r="I813" s="803"/>
      <c r="J813" s="803"/>
      <c r="K813" s="803"/>
      <c r="L813" s="804"/>
    </row>
    <row r="814" spans="2:12" x14ac:dyDescent="0.25">
      <c r="B814" s="802"/>
      <c r="C814" s="802"/>
      <c r="D814" s="803"/>
      <c r="E814" s="803"/>
      <c r="F814" s="803"/>
      <c r="G814" s="803"/>
      <c r="H814" s="803"/>
      <c r="I814" s="803"/>
      <c r="J814" s="803"/>
      <c r="K814" s="803"/>
      <c r="L814" s="804"/>
    </row>
    <row r="815" spans="2:12" x14ac:dyDescent="0.25">
      <c r="B815" s="802"/>
      <c r="C815" s="802"/>
      <c r="D815" s="803"/>
      <c r="E815" s="803"/>
      <c r="F815" s="803"/>
      <c r="G815" s="803"/>
      <c r="H815" s="803"/>
      <c r="I815" s="803"/>
      <c r="J815" s="803"/>
      <c r="K815" s="803"/>
      <c r="L815" s="804"/>
    </row>
    <row r="816" spans="2:12" x14ac:dyDescent="0.25">
      <c r="B816" s="802"/>
      <c r="C816" s="802"/>
      <c r="D816" s="803"/>
      <c r="E816" s="803"/>
      <c r="F816" s="803"/>
      <c r="G816" s="803"/>
      <c r="H816" s="803"/>
      <c r="I816" s="803"/>
      <c r="J816" s="803"/>
      <c r="K816" s="803"/>
      <c r="L816" s="804"/>
    </row>
    <row r="817" spans="2:12" x14ac:dyDescent="0.25">
      <c r="B817" s="802"/>
      <c r="C817" s="802"/>
      <c r="D817" s="803"/>
      <c r="E817" s="803"/>
      <c r="F817" s="803"/>
      <c r="G817" s="803"/>
      <c r="H817" s="803"/>
      <c r="I817" s="803"/>
      <c r="J817" s="803"/>
      <c r="K817" s="803"/>
      <c r="L817" s="804"/>
    </row>
    <row r="818" spans="2:12" x14ac:dyDescent="0.25">
      <c r="B818" s="802"/>
      <c r="C818" s="802"/>
      <c r="D818" s="803"/>
      <c r="E818" s="803"/>
      <c r="F818" s="803"/>
      <c r="G818" s="803"/>
      <c r="H818" s="803"/>
      <c r="I818" s="803"/>
      <c r="J818" s="803"/>
      <c r="K818" s="803"/>
      <c r="L818" s="804"/>
    </row>
    <row r="819" spans="2:12" x14ac:dyDescent="0.25">
      <c r="B819" s="802"/>
      <c r="C819" s="802"/>
      <c r="D819" s="803"/>
      <c r="E819" s="803"/>
      <c r="F819" s="803"/>
      <c r="G819" s="803"/>
      <c r="H819" s="803"/>
      <c r="I819" s="803"/>
      <c r="J819" s="803"/>
      <c r="K819" s="803"/>
      <c r="L819" s="804"/>
    </row>
    <row r="820" spans="2:12" x14ac:dyDescent="0.25">
      <c r="B820" s="802"/>
      <c r="C820" s="802"/>
      <c r="D820" s="803"/>
      <c r="E820" s="803"/>
      <c r="F820" s="803"/>
      <c r="G820" s="803"/>
      <c r="H820" s="803"/>
      <c r="I820" s="803"/>
      <c r="J820" s="803"/>
      <c r="K820" s="803"/>
      <c r="L820" s="804"/>
    </row>
    <row r="821" spans="2:12" x14ac:dyDescent="0.25">
      <c r="B821" s="802"/>
      <c r="C821" s="802"/>
      <c r="D821" s="803"/>
      <c r="E821" s="803"/>
      <c r="F821" s="803"/>
      <c r="G821" s="803"/>
      <c r="H821" s="803"/>
      <c r="I821" s="803"/>
      <c r="J821" s="803"/>
      <c r="K821" s="803"/>
      <c r="L821" s="804"/>
    </row>
    <row r="822" spans="2:12" x14ac:dyDescent="0.25">
      <c r="B822" s="802"/>
      <c r="C822" s="802"/>
      <c r="D822" s="803"/>
      <c r="E822" s="803"/>
      <c r="F822" s="803"/>
      <c r="G822" s="803"/>
      <c r="H822" s="803"/>
      <c r="I822" s="803"/>
      <c r="J822" s="803"/>
      <c r="K822" s="803"/>
      <c r="L822" s="804"/>
    </row>
    <row r="823" spans="2:12" x14ac:dyDescent="0.25">
      <c r="B823" s="802"/>
      <c r="C823" s="802"/>
      <c r="D823" s="803"/>
      <c r="E823" s="803"/>
      <c r="F823" s="803"/>
      <c r="G823" s="803"/>
      <c r="H823" s="803"/>
      <c r="I823" s="803"/>
      <c r="J823" s="803"/>
      <c r="K823" s="803"/>
      <c r="L823" s="804"/>
    </row>
    <row r="824" spans="2:12" x14ac:dyDescent="0.25">
      <c r="B824" s="802"/>
      <c r="C824" s="802"/>
      <c r="D824" s="803"/>
      <c r="E824" s="803"/>
      <c r="F824" s="803"/>
      <c r="G824" s="803"/>
      <c r="H824" s="803"/>
      <c r="I824" s="803"/>
      <c r="J824" s="803"/>
      <c r="K824" s="803"/>
      <c r="L824" s="804"/>
    </row>
    <row r="825" spans="2:12" x14ac:dyDescent="0.25">
      <c r="B825" s="802"/>
      <c r="C825" s="802"/>
      <c r="D825" s="803"/>
      <c r="E825" s="803"/>
      <c r="F825" s="803"/>
      <c r="G825" s="803"/>
      <c r="H825" s="803"/>
      <c r="I825" s="803"/>
      <c r="J825" s="803"/>
      <c r="K825" s="803"/>
      <c r="L825" s="804"/>
    </row>
    <row r="826" spans="2:12" x14ac:dyDescent="0.25">
      <c r="B826" s="802"/>
      <c r="C826" s="802"/>
      <c r="D826" s="803"/>
      <c r="E826" s="803"/>
      <c r="F826" s="803"/>
      <c r="G826" s="803"/>
      <c r="H826" s="803"/>
      <c r="I826" s="803"/>
      <c r="J826" s="803"/>
      <c r="K826" s="803"/>
      <c r="L826" s="804"/>
    </row>
    <row r="827" spans="2:12" x14ac:dyDescent="0.25">
      <c r="B827" s="802"/>
      <c r="C827" s="802"/>
      <c r="D827" s="803"/>
      <c r="E827" s="803"/>
      <c r="F827" s="803"/>
      <c r="G827" s="803"/>
      <c r="H827" s="803"/>
      <c r="I827" s="803"/>
      <c r="J827" s="803"/>
      <c r="K827" s="803"/>
      <c r="L827" s="804"/>
    </row>
    <row r="828" spans="2:12" x14ac:dyDescent="0.25">
      <c r="B828" s="802"/>
      <c r="C828" s="802"/>
      <c r="D828" s="803"/>
      <c r="E828" s="803"/>
      <c r="F828" s="803"/>
      <c r="G828" s="803"/>
      <c r="H828" s="803"/>
      <c r="I828" s="803"/>
      <c r="J828" s="803"/>
      <c r="K828" s="803"/>
      <c r="L828" s="804"/>
    </row>
    <row r="829" spans="2:12" x14ac:dyDescent="0.25">
      <c r="B829" s="802"/>
      <c r="C829" s="802"/>
      <c r="D829" s="803"/>
      <c r="E829" s="803"/>
      <c r="F829" s="803"/>
      <c r="G829" s="803"/>
      <c r="H829" s="803"/>
      <c r="I829" s="803"/>
      <c r="J829" s="803"/>
      <c r="K829" s="803"/>
      <c r="L829" s="804"/>
    </row>
    <row r="830" spans="2:12" x14ac:dyDescent="0.25">
      <c r="B830" s="802"/>
      <c r="C830" s="802"/>
      <c r="D830" s="803"/>
      <c r="E830" s="803"/>
      <c r="F830" s="803"/>
      <c r="G830" s="803"/>
      <c r="H830" s="803"/>
      <c r="I830" s="803"/>
      <c r="J830" s="803"/>
      <c r="K830" s="803"/>
      <c r="L830" s="804"/>
    </row>
    <row r="831" spans="2:12" x14ac:dyDescent="0.25">
      <c r="B831" s="802"/>
      <c r="C831" s="802"/>
      <c r="D831" s="803"/>
      <c r="E831" s="803"/>
      <c r="F831" s="803"/>
      <c r="G831" s="803"/>
      <c r="H831" s="803"/>
      <c r="I831" s="803"/>
      <c r="J831" s="803"/>
      <c r="K831" s="803"/>
      <c r="L831" s="804"/>
    </row>
    <row r="832" spans="2:12" x14ac:dyDescent="0.25">
      <c r="B832" s="802"/>
      <c r="C832" s="802"/>
      <c r="D832" s="803"/>
      <c r="E832" s="803"/>
      <c r="F832" s="803"/>
      <c r="G832" s="803"/>
      <c r="H832" s="803"/>
      <c r="I832" s="803"/>
      <c r="J832" s="803"/>
      <c r="K832" s="803"/>
      <c r="L832" s="804"/>
    </row>
    <row r="833" spans="2:12" x14ac:dyDescent="0.25">
      <c r="B833" s="802"/>
      <c r="C833" s="802"/>
      <c r="D833" s="803"/>
      <c r="E833" s="803"/>
      <c r="F833" s="803"/>
      <c r="G833" s="803"/>
      <c r="H833" s="803"/>
      <c r="I833" s="803"/>
      <c r="J833" s="803"/>
      <c r="K833" s="803"/>
      <c r="L833" s="804"/>
    </row>
    <row r="834" spans="2:12" x14ac:dyDescent="0.25">
      <c r="B834" s="802"/>
      <c r="C834" s="802"/>
      <c r="D834" s="803"/>
      <c r="E834" s="803"/>
      <c r="F834" s="803"/>
      <c r="G834" s="803"/>
      <c r="H834" s="803"/>
      <c r="I834" s="803"/>
      <c r="J834" s="803"/>
      <c r="K834" s="803"/>
      <c r="L834" s="804"/>
    </row>
    <row r="835" spans="2:12" x14ac:dyDescent="0.25">
      <c r="B835" s="802"/>
      <c r="C835" s="802"/>
      <c r="D835" s="803"/>
      <c r="E835" s="803"/>
      <c r="F835" s="803"/>
      <c r="G835" s="803"/>
      <c r="H835" s="803"/>
      <c r="I835" s="803"/>
      <c r="J835" s="803"/>
      <c r="K835" s="803"/>
      <c r="L835" s="804"/>
    </row>
    <row r="836" spans="2:12" x14ac:dyDescent="0.25">
      <c r="B836" s="802"/>
      <c r="C836" s="802"/>
      <c r="D836" s="803"/>
      <c r="E836" s="803"/>
      <c r="F836" s="803"/>
      <c r="G836" s="803"/>
      <c r="H836" s="803"/>
      <c r="I836" s="803"/>
      <c r="J836" s="803"/>
      <c r="K836" s="803"/>
      <c r="L836" s="804"/>
    </row>
    <row r="837" spans="2:12" x14ac:dyDescent="0.25">
      <c r="B837" s="802"/>
      <c r="C837" s="802"/>
      <c r="D837" s="803"/>
      <c r="E837" s="803"/>
      <c r="F837" s="803"/>
      <c r="G837" s="803"/>
      <c r="H837" s="803"/>
      <c r="I837" s="803"/>
      <c r="J837" s="803"/>
      <c r="K837" s="803"/>
      <c r="L837" s="804"/>
    </row>
    <row r="838" spans="2:12" x14ac:dyDescent="0.25">
      <c r="B838" s="802"/>
      <c r="C838" s="802"/>
      <c r="D838" s="803"/>
      <c r="E838" s="803"/>
      <c r="F838" s="803"/>
      <c r="G838" s="803"/>
      <c r="H838" s="803"/>
      <c r="I838" s="803"/>
      <c r="J838" s="803"/>
      <c r="K838" s="803"/>
      <c r="L838" s="804"/>
    </row>
    <row r="839" spans="2:12" x14ac:dyDescent="0.25">
      <c r="B839" s="802"/>
      <c r="C839" s="802"/>
      <c r="D839" s="803"/>
      <c r="E839" s="803"/>
      <c r="F839" s="803"/>
      <c r="G839" s="803"/>
      <c r="H839" s="803"/>
      <c r="I839" s="803"/>
      <c r="J839" s="803"/>
      <c r="K839" s="803"/>
      <c r="L839" s="804"/>
    </row>
    <row r="840" spans="2:12" x14ac:dyDescent="0.25">
      <c r="B840" s="802"/>
      <c r="C840" s="802"/>
      <c r="D840" s="803"/>
      <c r="E840" s="803"/>
      <c r="F840" s="803"/>
      <c r="G840" s="803"/>
      <c r="H840" s="803"/>
      <c r="I840" s="803"/>
      <c r="J840" s="803"/>
      <c r="K840" s="803"/>
      <c r="L840" s="804"/>
    </row>
    <row r="841" spans="2:12" x14ac:dyDescent="0.25">
      <c r="B841" s="802"/>
      <c r="C841" s="802"/>
      <c r="D841" s="803"/>
      <c r="E841" s="803"/>
      <c r="F841" s="803"/>
      <c r="G841" s="803"/>
      <c r="H841" s="803"/>
      <c r="I841" s="803"/>
      <c r="J841" s="803"/>
      <c r="K841" s="803"/>
      <c r="L841" s="804"/>
    </row>
    <row r="842" spans="2:12" x14ac:dyDescent="0.25">
      <c r="B842" s="802"/>
      <c r="C842" s="802"/>
      <c r="D842" s="803"/>
      <c r="E842" s="803"/>
      <c r="F842" s="803"/>
      <c r="G842" s="803"/>
      <c r="H842" s="803"/>
      <c r="I842" s="803"/>
      <c r="J842" s="803"/>
      <c r="K842" s="803"/>
      <c r="L842" s="804"/>
    </row>
    <row r="843" spans="2:12" x14ac:dyDescent="0.25">
      <c r="B843" s="802"/>
      <c r="C843" s="802"/>
      <c r="D843" s="803"/>
      <c r="E843" s="803"/>
      <c r="F843" s="803"/>
      <c r="G843" s="803"/>
      <c r="H843" s="803"/>
      <c r="I843" s="803"/>
      <c r="J843" s="803"/>
      <c r="K843" s="803"/>
      <c r="L843" s="804"/>
    </row>
    <row r="844" spans="2:12" x14ac:dyDescent="0.25">
      <c r="B844" s="802"/>
      <c r="C844" s="802"/>
      <c r="D844" s="803"/>
      <c r="E844" s="803"/>
      <c r="F844" s="803"/>
      <c r="G844" s="803"/>
      <c r="H844" s="803"/>
      <c r="I844" s="803"/>
      <c r="J844" s="803"/>
      <c r="K844" s="803"/>
      <c r="L844" s="804"/>
    </row>
    <row r="845" spans="2:12" x14ac:dyDescent="0.25">
      <c r="B845" s="802"/>
      <c r="C845" s="802"/>
      <c r="D845" s="803"/>
      <c r="E845" s="803"/>
      <c r="F845" s="803"/>
      <c r="G845" s="803"/>
      <c r="H845" s="803"/>
      <c r="I845" s="803"/>
      <c r="J845" s="803"/>
      <c r="K845" s="803"/>
      <c r="L845" s="804"/>
    </row>
    <row r="846" spans="2:12" x14ac:dyDescent="0.25">
      <c r="B846" s="802"/>
      <c r="C846" s="802"/>
      <c r="D846" s="803"/>
      <c r="E846" s="803"/>
      <c r="F846" s="803"/>
      <c r="G846" s="803"/>
      <c r="H846" s="803"/>
      <c r="I846" s="803"/>
      <c r="J846" s="803"/>
      <c r="K846" s="803"/>
      <c r="L846" s="804"/>
    </row>
    <row r="847" spans="2:12" x14ac:dyDescent="0.25">
      <c r="B847" s="802"/>
      <c r="C847" s="802"/>
      <c r="D847" s="803"/>
      <c r="E847" s="803"/>
      <c r="F847" s="803"/>
      <c r="G847" s="803"/>
      <c r="H847" s="803"/>
      <c r="I847" s="803"/>
      <c r="J847" s="803"/>
      <c r="K847" s="803"/>
      <c r="L847" s="804"/>
    </row>
    <row r="848" spans="2:12" x14ac:dyDescent="0.25">
      <c r="B848" s="802"/>
      <c r="C848" s="802"/>
      <c r="D848" s="803"/>
      <c r="E848" s="803"/>
      <c r="F848" s="803"/>
      <c r="G848" s="803"/>
      <c r="H848" s="803"/>
      <c r="I848" s="803"/>
      <c r="J848" s="803"/>
      <c r="K848" s="803"/>
      <c r="L848" s="804"/>
    </row>
    <row r="849" spans="2:12" x14ac:dyDescent="0.25">
      <c r="B849" s="802"/>
      <c r="C849" s="802"/>
      <c r="D849" s="803"/>
      <c r="E849" s="803"/>
      <c r="F849" s="803"/>
      <c r="G849" s="803"/>
      <c r="H849" s="803"/>
      <c r="I849" s="803"/>
      <c r="J849" s="803"/>
      <c r="K849" s="803"/>
      <c r="L849" s="804"/>
    </row>
    <row r="850" spans="2:12" x14ac:dyDescent="0.25">
      <c r="B850" s="802"/>
      <c r="C850" s="802"/>
      <c r="D850" s="803"/>
      <c r="E850" s="803"/>
      <c r="F850" s="803"/>
      <c r="G850" s="803"/>
      <c r="H850" s="803"/>
      <c r="I850" s="803"/>
      <c r="J850" s="803"/>
      <c r="K850" s="803"/>
      <c r="L850" s="804"/>
    </row>
    <row r="851" spans="2:12" x14ac:dyDescent="0.25">
      <c r="B851" s="802"/>
      <c r="C851" s="802"/>
      <c r="D851" s="803"/>
      <c r="E851" s="803"/>
      <c r="F851" s="803"/>
      <c r="G851" s="803"/>
      <c r="H851" s="803"/>
      <c r="I851" s="803"/>
      <c r="J851" s="803"/>
      <c r="K851" s="803"/>
      <c r="L851" s="804"/>
    </row>
    <row r="852" spans="2:12" x14ac:dyDescent="0.25">
      <c r="B852" s="802"/>
      <c r="C852" s="802"/>
      <c r="D852" s="803"/>
      <c r="E852" s="803"/>
      <c r="F852" s="803"/>
      <c r="G852" s="803"/>
      <c r="H852" s="803"/>
      <c r="I852" s="803"/>
      <c r="J852" s="803"/>
      <c r="K852" s="803"/>
      <c r="L852" s="804"/>
    </row>
    <row r="853" spans="2:12" x14ac:dyDescent="0.25">
      <c r="B853" s="802"/>
      <c r="C853" s="802"/>
      <c r="D853" s="803"/>
      <c r="E853" s="803"/>
      <c r="F853" s="803"/>
      <c r="G853" s="803"/>
      <c r="H853" s="803"/>
      <c r="I853" s="803"/>
      <c r="J853" s="803"/>
      <c r="K853" s="803"/>
      <c r="L853" s="804"/>
    </row>
    <row r="854" spans="2:12" x14ac:dyDescent="0.25">
      <c r="B854" s="802"/>
      <c r="C854" s="802"/>
      <c r="D854" s="803"/>
      <c r="E854" s="803"/>
      <c r="F854" s="803"/>
      <c r="G854" s="803"/>
      <c r="H854" s="803"/>
      <c r="I854" s="803"/>
      <c r="J854" s="803"/>
      <c r="K854" s="803"/>
      <c r="L854" s="804"/>
    </row>
    <row r="855" spans="2:12" x14ac:dyDescent="0.25">
      <c r="B855" s="802"/>
      <c r="C855" s="802"/>
      <c r="D855" s="803"/>
      <c r="E855" s="803"/>
      <c r="F855" s="803"/>
      <c r="G855" s="803"/>
      <c r="H855" s="803"/>
      <c r="I855" s="803"/>
      <c r="J855" s="803"/>
      <c r="K855" s="803"/>
      <c r="L855" s="804"/>
    </row>
    <row r="856" spans="2:12" x14ac:dyDescent="0.25">
      <c r="B856" s="802"/>
      <c r="C856" s="802"/>
      <c r="D856" s="803"/>
      <c r="E856" s="803"/>
      <c r="F856" s="803"/>
      <c r="G856" s="803"/>
      <c r="H856" s="803"/>
      <c r="I856" s="803"/>
      <c r="J856" s="803"/>
      <c r="K856" s="803"/>
      <c r="L856" s="804"/>
    </row>
    <row r="857" spans="2:12" x14ac:dyDescent="0.25">
      <c r="B857" s="802"/>
      <c r="C857" s="802"/>
      <c r="D857" s="803"/>
      <c r="E857" s="803"/>
      <c r="F857" s="803"/>
      <c r="G857" s="803"/>
      <c r="H857" s="803"/>
      <c r="I857" s="803"/>
      <c r="J857" s="803"/>
      <c r="K857" s="803"/>
      <c r="L857" s="804"/>
    </row>
    <row r="858" spans="2:12" x14ac:dyDescent="0.25">
      <c r="B858" s="802"/>
      <c r="C858" s="802"/>
      <c r="D858" s="803"/>
      <c r="E858" s="803"/>
      <c r="F858" s="803"/>
      <c r="G858" s="803"/>
      <c r="H858" s="803"/>
      <c r="I858" s="803"/>
      <c r="J858" s="803"/>
      <c r="K858" s="803"/>
      <c r="L858" s="804"/>
    </row>
    <row r="859" spans="2:12" x14ac:dyDescent="0.25">
      <c r="B859" s="802"/>
      <c r="C859" s="802"/>
      <c r="D859" s="803"/>
      <c r="E859" s="803"/>
      <c r="F859" s="803"/>
      <c r="G859" s="803"/>
      <c r="H859" s="803"/>
      <c r="I859" s="803"/>
      <c r="J859" s="803"/>
      <c r="K859" s="803"/>
      <c r="L859" s="804"/>
    </row>
    <row r="860" spans="2:12" x14ac:dyDescent="0.25">
      <c r="B860" s="802"/>
      <c r="C860" s="802"/>
      <c r="D860" s="803"/>
      <c r="E860" s="803"/>
      <c r="F860" s="803"/>
      <c r="G860" s="803"/>
      <c r="H860" s="803"/>
      <c r="I860" s="803"/>
      <c r="J860" s="803"/>
      <c r="K860" s="803"/>
      <c r="L860" s="804"/>
    </row>
    <row r="861" spans="2:12" x14ac:dyDescent="0.25">
      <c r="B861" s="802"/>
      <c r="C861" s="802"/>
      <c r="D861" s="803"/>
      <c r="E861" s="803"/>
      <c r="F861" s="803"/>
      <c r="G861" s="803"/>
      <c r="H861" s="803"/>
      <c r="I861" s="803"/>
      <c r="J861" s="803"/>
      <c r="K861" s="803"/>
      <c r="L861" s="804"/>
    </row>
    <row r="862" spans="2:12" x14ac:dyDescent="0.25">
      <c r="B862" s="802"/>
      <c r="C862" s="802"/>
      <c r="D862" s="803"/>
      <c r="E862" s="803"/>
      <c r="F862" s="803"/>
      <c r="G862" s="803"/>
      <c r="H862" s="803"/>
      <c r="I862" s="803"/>
      <c r="J862" s="803"/>
      <c r="K862" s="803"/>
      <c r="L862" s="804"/>
    </row>
    <row r="863" spans="2:12" x14ac:dyDescent="0.25">
      <c r="B863" s="802"/>
      <c r="C863" s="802"/>
      <c r="D863" s="803"/>
      <c r="E863" s="803"/>
      <c r="F863" s="803"/>
      <c r="G863" s="803"/>
      <c r="H863" s="803"/>
      <c r="I863" s="803"/>
      <c r="J863" s="803"/>
      <c r="K863" s="803"/>
      <c r="L863" s="804"/>
    </row>
    <row r="864" spans="2:12" x14ac:dyDescent="0.25">
      <c r="B864" s="802"/>
      <c r="C864" s="802"/>
      <c r="D864" s="803"/>
      <c r="E864" s="803"/>
      <c r="F864" s="803"/>
      <c r="G864" s="803"/>
      <c r="H864" s="803"/>
      <c r="I864" s="803"/>
      <c r="J864" s="803"/>
      <c r="K864" s="803"/>
      <c r="L864" s="804"/>
    </row>
    <row r="865" spans="2:12" x14ac:dyDescent="0.25">
      <c r="B865" s="802"/>
      <c r="C865" s="802"/>
      <c r="D865" s="803"/>
      <c r="E865" s="803"/>
      <c r="F865" s="803"/>
      <c r="G865" s="803"/>
      <c r="H865" s="803"/>
      <c r="I865" s="803"/>
      <c r="J865" s="803"/>
      <c r="K865" s="803"/>
      <c r="L865" s="804"/>
    </row>
    <row r="866" spans="2:12" x14ac:dyDescent="0.25">
      <c r="B866" s="802"/>
      <c r="C866" s="802"/>
      <c r="D866" s="803"/>
      <c r="E866" s="803"/>
      <c r="F866" s="803"/>
      <c r="G866" s="803"/>
      <c r="H866" s="803"/>
      <c r="I866" s="803"/>
      <c r="J866" s="803"/>
      <c r="K866" s="803"/>
      <c r="L866" s="804"/>
    </row>
    <row r="867" spans="2:12" x14ac:dyDescent="0.25">
      <c r="B867" s="802"/>
      <c r="C867" s="802"/>
      <c r="D867" s="803"/>
      <c r="E867" s="803"/>
      <c r="F867" s="803"/>
      <c r="G867" s="803"/>
      <c r="H867" s="803"/>
      <c r="I867" s="803"/>
      <c r="J867" s="803"/>
      <c r="K867" s="803"/>
      <c r="L867" s="804"/>
    </row>
    <row r="868" spans="2:12" x14ac:dyDescent="0.25">
      <c r="B868" s="802"/>
      <c r="C868" s="802"/>
      <c r="D868" s="803"/>
      <c r="E868" s="803"/>
      <c r="F868" s="803"/>
      <c r="G868" s="803"/>
      <c r="H868" s="803"/>
      <c r="I868" s="803"/>
      <c r="J868" s="803"/>
      <c r="K868" s="803"/>
      <c r="L868" s="804"/>
    </row>
    <row r="869" spans="2:12" x14ac:dyDescent="0.25">
      <c r="B869" s="802"/>
      <c r="C869" s="802"/>
      <c r="D869" s="803"/>
      <c r="E869" s="803"/>
      <c r="F869" s="803"/>
      <c r="G869" s="803"/>
      <c r="H869" s="803"/>
      <c r="I869" s="803"/>
      <c r="J869" s="803"/>
      <c r="K869" s="803"/>
      <c r="L869" s="804"/>
    </row>
    <row r="870" spans="2:12" x14ac:dyDescent="0.25">
      <c r="B870" s="802"/>
      <c r="C870" s="802"/>
      <c r="D870" s="803"/>
      <c r="E870" s="803"/>
      <c r="F870" s="803"/>
      <c r="G870" s="803"/>
      <c r="H870" s="803"/>
      <c r="I870" s="803"/>
      <c r="J870" s="803"/>
      <c r="K870" s="803"/>
      <c r="L870" s="804"/>
    </row>
    <row r="871" spans="2:12" x14ac:dyDescent="0.25">
      <c r="B871" s="802"/>
      <c r="C871" s="802"/>
      <c r="D871" s="803"/>
      <c r="E871" s="803"/>
      <c r="F871" s="803"/>
      <c r="G871" s="803"/>
      <c r="H871" s="803"/>
      <c r="I871" s="803"/>
      <c r="J871" s="803"/>
      <c r="K871" s="803"/>
      <c r="L871" s="804"/>
    </row>
    <row r="872" spans="2:12" x14ac:dyDescent="0.25">
      <c r="B872" s="802"/>
      <c r="C872" s="802"/>
      <c r="D872" s="803"/>
      <c r="E872" s="803"/>
      <c r="F872" s="803"/>
      <c r="G872" s="803"/>
      <c r="H872" s="803"/>
      <c r="I872" s="803"/>
      <c r="J872" s="803"/>
      <c r="K872" s="803"/>
      <c r="L872" s="804"/>
    </row>
    <row r="873" spans="2:12" x14ac:dyDescent="0.25">
      <c r="B873" s="802"/>
      <c r="C873" s="802"/>
      <c r="D873" s="803"/>
      <c r="E873" s="803"/>
      <c r="F873" s="803"/>
      <c r="G873" s="803"/>
      <c r="H873" s="803"/>
      <c r="I873" s="803"/>
      <c r="J873" s="803"/>
      <c r="K873" s="803"/>
      <c r="L873" s="804"/>
    </row>
    <row r="874" spans="2:12" x14ac:dyDescent="0.25">
      <c r="B874" s="802"/>
      <c r="C874" s="802"/>
      <c r="D874" s="803"/>
      <c r="E874" s="803"/>
      <c r="F874" s="803"/>
      <c r="G874" s="803"/>
      <c r="H874" s="803"/>
      <c r="I874" s="803"/>
      <c r="J874" s="803"/>
      <c r="K874" s="803"/>
      <c r="L874" s="804"/>
    </row>
    <row r="875" spans="2:12" x14ac:dyDescent="0.25">
      <c r="B875" s="802"/>
      <c r="C875" s="802"/>
      <c r="D875" s="803"/>
      <c r="E875" s="803"/>
      <c r="F875" s="803"/>
      <c r="G875" s="803"/>
      <c r="H875" s="803"/>
      <c r="I875" s="803"/>
      <c r="J875" s="803"/>
      <c r="K875" s="803"/>
      <c r="L875" s="804"/>
    </row>
    <row r="876" spans="2:12" x14ac:dyDescent="0.25">
      <c r="B876" s="802"/>
      <c r="C876" s="802"/>
      <c r="D876" s="803"/>
      <c r="E876" s="803"/>
      <c r="F876" s="803"/>
      <c r="G876" s="803"/>
      <c r="H876" s="803"/>
      <c r="I876" s="803"/>
      <c r="J876" s="803"/>
      <c r="K876" s="803"/>
      <c r="L876" s="804"/>
    </row>
    <row r="877" spans="2:12" x14ac:dyDescent="0.25">
      <c r="B877" s="802"/>
      <c r="C877" s="802"/>
      <c r="D877" s="803"/>
      <c r="E877" s="803"/>
      <c r="F877" s="803"/>
      <c r="G877" s="803"/>
      <c r="H877" s="803"/>
      <c r="I877" s="803"/>
      <c r="J877" s="803"/>
      <c r="K877" s="803"/>
      <c r="L877" s="804"/>
    </row>
    <row r="878" spans="2:12" x14ac:dyDescent="0.25">
      <c r="B878" s="802"/>
      <c r="C878" s="802"/>
      <c r="D878" s="803"/>
      <c r="E878" s="803"/>
      <c r="F878" s="803"/>
      <c r="G878" s="803"/>
      <c r="H878" s="803"/>
      <c r="I878" s="803"/>
      <c r="J878" s="803"/>
      <c r="K878" s="803"/>
      <c r="L878" s="804"/>
    </row>
    <row r="879" spans="2:12" x14ac:dyDescent="0.25">
      <c r="B879" s="802"/>
      <c r="C879" s="802"/>
      <c r="D879" s="803"/>
      <c r="E879" s="803"/>
      <c r="F879" s="803"/>
      <c r="G879" s="803"/>
      <c r="H879" s="803"/>
      <c r="I879" s="803"/>
      <c r="J879" s="803"/>
      <c r="K879" s="803"/>
      <c r="L879" s="804"/>
    </row>
    <row r="880" spans="2:12" x14ac:dyDescent="0.25">
      <c r="B880" s="802"/>
      <c r="C880" s="802"/>
      <c r="D880" s="803"/>
      <c r="E880" s="803"/>
      <c r="F880" s="803"/>
      <c r="G880" s="803"/>
      <c r="H880" s="803"/>
      <c r="I880" s="803"/>
      <c r="J880" s="803"/>
      <c r="K880" s="803"/>
      <c r="L880" s="804"/>
    </row>
    <row r="881" spans="2:12" x14ac:dyDescent="0.25">
      <c r="B881" s="802"/>
      <c r="C881" s="802"/>
      <c r="D881" s="803"/>
      <c r="E881" s="803"/>
      <c r="F881" s="803"/>
      <c r="G881" s="803"/>
      <c r="H881" s="803"/>
      <c r="I881" s="803"/>
      <c r="J881" s="803"/>
      <c r="K881" s="803"/>
      <c r="L881" s="804"/>
    </row>
    <row r="882" spans="2:12" x14ac:dyDescent="0.25">
      <c r="B882" s="802"/>
      <c r="C882" s="802"/>
      <c r="D882" s="803"/>
      <c r="E882" s="803"/>
      <c r="F882" s="803"/>
      <c r="G882" s="803"/>
      <c r="H882" s="803"/>
      <c r="I882" s="803"/>
      <c r="J882" s="803"/>
      <c r="K882" s="803"/>
      <c r="L882" s="804"/>
    </row>
    <row r="883" spans="2:12" x14ac:dyDescent="0.25">
      <c r="B883" s="802"/>
      <c r="C883" s="802"/>
      <c r="D883" s="803"/>
      <c r="E883" s="803"/>
      <c r="F883" s="803"/>
      <c r="G883" s="803"/>
      <c r="H883" s="803"/>
      <c r="I883" s="803"/>
      <c r="J883" s="803"/>
      <c r="K883" s="803"/>
      <c r="L883" s="804"/>
    </row>
    <row r="884" spans="2:12" x14ac:dyDescent="0.25">
      <c r="B884" s="802"/>
      <c r="C884" s="802"/>
      <c r="D884" s="803"/>
      <c r="E884" s="803"/>
      <c r="F884" s="803"/>
      <c r="G884" s="803"/>
      <c r="H884" s="803"/>
      <c r="I884" s="803"/>
      <c r="J884" s="803"/>
      <c r="K884" s="803"/>
      <c r="L884" s="804"/>
    </row>
    <row r="885" spans="2:12" x14ac:dyDescent="0.25">
      <c r="B885" s="802"/>
      <c r="C885" s="802"/>
      <c r="D885" s="803"/>
      <c r="E885" s="803"/>
      <c r="F885" s="803"/>
      <c r="G885" s="803"/>
      <c r="H885" s="803"/>
      <c r="I885" s="803"/>
      <c r="J885" s="803"/>
      <c r="K885" s="803"/>
      <c r="L885" s="804"/>
    </row>
    <row r="886" spans="2:12" x14ac:dyDescent="0.25">
      <c r="B886" s="802"/>
      <c r="C886" s="802"/>
      <c r="D886" s="803"/>
      <c r="E886" s="803"/>
      <c r="F886" s="803"/>
      <c r="G886" s="803"/>
      <c r="H886" s="803"/>
      <c r="I886" s="803"/>
      <c r="J886" s="803"/>
      <c r="K886" s="803"/>
      <c r="L886" s="804"/>
    </row>
    <row r="887" spans="2:12" x14ac:dyDescent="0.25">
      <c r="B887" s="802"/>
      <c r="C887" s="802"/>
      <c r="D887" s="803"/>
      <c r="E887" s="803"/>
      <c r="F887" s="803"/>
      <c r="G887" s="803"/>
      <c r="H887" s="803"/>
      <c r="I887" s="803"/>
      <c r="J887" s="803"/>
      <c r="K887" s="803"/>
      <c r="L887" s="804"/>
    </row>
    <row r="888" spans="2:12" x14ac:dyDescent="0.25">
      <c r="B888" s="802"/>
      <c r="C888" s="802"/>
      <c r="D888" s="803"/>
      <c r="E888" s="803"/>
      <c r="F888" s="803"/>
      <c r="G888" s="803"/>
      <c r="H888" s="803"/>
      <c r="I888" s="803"/>
      <c r="J888" s="803"/>
      <c r="K888" s="803"/>
      <c r="L888" s="804"/>
    </row>
    <row r="889" spans="2:12" x14ac:dyDescent="0.25">
      <c r="B889" s="802"/>
      <c r="C889" s="802"/>
      <c r="D889" s="803"/>
      <c r="E889" s="803"/>
      <c r="F889" s="803"/>
      <c r="G889" s="803"/>
      <c r="H889" s="803"/>
      <c r="I889" s="803"/>
      <c r="J889" s="803"/>
      <c r="K889" s="803"/>
      <c r="L889" s="804"/>
    </row>
    <row r="890" spans="2:12" x14ac:dyDescent="0.25">
      <c r="B890" s="802"/>
      <c r="C890" s="802"/>
      <c r="D890" s="803"/>
      <c r="E890" s="803"/>
      <c r="F890" s="803"/>
      <c r="G890" s="803"/>
      <c r="H890" s="803"/>
      <c r="I890" s="803"/>
      <c r="J890" s="803"/>
      <c r="K890" s="803"/>
      <c r="L890" s="804"/>
    </row>
    <row r="891" spans="2:12" x14ac:dyDescent="0.25">
      <c r="B891" s="802"/>
      <c r="C891" s="802"/>
      <c r="D891" s="803"/>
      <c r="E891" s="803"/>
      <c r="F891" s="803"/>
      <c r="G891" s="803"/>
      <c r="H891" s="803"/>
      <c r="I891" s="803"/>
      <c r="J891" s="803"/>
      <c r="K891" s="803"/>
      <c r="L891" s="804"/>
    </row>
    <row r="892" spans="2:12" x14ac:dyDescent="0.25">
      <c r="B892" s="802"/>
      <c r="C892" s="802"/>
      <c r="D892" s="803"/>
      <c r="E892" s="803"/>
      <c r="F892" s="803"/>
      <c r="G892" s="803"/>
      <c r="H892" s="803"/>
      <c r="I892" s="803"/>
      <c r="J892" s="803"/>
      <c r="K892" s="803"/>
      <c r="L892" s="804"/>
    </row>
    <row r="893" spans="2:12" x14ac:dyDescent="0.25">
      <c r="B893" s="802"/>
      <c r="C893" s="802"/>
      <c r="D893" s="803"/>
      <c r="E893" s="803"/>
      <c r="F893" s="803"/>
      <c r="G893" s="803"/>
      <c r="H893" s="803"/>
      <c r="I893" s="803"/>
      <c r="J893" s="803"/>
      <c r="K893" s="803"/>
      <c r="L893" s="804"/>
    </row>
    <row r="894" spans="2:12" x14ac:dyDescent="0.25">
      <c r="B894" s="802"/>
      <c r="C894" s="802"/>
      <c r="D894" s="803"/>
      <c r="E894" s="803"/>
      <c r="F894" s="803"/>
      <c r="G894" s="803"/>
      <c r="H894" s="803"/>
      <c r="I894" s="803"/>
      <c r="J894" s="803"/>
      <c r="K894" s="803"/>
      <c r="L894" s="804"/>
    </row>
    <row r="895" spans="2:12" x14ac:dyDescent="0.25">
      <c r="B895" s="802"/>
      <c r="C895" s="802"/>
      <c r="D895" s="803"/>
      <c r="E895" s="803"/>
      <c r="F895" s="803"/>
      <c r="G895" s="803"/>
      <c r="H895" s="803"/>
      <c r="I895" s="803"/>
      <c r="J895" s="803"/>
      <c r="K895" s="803"/>
      <c r="L895" s="804"/>
    </row>
    <row r="896" spans="2:12" x14ac:dyDescent="0.25">
      <c r="B896" s="802"/>
      <c r="C896" s="802"/>
      <c r="D896" s="803"/>
      <c r="E896" s="803"/>
      <c r="F896" s="803"/>
      <c r="G896" s="803"/>
      <c r="H896" s="803"/>
      <c r="I896" s="803"/>
      <c r="J896" s="803"/>
      <c r="K896" s="803"/>
      <c r="L896" s="804"/>
    </row>
    <row r="897" spans="2:12" x14ac:dyDescent="0.25">
      <c r="B897" s="802"/>
      <c r="C897" s="802"/>
      <c r="D897" s="803"/>
      <c r="E897" s="803"/>
      <c r="F897" s="803"/>
      <c r="G897" s="803"/>
      <c r="H897" s="803"/>
      <c r="I897" s="803"/>
      <c r="J897" s="803"/>
      <c r="K897" s="803"/>
      <c r="L897" s="804"/>
    </row>
    <row r="898" spans="2:12" x14ac:dyDescent="0.25">
      <c r="B898" s="802"/>
      <c r="C898" s="802"/>
      <c r="D898" s="803"/>
      <c r="E898" s="803"/>
      <c r="F898" s="803"/>
      <c r="G898" s="803"/>
      <c r="H898" s="803"/>
      <c r="I898" s="803"/>
      <c r="J898" s="803"/>
      <c r="K898" s="803"/>
      <c r="L898" s="804"/>
    </row>
    <row r="899" spans="2:12" x14ac:dyDescent="0.25">
      <c r="B899" s="802"/>
      <c r="C899" s="802"/>
      <c r="D899" s="803"/>
      <c r="E899" s="803"/>
      <c r="F899" s="803"/>
      <c r="G899" s="803"/>
      <c r="H899" s="803"/>
      <c r="I899" s="803"/>
      <c r="J899" s="803"/>
      <c r="K899" s="803"/>
      <c r="L899" s="804"/>
    </row>
    <row r="900" spans="2:12" x14ac:dyDescent="0.25">
      <c r="B900" s="802"/>
      <c r="C900" s="802"/>
      <c r="D900" s="803"/>
      <c r="E900" s="803"/>
      <c r="F900" s="803"/>
      <c r="G900" s="803"/>
      <c r="H900" s="803"/>
      <c r="I900" s="803"/>
      <c r="J900" s="803"/>
      <c r="K900" s="803"/>
      <c r="L900" s="804"/>
    </row>
    <row r="901" spans="2:12" x14ac:dyDescent="0.25">
      <c r="B901" s="802"/>
      <c r="C901" s="802"/>
      <c r="D901" s="803"/>
      <c r="E901" s="803"/>
      <c r="F901" s="803"/>
      <c r="G901" s="803"/>
      <c r="H901" s="803"/>
      <c r="I901" s="803"/>
      <c r="J901" s="803"/>
      <c r="K901" s="803"/>
      <c r="L901" s="804"/>
    </row>
    <row r="902" spans="2:12" x14ac:dyDescent="0.25">
      <c r="B902" s="802"/>
      <c r="C902" s="802"/>
      <c r="D902" s="803"/>
      <c r="E902" s="803"/>
      <c r="F902" s="803"/>
      <c r="G902" s="803"/>
      <c r="H902" s="803"/>
      <c r="I902" s="803"/>
      <c r="J902" s="803"/>
      <c r="K902" s="803"/>
      <c r="L902" s="804"/>
    </row>
    <row r="903" spans="2:12" x14ac:dyDescent="0.25">
      <c r="B903" s="802"/>
      <c r="C903" s="802"/>
      <c r="D903" s="803"/>
      <c r="E903" s="803"/>
      <c r="F903" s="803"/>
      <c r="G903" s="803"/>
      <c r="H903" s="803"/>
      <c r="I903" s="803"/>
      <c r="J903" s="803"/>
      <c r="K903" s="803"/>
      <c r="L903" s="804"/>
    </row>
    <row r="904" spans="2:12" x14ac:dyDescent="0.25">
      <c r="B904" s="802"/>
      <c r="C904" s="802"/>
      <c r="D904" s="803"/>
      <c r="E904" s="803"/>
      <c r="F904" s="803"/>
      <c r="G904" s="803"/>
      <c r="H904" s="803"/>
      <c r="I904" s="803"/>
      <c r="J904" s="803"/>
      <c r="K904" s="803"/>
      <c r="L904" s="804"/>
    </row>
    <row r="905" spans="2:12" x14ac:dyDescent="0.25">
      <c r="B905" s="802"/>
      <c r="C905" s="802"/>
      <c r="D905" s="803"/>
      <c r="E905" s="803"/>
      <c r="F905" s="803"/>
      <c r="G905" s="803"/>
      <c r="H905" s="803"/>
      <c r="I905" s="803"/>
      <c r="J905" s="803"/>
      <c r="K905" s="803"/>
      <c r="L905" s="804"/>
    </row>
    <row r="906" spans="2:12" x14ac:dyDescent="0.25">
      <c r="B906" s="802"/>
      <c r="C906" s="802"/>
      <c r="D906" s="803"/>
      <c r="E906" s="803"/>
      <c r="F906" s="803"/>
      <c r="G906" s="803"/>
      <c r="H906" s="803"/>
      <c r="I906" s="803"/>
      <c r="J906" s="803"/>
      <c r="K906" s="803"/>
      <c r="L906" s="804"/>
    </row>
    <row r="907" spans="2:12" x14ac:dyDescent="0.25">
      <c r="B907" s="802"/>
      <c r="C907" s="802"/>
      <c r="D907" s="803"/>
      <c r="E907" s="803"/>
      <c r="F907" s="803"/>
      <c r="G907" s="803"/>
      <c r="H907" s="803"/>
      <c r="I907" s="803"/>
      <c r="J907" s="803"/>
      <c r="K907" s="803"/>
      <c r="L907" s="804"/>
    </row>
    <row r="908" spans="2:12" x14ac:dyDescent="0.25">
      <c r="B908" s="802"/>
      <c r="C908" s="802"/>
      <c r="D908" s="803"/>
      <c r="E908" s="803"/>
      <c r="F908" s="803"/>
      <c r="G908" s="803"/>
      <c r="H908" s="803"/>
      <c r="I908" s="803"/>
      <c r="J908" s="803"/>
      <c r="K908" s="803"/>
      <c r="L908" s="804"/>
    </row>
    <row r="909" spans="2:12" x14ac:dyDescent="0.25">
      <c r="B909" s="802"/>
      <c r="C909" s="802"/>
      <c r="D909" s="803"/>
      <c r="E909" s="803"/>
      <c r="F909" s="803"/>
      <c r="G909" s="803"/>
      <c r="H909" s="803"/>
      <c r="I909" s="803"/>
      <c r="J909" s="803"/>
      <c r="K909" s="803"/>
      <c r="L909" s="804"/>
    </row>
    <row r="910" spans="2:12" x14ac:dyDescent="0.25">
      <c r="B910" s="802"/>
      <c r="C910" s="802"/>
      <c r="D910" s="803"/>
      <c r="E910" s="803"/>
      <c r="F910" s="803"/>
      <c r="G910" s="803"/>
      <c r="H910" s="803"/>
      <c r="I910" s="803"/>
      <c r="J910" s="803"/>
      <c r="K910" s="803"/>
      <c r="L910" s="804"/>
    </row>
    <row r="911" spans="2:12" x14ac:dyDescent="0.25">
      <c r="B911" s="802"/>
      <c r="C911" s="802"/>
      <c r="D911" s="803"/>
      <c r="E911" s="803"/>
      <c r="F911" s="803"/>
      <c r="G911" s="803"/>
      <c r="H911" s="803"/>
      <c r="I911" s="803"/>
      <c r="J911" s="803"/>
      <c r="K911" s="803"/>
      <c r="L911" s="804"/>
    </row>
    <row r="912" spans="2:12" x14ac:dyDescent="0.25">
      <c r="B912" s="802"/>
      <c r="C912" s="802"/>
      <c r="D912" s="803"/>
      <c r="E912" s="803"/>
      <c r="F912" s="803"/>
      <c r="G912" s="803"/>
      <c r="H912" s="803"/>
      <c r="I912" s="803"/>
      <c r="J912" s="803"/>
      <c r="K912" s="803"/>
      <c r="L912" s="804"/>
    </row>
    <row r="913" spans="2:12" x14ac:dyDescent="0.25">
      <c r="B913" s="802"/>
      <c r="C913" s="802"/>
      <c r="D913" s="803"/>
      <c r="E913" s="803"/>
      <c r="F913" s="803"/>
      <c r="G913" s="803"/>
      <c r="H913" s="803"/>
      <c r="I913" s="803"/>
      <c r="J913" s="803"/>
      <c r="K913" s="803"/>
      <c r="L913" s="804"/>
    </row>
    <row r="914" spans="2:12" x14ac:dyDescent="0.25">
      <c r="B914" s="802"/>
      <c r="C914" s="802"/>
      <c r="D914" s="803"/>
      <c r="E914" s="803"/>
      <c r="F914" s="803"/>
      <c r="G914" s="803"/>
      <c r="H914" s="803"/>
      <c r="I914" s="803"/>
      <c r="J914" s="803"/>
      <c r="K914" s="803"/>
      <c r="L914" s="804"/>
    </row>
    <row r="915" spans="2:12" x14ac:dyDescent="0.25">
      <c r="B915" s="802"/>
      <c r="C915" s="802"/>
      <c r="D915" s="803"/>
      <c r="E915" s="803"/>
      <c r="F915" s="803"/>
      <c r="G915" s="803"/>
      <c r="H915" s="803"/>
      <c r="I915" s="803"/>
      <c r="J915" s="803"/>
      <c r="K915" s="803"/>
      <c r="L915" s="804"/>
    </row>
    <row r="916" spans="2:12" x14ac:dyDescent="0.25">
      <c r="B916" s="802"/>
      <c r="C916" s="802"/>
      <c r="D916" s="803"/>
      <c r="E916" s="803"/>
      <c r="F916" s="803"/>
      <c r="G916" s="803"/>
      <c r="H916" s="803"/>
      <c r="I916" s="803"/>
      <c r="J916" s="803"/>
      <c r="K916" s="803"/>
      <c r="L916" s="804"/>
    </row>
    <row r="917" spans="2:12" x14ac:dyDescent="0.25">
      <c r="B917" s="802"/>
      <c r="C917" s="802"/>
      <c r="D917" s="803"/>
      <c r="E917" s="803"/>
      <c r="F917" s="803"/>
      <c r="G917" s="803"/>
      <c r="H917" s="803"/>
      <c r="I917" s="803"/>
      <c r="J917" s="803"/>
      <c r="K917" s="803"/>
      <c r="L917" s="804"/>
    </row>
    <row r="918" spans="2:12" x14ac:dyDescent="0.25">
      <c r="B918" s="802"/>
      <c r="C918" s="802"/>
      <c r="D918" s="803"/>
      <c r="E918" s="803"/>
      <c r="F918" s="803"/>
      <c r="G918" s="803"/>
      <c r="H918" s="803"/>
      <c r="I918" s="803"/>
      <c r="J918" s="803"/>
      <c r="K918" s="803"/>
      <c r="L918" s="804"/>
    </row>
    <row r="919" spans="2:12" x14ac:dyDescent="0.25">
      <c r="B919" s="802"/>
      <c r="C919" s="802"/>
      <c r="D919" s="803"/>
      <c r="E919" s="803"/>
      <c r="F919" s="803"/>
      <c r="G919" s="803"/>
      <c r="H919" s="803"/>
      <c r="I919" s="803"/>
      <c r="J919" s="803"/>
      <c r="K919" s="803"/>
      <c r="L919" s="804"/>
    </row>
    <row r="920" spans="2:12" x14ac:dyDescent="0.25">
      <c r="B920" s="802"/>
      <c r="C920" s="802"/>
      <c r="D920" s="803"/>
      <c r="E920" s="803"/>
      <c r="F920" s="803"/>
      <c r="G920" s="803"/>
      <c r="H920" s="803"/>
      <c r="I920" s="803"/>
      <c r="J920" s="803"/>
      <c r="K920" s="803"/>
      <c r="L920" s="804"/>
    </row>
    <row r="921" spans="2:12" x14ac:dyDescent="0.25">
      <c r="B921" s="802"/>
      <c r="C921" s="802"/>
      <c r="D921" s="803"/>
      <c r="E921" s="803"/>
      <c r="F921" s="803"/>
      <c r="G921" s="803"/>
      <c r="H921" s="803"/>
      <c r="I921" s="803"/>
      <c r="J921" s="803"/>
      <c r="K921" s="803"/>
      <c r="L921" s="804"/>
    </row>
    <row r="922" spans="2:12" x14ac:dyDescent="0.25">
      <c r="B922" s="802"/>
      <c r="C922" s="802"/>
      <c r="D922" s="803"/>
      <c r="E922" s="803"/>
      <c r="F922" s="803"/>
      <c r="G922" s="803"/>
      <c r="H922" s="803"/>
      <c r="I922" s="803"/>
      <c r="J922" s="803"/>
      <c r="K922" s="803"/>
      <c r="L922" s="804"/>
    </row>
    <row r="923" spans="2:12" x14ac:dyDescent="0.25">
      <c r="B923" s="802"/>
      <c r="C923" s="802"/>
      <c r="D923" s="803"/>
      <c r="E923" s="803"/>
      <c r="F923" s="803"/>
      <c r="G923" s="803"/>
      <c r="H923" s="803"/>
      <c r="I923" s="803"/>
      <c r="J923" s="803"/>
      <c r="K923" s="803"/>
      <c r="L923" s="804"/>
    </row>
    <row r="924" spans="2:12" x14ac:dyDescent="0.25">
      <c r="B924" s="802"/>
      <c r="C924" s="802"/>
      <c r="D924" s="803"/>
      <c r="E924" s="803"/>
      <c r="F924" s="803"/>
      <c r="G924" s="803"/>
      <c r="H924" s="803"/>
      <c r="I924" s="803"/>
      <c r="J924" s="803"/>
      <c r="K924" s="803"/>
      <c r="L924" s="804"/>
    </row>
    <row r="925" spans="2:12" x14ac:dyDescent="0.25">
      <c r="B925" s="802"/>
      <c r="C925" s="802"/>
      <c r="D925" s="803"/>
      <c r="E925" s="803"/>
      <c r="F925" s="803"/>
      <c r="G925" s="803"/>
      <c r="H925" s="803"/>
      <c r="I925" s="803"/>
      <c r="J925" s="803"/>
      <c r="K925" s="803"/>
      <c r="L925" s="804"/>
    </row>
    <row r="926" spans="2:12" x14ac:dyDescent="0.25">
      <c r="B926" s="802"/>
      <c r="C926" s="802"/>
      <c r="D926" s="803"/>
      <c r="E926" s="803"/>
      <c r="F926" s="803"/>
      <c r="G926" s="803"/>
      <c r="H926" s="803"/>
      <c r="I926" s="803"/>
      <c r="J926" s="803"/>
      <c r="K926" s="803"/>
      <c r="L926" s="804"/>
    </row>
    <row r="927" spans="2:12" x14ac:dyDescent="0.25">
      <c r="B927" s="802"/>
      <c r="C927" s="802"/>
      <c r="D927" s="803"/>
      <c r="E927" s="803"/>
      <c r="F927" s="803"/>
      <c r="G927" s="803"/>
      <c r="H927" s="803"/>
      <c r="I927" s="803"/>
      <c r="J927" s="803"/>
      <c r="K927" s="803"/>
      <c r="L927" s="804"/>
    </row>
    <row r="928" spans="2:12" x14ac:dyDescent="0.25">
      <c r="B928" s="802"/>
      <c r="C928" s="802"/>
      <c r="D928" s="803"/>
      <c r="E928" s="803"/>
      <c r="F928" s="803"/>
      <c r="G928" s="803"/>
      <c r="H928" s="803"/>
      <c r="I928" s="803"/>
      <c r="J928" s="803"/>
      <c r="K928" s="803"/>
      <c r="L928" s="804"/>
    </row>
    <row r="929" spans="2:12" x14ac:dyDescent="0.25">
      <c r="B929" s="802"/>
      <c r="C929" s="802"/>
      <c r="D929" s="803"/>
      <c r="E929" s="803"/>
      <c r="F929" s="803"/>
      <c r="G929" s="803"/>
      <c r="H929" s="803"/>
      <c r="I929" s="803"/>
      <c r="J929" s="803"/>
      <c r="K929" s="803"/>
      <c r="L929" s="804"/>
    </row>
    <row r="930" spans="2:12" x14ac:dyDescent="0.25">
      <c r="B930" s="802"/>
      <c r="C930" s="802"/>
      <c r="D930" s="803"/>
      <c r="E930" s="803"/>
      <c r="F930" s="803"/>
      <c r="G930" s="803"/>
      <c r="H930" s="803"/>
      <c r="I930" s="803"/>
      <c r="J930" s="803"/>
      <c r="K930" s="803"/>
      <c r="L930" s="804"/>
    </row>
    <row r="931" spans="2:12" x14ac:dyDescent="0.25">
      <c r="B931" s="802"/>
      <c r="C931" s="802"/>
      <c r="D931" s="803"/>
      <c r="E931" s="803"/>
      <c r="F931" s="803"/>
      <c r="G931" s="803"/>
      <c r="H931" s="803"/>
      <c r="I931" s="803"/>
      <c r="J931" s="803"/>
      <c r="K931" s="803"/>
      <c r="L931" s="804"/>
    </row>
    <row r="932" spans="2:12" x14ac:dyDescent="0.25">
      <c r="B932" s="802"/>
      <c r="C932" s="802"/>
      <c r="D932" s="803"/>
      <c r="E932" s="803"/>
      <c r="F932" s="803"/>
      <c r="G932" s="803"/>
      <c r="H932" s="803"/>
      <c r="I932" s="803"/>
      <c r="J932" s="803"/>
      <c r="K932" s="803"/>
      <c r="L932" s="804"/>
    </row>
    <row r="933" spans="2:12" x14ac:dyDescent="0.25">
      <c r="B933" s="802"/>
      <c r="C933" s="802"/>
      <c r="D933" s="803"/>
      <c r="E933" s="803"/>
      <c r="F933" s="803"/>
      <c r="G933" s="803"/>
      <c r="H933" s="803"/>
      <c r="I933" s="803"/>
      <c r="J933" s="803"/>
      <c r="K933" s="803"/>
      <c r="L933" s="804"/>
    </row>
    <row r="934" spans="2:12" x14ac:dyDescent="0.25">
      <c r="B934" s="802"/>
      <c r="C934" s="802"/>
      <c r="D934" s="803"/>
      <c r="E934" s="803"/>
      <c r="F934" s="803"/>
      <c r="G934" s="803"/>
      <c r="H934" s="803"/>
      <c r="I934" s="803"/>
      <c r="J934" s="803"/>
      <c r="K934" s="803"/>
      <c r="L934" s="804"/>
    </row>
    <row r="935" spans="2:12" x14ac:dyDescent="0.25">
      <c r="B935" s="802"/>
      <c r="C935" s="802"/>
      <c r="D935" s="803"/>
      <c r="E935" s="803"/>
      <c r="F935" s="803"/>
      <c r="G935" s="803"/>
      <c r="H935" s="803"/>
      <c r="I935" s="803"/>
      <c r="J935" s="803"/>
      <c r="K935" s="803"/>
      <c r="L935" s="804"/>
    </row>
    <row r="936" spans="2:12" x14ac:dyDescent="0.25">
      <c r="B936" s="802"/>
      <c r="C936" s="802"/>
      <c r="D936" s="803"/>
      <c r="E936" s="803"/>
      <c r="F936" s="803"/>
      <c r="G936" s="803"/>
      <c r="H936" s="803"/>
      <c r="I936" s="803"/>
      <c r="J936" s="803"/>
      <c r="K936" s="803"/>
      <c r="L936" s="804"/>
    </row>
    <row r="937" spans="2:12" x14ac:dyDescent="0.25">
      <c r="B937" s="802"/>
      <c r="C937" s="802"/>
      <c r="D937" s="803"/>
      <c r="E937" s="803"/>
      <c r="F937" s="803"/>
      <c r="G937" s="803"/>
      <c r="H937" s="803"/>
      <c r="I937" s="803"/>
      <c r="J937" s="803"/>
      <c r="K937" s="803"/>
      <c r="L937" s="804"/>
    </row>
    <row r="938" spans="2:12" x14ac:dyDescent="0.25">
      <c r="B938" s="802"/>
      <c r="C938" s="802"/>
      <c r="D938" s="803"/>
      <c r="E938" s="803"/>
      <c r="F938" s="803"/>
      <c r="G938" s="803"/>
      <c r="H938" s="803"/>
      <c r="I938" s="803"/>
      <c r="J938" s="803"/>
      <c r="K938" s="803"/>
      <c r="L938" s="804"/>
    </row>
    <row r="939" spans="2:12" x14ac:dyDescent="0.25">
      <c r="B939" s="802"/>
      <c r="C939" s="802"/>
      <c r="D939" s="803"/>
      <c r="E939" s="803"/>
      <c r="F939" s="803"/>
      <c r="G939" s="803"/>
      <c r="H939" s="803"/>
      <c r="I939" s="803"/>
      <c r="J939" s="803"/>
      <c r="K939" s="803"/>
      <c r="L939" s="804"/>
    </row>
    <row r="940" spans="2:12" x14ac:dyDescent="0.25">
      <c r="B940" s="802"/>
      <c r="C940" s="802"/>
      <c r="D940" s="803"/>
      <c r="E940" s="803"/>
      <c r="F940" s="803"/>
      <c r="G940" s="803"/>
      <c r="H940" s="803"/>
      <c r="I940" s="803"/>
      <c r="J940" s="803"/>
      <c r="K940" s="803"/>
      <c r="L940" s="804"/>
    </row>
    <row r="941" spans="2:12" x14ac:dyDescent="0.25">
      <c r="B941" s="802"/>
      <c r="C941" s="802"/>
      <c r="D941" s="803"/>
      <c r="E941" s="803"/>
      <c r="F941" s="803"/>
      <c r="G941" s="803"/>
      <c r="H941" s="803"/>
      <c r="I941" s="803"/>
      <c r="J941" s="803"/>
      <c r="K941" s="803"/>
      <c r="L941" s="804"/>
    </row>
    <row r="942" spans="2:12" x14ac:dyDescent="0.25">
      <c r="B942" s="802"/>
      <c r="C942" s="802"/>
      <c r="D942" s="803"/>
      <c r="E942" s="803"/>
      <c r="F942" s="803"/>
      <c r="G942" s="803"/>
      <c r="H942" s="803"/>
      <c r="I942" s="803"/>
      <c r="J942" s="803"/>
      <c r="K942" s="803"/>
      <c r="L942" s="804"/>
    </row>
    <row r="943" spans="2:12" x14ac:dyDescent="0.25">
      <c r="B943" s="802"/>
      <c r="C943" s="802"/>
      <c r="D943" s="803"/>
      <c r="E943" s="803"/>
      <c r="F943" s="803"/>
      <c r="G943" s="803"/>
      <c r="H943" s="803"/>
      <c r="I943" s="803"/>
      <c r="J943" s="803"/>
      <c r="K943" s="803"/>
      <c r="L943" s="804"/>
    </row>
    <row r="944" spans="2:12" x14ac:dyDescent="0.25">
      <c r="B944" s="802"/>
      <c r="C944" s="802"/>
      <c r="D944" s="803"/>
      <c r="E944" s="803"/>
      <c r="F944" s="803"/>
      <c r="G944" s="803"/>
      <c r="H944" s="803"/>
      <c r="I944" s="803"/>
      <c r="J944" s="803"/>
      <c r="K944" s="803"/>
      <c r="L944" s="804"/>
    </row>
    <row r="945" spans="2:12" x14ac:dyDescent="0.25">
      <c r="B945" s="802"/>
      <c r="C945" s="802"/>
      <c r="D945" s="803"/>
      <c r="E945" s="803"/>
      <c r="F945" s="803"/>
      <c r="G945" s="803"/>
      <c r="H945" s="803"/>
      <c r="I945" s="803"/>
      <c r="J945" s="803"/>
      <c r="K945" s="803"/>
      <c r="L945" s="804"/>
    </row>
    <row r="946" spans="2:12" x14ac:dyDescent="0.25">
      <c r="B946" s="802"/>
      <c r="C946" s="802"/>
      <c r="D946" s="803"/>
      <c r="E946" s="803"/>
      <c r="F946" s="803"/>
      <c r="G946" s="803"/>
      <c r="H946" s="803"/>
      <c r="I946" s="803"/>
      <c r="J946" s="803"/>
      <c r="K946" s="803"/>
      <c r="L946" s="804"/>
    </row>
    <row r="947" spans="2:12" x14ac:dyDescent="0.25">
      <c r="B947" s="802"/>
      <c r="C947" s="802"/>
      <c r="D947" s="803"/>
      <c r="E947" s="803"/>
      <c r="F947" s="803"/>
      <c r="G947" s="803"/>
      <c r="H947" s="803"/>
      <c r="I947" s="803"/>
      <c r="J947" s="803"/>
      <c r="K947" s="803"/>
      <c r="L947" s="804"/>
    </row>
    <row r="948" spans="2:12" x14ac:dyDescent="0.25">
      <c r="B948" s="802"/>
      <c r="C948" s="802"/>
      <c r="D948" s="803"/>
      <c r="E948" s="803"/>
      <c r="F948" s="803"/>
      <c r="G948" s="803"/>
      <c r="H948" s="803"/>
      <c r="I948" s="803"/>
      <c r="J948" s="803"/>
      <c r="K948" s="803"/>
      <c r="L948" s="804"/>
    </row>
    <row r="949" spans="2:12" x14ac:dyDescent="0.25">
      <c r="B949" s="802"/>
      <c r="C949" s="802"/>
      <c r="D949" s="803"/>
      <c r="E949" s="803"/>
      <c r="F949" s="803"/>
      <c r="G949" s="803"/>
      <c r="H949" s="803"/>
      <c r="I949" s="803"/>
      <c r="J949" s="803"/>
      <c r="K949" s="803"/>
      <c r="L949" s="804"/>
    </row>
    <row r="950" spans="2:12" x14ac:dyDescent="0.25">
      <c r="B950" s="802"/>
      <c r="C950" s="802"/>
      <c r="D950" s="803"/>
      <c r="E950" s="803"/>
      <c r="F950" s="803"/>
      <c r="G950" s="803"/>
      <c r="H950" s="803"/>
      <c r="I950" s="803"/>
      <c r="J950" s="803"/>
      <c r="K950" s="803"/>
      <c r="L950" s="804"/>
    </row>
    <row r="951" spans="2:12" x14ac:dyDescent="0.25">
      <c r="B951" s="802"/>
      <c r="C951" s="802"/>
      <c r="D951" s="803"/>
      <c r="E951" s="803"/>
      <c r="F951" s="803"/>
      <c r="G951" s="803"/>
      <c r="H951" s="803"/>
      <c r="I951" s="803"/>
      <c r="J951" s="803"/>
      <c r="K951" s="803"/>
      <c r="L951" s="804"/>
    </row>
    <row r="952" spans="2:12" x14ac:dyDescent="0.25">
      <c r="B952" s="802"/>
      <c r="C952" s="802"/>
      <c r="D952" s="803"/>
      <c r="E952" s="803"/>
      <c r="F952" s="803"/>
      <c r="G952" s="803"/>
      <c r="H952" s="803"/>
      <c r="I952" s="803"/>
      <c r="J952" s="803"/>
      <c r="K952" s="803"/>
      <c r="L952" s="804"/>
    </row>
    <row r="953" spans="2:12" x14ac:dyDescent="0.25">
      <c r="B953" s="802"/>
      <c r="C953" s="802"/>
      <c r="D953" s="803"/>
      <c r="E953" s="803"/>
      <c r="F953" s="803"/>
      <c r="G953" s="803"/>
      <c r="H953" s="803"/>
      <c r="I953" s="803"/>
      <c r="J953" s="803"/>
      <c r="K953" s="803"/>
      <c r="L953" s="804"/>
    </row>
    <row r="954" spans="2:12" x14ac:dyDescent="0.25">
      <c r="B954" s="802"/>
      <c r="C954" s="802"/>
      <c r="D954" s="803"/>
      <c r="E954" s="803"/>
      <c r="F954" s="803"/>
      <c r="G954" s="803"/>
      <c r="H954" s="803"/>
      <c r="I954" s="803"/>
      <c r="J954" s="803"/>
      <c r="K954" s="803"/>
      <c r="L954" s="804"/>
    </row>
    <row r="955" spans="2:12" x14ac:dyDescent="0.25">
      <c r="B955" s="802"/>
      <c r="C955" s="802"/>
      <c r="D955" s="803"/>
      <c r="E955" s="803"/>
      <c r="F955" s="803"/>
      <c r="G955" s="803"/>
      <c r="H955" s="803"/>
      <c r="I955" s="803"/>
      <c r="J955" s="803"/>
      <c r="K955" s="803"/>
      <c r="L955" s="804"/>
    </row>
    <row r="956" spans="2:12" x14ac:dyDescent="0.25">
      <c r="B956" s="802"/>
      <c r="C956" s="802"/>
      <c r="D956" s="803"/>
      <c r="E956" s="803"/>
      <c r="F956" s="803"/>
      <c r="G956" s="803"/>
      <c r="H956" s="803"/>
      <c r="I956" s="803"/>
      <c r="J956" s="803"/>
      <c r="K956" s="803"/>
      <c r="L956" s="804"/>
    </row>
    <row r="957" spans="2:12" x14ac:dyDescent="0.25">
      <c r="B957" s="802"/>
      <c r="C957" s="802"/>
      <c r="D957" s="803"/>
      <c r="E957" s="803"/>
      <c r="F957" s="803"/>
      <c r="G957" s="803"/>
      <c r="H957" s="803"/>
      <c r="I957" s="803"/>
      <c r="J957" s="803"/>
      <c r="K957" s="803"/>
      <c r="L957" s="804"/>
    </row>
    <row r="958" spans="2:12" x14ac:dyDescent="0.25">
      <c r="B958" s="802"/>
      <c r="C958" s="802"/>
      <c r="D958" s="803"/>
      <c r="E958" s="803"/>
      <c r="F958" s="803"/>
      <c r="G958" s="803"/>
      <c r="H958" s="803"/>
      <c r="I958" s="803"/>
      <c r="J958" s="803"/>
      <c r="K958" s="803"/>
      <c r="L958" s="804"/>
    </row>
    <row r="959" spans="2:12" x14ac:dyDescent="0.25">
      <c r="B959" s="802"/>
      <c r="C959" s="802"/>
      <c r="D959" s="803"/>
      <c r="E959" s="803"/>
      <c r="F959" s="803"/>
      <c r="G959" s="803"/>
      <c r="H959" s="803"/>
      <c r="I959" s="803"/>
      <c r="J959" s="803"/>
      <c r="K959" s="803"/>
      <c r="L959" s="804"/>
    </row>
    <row r="960" spans="2:12" x14ac:dyDescent="0.25">
      <c r="B960" s="802"/>
      <c r="C960" s="802"/>
      <c r="D960" s="803"/>
      <c r="E960" s="803"/>
      <c r="F960" s="803"/>
      <c r="G960" s="803"/>
      <c r="H960" s="803"/>
      <c r="I960" s="803"/>
      <c r="J960" s="803"/>
      <c r="K960" s="803"/>
      <c r="L960" s="804"/>
    </row>
    <row r="961" spans="2:12" x14ac:dyDescent="0.25">
      <c r="B961" s="802"/>
      <c r="C961" s="802"/>
      <c r="D961" s="803"/>
      <c r="E961" s="803"/>
      <c r="F961" s="803"/>
      <c r="G961" s="803"/>
      <c r="H961" s="803"/>
      <c r="I961" s="803"/>
      <c r="J961" s="803"/>
      <c r="K961" s="803"/>
      <c r="L961" s="804"/>
    </row>
    <row r="962" spans="2:12" x14ac:dyDescent="0.25">
      <c r="B962" s="802"/>
      <c r="C962" s="802"/>
      <c r="D962" s="803"/>
      <c r="E962" s="803"/>
      <c r="F962" s="803"/>
      <c r="G962" s="803"/>
      <c r="H962" s="803"/>
      <c r="I962" s="803"/>
      <c r="J962" s="803"/>
      <c r="K962" s="803"/>
      <c r="L962" s="804"/>
    </row>
    <row r="963" spans="2:12" x14ac:dyDescent="0.25">
      <c r="B963" s="802"/>
      <c r="C963" s="802"/>
      <c r="D963" s="803"/>
      <c r="E963" s="803"/>
      <c r="F963" s="803"/>
      <c r="G963" s="803"/>
      <c r="H963" s="803"/>
      <c r="I963" s="803"/>
      <c r="J963" s="803"/>
      <c r="K963" s="803"/>
      <c r="L963" s="804"/>
    </row>
    <row r="964" spans="2:12" x14ac:dyDescent="0.25">
      <c r="B964" s="802"/>
      <c r="C964" s="802"/>
      <c r="D964" s="803"/>
      <c r="E964" s="803"/>
      <c r="F964" s="803"/>
      <c r="G964" s="803"/>
      <c r="H964" s="803"/>
      <c r="I964" s="803"/>
      <c r="J964" s="803"/>
      <c r="K964" s="803"/>
      <c r="L964" s="804"/>
    </row>
    <row r="965" spans="2:12" x14ac:dyDescent="0.25">
      <c r="B965" s="802"/>
      <c r="C965" s="802"/>
      <c r="D965" s="803"/>
      <c r="E965" s="803"/>
      <c r="F965" s="803"/>
      <c r="G965" s="803"/>
      <c r="H965" s="803"/>
      <c r="I965" s="803"/>
      <c r="J965" s="803"/>
      <c r="K965" s="803"/>
      <c r="L965" s="804"/>
    </row>
    <row r="966" spans="2:12" x14ac:dyDescent="0.25">
      <c r="B966" s="802"/>
      <c r="C966" s="802"/>
      <c r="D966" s="803"/>
      <c r="E966" s="803"/>
      <c r="F966" s="803"/>
      <c r="G966" s="803"/>
      <c r="H966" s="803"/>
      <c r="I966" s="803"/>
      <c r="J966" s="803"/>
      <c r="K966" s="803"/>
      <c r="L966" s="804"/>
    </row>
    <row r="967" spans="2:12" x14ac:dyDescent="0.25">
      <c r="B967" s="802"/>
      <c r="C967" s="802"/>
      <c r="D967" s="803"/>
      <c r="E967" s="803"/>
      <c r="F967" s="803"/>
      <c r="G967" s="803"/>
      <c r="H967" s="803"/>
      <c r="I967" s="803"/>
      <c r="J967" s="803"/>
      <c r="K967" s="803"/>
      <c r="L967" s="804"/>
    </row>
    <row r="968" spans="2:12" x14ac:dyDescent="0.25">
      <c r="B968" s="802"/>
      <c r="C968" s="802"/>
      <c r="D968" s="803"/>
      <c r="E968" s="803"/>
      <c r="F968" s="803"/>
      <c r="G968" s="803"/>
      <c r="H968" s="803"/>
      <c r="I968" s="803"/>
      <c r="J968" s="803"/>
      <c r="K968" s="803"/>
      <c r="L968" s="804"/>
    </row>
    <row r="969" spans="2:12" x14ac:dyDescent="0.25">
      <c r="B969" s="802"/>
      <c r="C969" s="802"/>
      <c r="D969" s="803"/>
      <c r="E969" s="803"/>
      <c r="F969" s="803"/>
      <c r="G969" s="803"/>
      <c r="H969" s="803"/>
      <c r="I969" s="803"/>
      <c r="J969" s="803"/>
      <c r="K969" s="803"/>
      <c r="L969" s="804"/>
    </row>
    <row r="970" spans="2:12" x14ac:dyDescent="0.25">
      <c r="B970" s="802"/>
      <c r="C970" s="802"/>
      <c r="D970" s="803"/>
      <c r="E970" s="803"/>
      <c r="F970" s="803"/>
      <c r="G970" s="803"/>
      <c r="H970" s="803"/>
      <c r="I970" s="803"/>
      <c r="J970" s="803"/>
      <c r="K970" s="803"/>
      <c r="L970" s="804"/>
    </row>
    <row r="971" spans="2:12" x14ac:dyDescent="0.25">
      <c r="B971" s="802"/>
      <c r="C971" s="802"/>
      <c r="D971" s="803"/>
      <c r="E971" s="803"/>
      <c r="F971" s="803"/>
      <c r="G971" s="803"/>
      <c r="H971" s="803"/>
      <c r="I971" s="803"/>
      <c r="J971" s="803"/>
      <c r="K971" s="803"/>
      <c r="L971" s="804"/>
    </row>
    <row r="972" spans="2:12" x14ac:dyDescent="0.25">
      <c r="B972" s="802"/>
      <c r="C972" s="802"/>
      <c r="D972" s="803"/>
      <c r="E972" s="803"/>
      <c r="F972" s="803"/>
      <c r="G972" s="803"/>
      <c r="H972" s="803"/>
      <c r="I972" s="803"/>
      <c r="J972" s="803"/>
      <c r="K972" s="803"/>
      <c r="L972" s="804"/>
    </row>
    <row r="973" spans="2:12" x14ac:dyDescent="0.25">
      <c r="B973" s="802"/>
      <c r="C973" s="802"/>
      <c r="D973" s="803"/>
      <c r="E973" s="803"/>
      <c r="F973" s="803"/>
      <c r="G973" s="803"/>
      <c r="H973" s="803"/>
      <c r="I973" s="803"/>
      <c r="J973" s="803"/>
      <c r="K973" s="803"/>
      <c r="L973" s="804"/>
    </row>
    <row r="974" spans="2:12" x14ac:dyDescent="0.25">
      <c r="B974" s="802"/>
      <c r="C974" s="802"/>
      <c r="D974" s="803"/>
      <c r="E974" s="803"/>
      <c r="F974" s="803"/>
      <c r="G974" s="803"/>
      <c r="H974" s="803"/>
      <c r="I974" s="803"/>
      <c r="J974" s="803"/>
      <c r="K974" s="803"/>
      <c r="L974" s="804"/>
    </row>
    <row r="975" spans="2:12" x14ac:dyDescent="0.25">
      <c r="B975" s="802"/>
      <c r="C975" s="802"/>
      <c r="D975" s="803"/>
      <c r="E975" s="803"/>
      <c r="F975" s="803"/>
      <c r="G975" s="803"/>
      <c r="H975" s="803"/>
      <c r="I975" s="803"/>
      <c r="J975" s="803"/>
      <c r="K975" s="803"/>
      <c r="L975" s="804"/>
    </row>
    <row r="976" spans="2:12" x14ac:dyDescent="0.25">
      <c r="B976" s="802"/>
      <c r="C976" s="802"/>
      <c r="D976" s="803"/>
      <c r="E976" s="803"/>
      <c r="F976" s="803"/>
      <c r="G976" s="803"/>
      <c r="H976" s="803"/>
      <c r="I976" s="803"/>
      <c r="J976" s="803"/>
      <c r="K976" s="803"/>
      <c r="L976" s="804"/>
    </row>
    <row r="977" spans="2:12" x14ac:dyDescent="0.25">
      <c r="B977" s="802"/>
      <c r="C977" s="802"/>
      <c r="D977" s="803"/>
      <c r="E977" s="803"/>
      <c r="F977" s="803"/>
      <c r="G977" s="803"/>
      <c r="H977" s="803"/>
      <c r="I977" s="803"/>
      <c r="J977" s="803"/>
      <c r="K977" s="803"/>
      <c r="L977" s="804"/>
    </row>
    <row r="978" spans="2:12" x14ac:dyDescent="0.25">
      <c r="B978" s="802"/>
      <c r="C978" s="802"/>
      <c r="D978" s="803"/>
      <c r="E978" s="803"/>
      <c r="F978" s="803"/>
      <c r="G978" s="803"/>
      <c r="H978" s="803"/>
      <c r="I978" s="803"/>
      <c r="J978" s="803"/>
      <c r="K978" s="803"/>
      <c r="L978" s="804"/>
    </row>
    <row r="979" spans="2:12" x14ac:dyDescent="0.25">
      <c r="B979" s="802"/>
      <c r="C979" s="802"/>
      <c r="D979" s="803"/>
      <c r="E979" s="803"/>
      <c r="F979" s="803"/>
      <c r="G979" s="803"/>
      <c r="H979" s="803"/>
      <c r="I979" s="803"/>
      <c r="J979" s="803"/>
      <c r="K979" s="803"/>
      <c r="L979" s="804"/>
    </row>
    <row r="980" spans="2:12" x14ac:dyDescent="0.25">
      <c r="B980" s="802"/>
      <c r="C980" s="802"/>
      <c r="D980" s="803"/>
      <c r="E980" s="803"/>
      <c r="F980" s="803"/>
      <c r="G980" s="803"/>
      <c r="H980" s="803"/>
      <c r="I980" s="803"/>
      <c r="J980" s="803"/>
      <c r="K980" s="803"/>
      <c r="L980" s="804"/>
    </row>
    <row r="981" spans="2:12" x14ac:dyDescent="0.25">
      <c r="B981" s="802"/>
      <c r="C981" s="802"/>
      <c r="D981" s="803"/>
      <c r="E981" s="803"/>
      <c r="F981" s="803"/>
      <c r="G981" s="803"/>
      <c r="H981" s="803"/>
      <c r="I981" s="803"/>
      <c r="J981" s="803"/>
      <c r="K981" s="803"/>
      <c r="L981" s="804"/>
    </row>
    <row r="982" spans="2:12" x14ac:dyDescent="0.25">
      <c r="B982" s="802"/>
      <c r="C982" s="802"/>
      <c r="D982" s="803"/>
      <c r="E982" s="803"/>
      <c r="F982" s="803"/>
      <c r="G982" s="803"/>
      <c r="H982" s="803"/>
      <c r="I982" s="803"/>
      <c r="J982" s="803"/>
      <c r="K982" s="803"/>
      <c r="L982" s="804"/>
    </row>
    <row r="983" spans="2:12" x14ac:dyDescent="0.25">
      <c r="B983" s="802"/>
      <c r="C983" s="802"/>
      <c r="D983" s="803"/>
      <c r="E983" s="803"/>
      <c r="F983" s="803"/>
      <c r="G983" s="803"/>
      <c r="H983" s="803"/>
      <c r="I983" s="803"/>
      <c r="J983" s="803"/>
      <c r="K983" s="803"/>
      <c r="L983" s="804"/>
    </row>
    <row r="984" spans="2:12" x14ac:dyDescent="0.25">
      <c r="B984" s="802"/>
      <c r="C984" s="802"/>
      <c r="D984" s="803"/>
      <c r="E984" s="803"/>
      <c r="F984" s="803"/>
      <c r="G984" s="803"/>
      <c r="H984" s="803"/>
      <c r="I984" s="803"/>
      <c r="J984" s="803"/>
      <c r="K984" s="803"/>
      <c r="L984" s="804"/>
    </row>
    <row r="985" spans="2:12" x14ac:dyDescent="0.25">
      <c r="B985" s="802"/>
      <c r="C985" s="802"/>
      <c r="D985" s="803"/>
      <c r="E985" s="803"/>
      <c r="F985" s="803"/>
      <c r="G985" s="803"/>
      <c r="H985" s="803"/>
      <c r="I985" s="803"/>
      <c r="J985" s="803"/>
      <c r="K985" s="803"/>
      <c r="L985" s="804"/>
    </row>
    <row r="986" spans="2:12" x14ac:dyDescent="0.25">
      <c r="B986" s="802"/>
      <c r="C986" s="802"/>
      <c r="D986" s="803"/>
      <c r="E986" s="803"/>
      <c r="F986" s="803"/>
      <c r="G986" s="803"/>
      <c r="H986" s="803"/>
      <c r="I986" s="803"/>
      <c r="J986" s="803"/>
      <c r="K986" s="803"/>
      <c r="L986" s="804"/>
    </row>
    <row r="987" spans="2:12" x14ac:dyDescent="0.25">
      <c r="B987" s="802"/>
      <c r="C987" s="802"/>
      <c r="D987" s="803"/>
      <c r="E987" s="803"/>
      <c r="F987" s="803"/>
      <c r="G987" s="803"/>
      <c r="H987" s="803"/>
      <c r="I987" s="803"/>
      <c r="J987" s="803"/>
      <c r="K987" s="803"/>
      <c r="L987" s="804"/>
    </row>
    <row r="988" spans="2:12" x14ac:dyDescent="0.25">
      <c r="B988" s="802"/>
      <c r="C988" s="802"/>
      <c r="D988" s="803"/>
      <c r="E988" s="803"/>
      <c r="F988" s="803"/>
      <c r="G988" s="803"/>
      <c r="H988" s="803"/>
      <c r="I988" s="803"/>
      <c r="J988" s="803"/>
      <c r="K988" s="803"/>
      <c r="L988" s="804"/>
    </row>
    <row r="989" spans="2:12" x14ac:dyDescent="0.25">
      <c r="B989" s="802"/>
      <c r="C989" s="802"/>
      <c r="D989" s="803"/>
      <c r="E989" s="803"/>
      <c r="F989" s="803"/>
      <c r="G989" s="803"/>
      <c r="H989" s="803"/>
      <c r="I989" s="803"/>
      <c r="J989" s="803"/>
      <c r="K989" s="803"/>
      <c r="L989" s="804"/>
    </row>
    <row r="990" spans="2:12" x14ac:dyDescent="0.25">
      <c r="B990" s="802"/>
      <c r="C990" s="802"/>
      <c r="D990" s="803"/>
      <c r="E990" s="803"/>
      <c r="F990" s="803"/>
      <c r="G990" s="803"/>
      <c r="H990" s="803"/>
      <c r="I990" s="803"/>
      <c r="J990" s="803"/>
      <c r="K990" s="803"/>
      <c r="L990" s="804"/>
    </row>
    <row r="991" spans="2:12" x14ac:dyDescent="0.25">
      <c r="B991" s="802"/>
      <c r="C991" s="802"/>
      <c r="D991" s="803"/>
      <c r="E991" s="803"/>
      <c r="F991" s="803"/>
      <c r="G991" s="803"/>
      <c r="H991" s="803"/>
      <c r="I991" s="803"/>
      <c r="J991" s="803"/>
      <c r="K991" s="803"/>
      <c r="L991" s="804"/>
    </row>
    <row r="992" spans="2:12" x14ac:dyDescent="0.25">
      <c r="B992" s="802"/>
      <c r="C992" s="802"/>
      <c r="D992" s="803"/>
      <c r="E992" s="803"/>
      <c r="F992" s="803"/>
      <c r="G992" s="803"/>
      <c r="H992" s="803"/>
      <c r="I992" s="803"/>
      <c r="J992" s="803"/>
      <c r="K992" s="803"/>
      <c r="L992" s="804"/>
    </row>
    <row r="993" spans="2:12" x14ac:dyDescent="0.25">
      <c r="B993" s="802"/>
      <c r="C993" s="802"/>
      <c r="D993" s="803"/>
      <c r="E993" s="803"/>
      <c r="F993" s="803"/>
      <c r="G993" s="803"/>
      <c r="H993" s="803"/>
      <c r="I993" s="803"/>
      <c r="J993" s="803"/>
      <c r="K993" s="803"/>
      <c r="L993" s="804"/>
    </row>
    <row r="994" spans="2:12" x14ac:dyDescent="0.25">
      <c r="B994" s="802"/>
      <c r="C994" s="802"/>
      <c r="D994" s="803"/>
      <c r="E994" s="803"/>
      <c r="F994" s="803"/>
      <c r="G994" s="803"/>
      <c r="H994" s="803"/>
      <c r="I994" s="803"/>
      <c r="J994" s="803"/>
      <c r="K994" s="803"/>
      <c r="L994" s="804"/>
    </row>
    <row r="995" spans="2:12" x14ac:dyDescent="0.25">
      <c r="B995" s="802"/>
      <c r="C995" s="802"/>
      <c r="D995" s="803"/>
      <c r="E995" s="803"/>
      <c r="F995" s="803"/>
      <c r="G995" s="803"/>
      <c r="H995" s="803"/>
      <c r="I995" s="803"/>
      <c r="J995" s="803"/>
      <c r="K995" s="803"/>
      <c r="L995" s="804"/>
    </row>
    <row r="996" spans="2:12" x14ac:dyDescent="0.25">
      <c r="B996" s="802"/>
      <c r="C996" s="802"/>
      <c r="D996" s="803"/>
      <c r="E996" s="803"/>
      <c r="F996" s="803"/>
      <c r="G996" s="803"/>
      <c r="H996" s="803"/>
      <c r="I996" s="803"/>
      <c r="J996" s="803"/>
      <c r="K996" s="803"/>
      <c r="L996" s="804"/>
    </row>
    <row r="997" spans="2:12" x14ac:dyDescent="0.25">
      <c r="B997" s="802"/>
      <c r="C997" s="802"/>
      <c r="D997" s="803"/>
      <c r="E997" s="803"/>
      <c r="F997" s="803"/>
      <c r="G997" s="803"/>
      <c r="H997" s="803"/>
      <c r="I997" s="803"/>
      <c r="J997" s="803"/>
      <c r="K997" s="803"/>
      <c r="L997" s="804"/>
    </row>
    <row r="998" spans="2:12" x14ac:dyDescent="0.25">
      <c r="B998" s="802"/>
      <c r="C998" s="802"/>
      <c r="D998" s="803"/>
      <c r="E998" s="803"/>
      <c r="F998" s="803"/>
      <c r="G998" s="803"/>
      <c r="H998" s="803"/>
      <c r="I998" s="803"/>
      <c r="J998" s="803"/>
      <c r="K998" s="803"/>
      <c r="L998" s="804"/>
    </row>
    <row r="999" spans="2:12" x14ac:dyDescent="0.25">
      <c r="B999" s="802"/>
      <c r="C999" s="802"/>
      <c r="D999" s="803"/>
      <c r="E999" s="803"/>
      <c r="F999" s="803"/>
      <c r="G999" s="803"/>
      <c r="H999" s="803"/>
      <c r="I999" s="803"/>
      <c r="J999" s="803"/>
      <c r="K999" s="803"/>
      <c r="L999" s="804"/>
    </row>
    <row r="1000" spans="2:12" x14ac:dyDescent="0.25">
      <c r="B1000" s="802"/>
      <c r="C1000" s="802"/>
      <c r="D1000" s="803"/>
      <c r="E1000" s="803"/>
      <c r="F1000" s="803"/>
      <c r="G1000" s="803"/>
      <c r="H1000" s="803"/>
      <c r="I1000" s="803"/>
      <c r="J1000" s="803"/>
      <c r="K1000" s="803"/>
      <c r="L1000" s="804"/>
    </row>
    <row r="1001" spans="2:12" x14ac:dyDescent="0.25">
      <c r="B1001" s="802"/>
      <c r="C1001" s="802"/>
      <c r="D1001" s="803"/>
      <c r="E1001" s="803"/>
      <c r="F1001" s="803"/>
      <c r="G1001" s="803"/>
      <c r="H1001" s="803"/>
      <c r="I1001" s="803"/>
      <c r="J1001" s="803"/>
      <c r="K1001" s="803"/>
      <c r="L1001" s="804"/>
    </row>
    <row r="1002" spans="2:12" x14ac:dyDescent="0.25">
      <c r="B1002" s="802"/>
      <c r="C1002" s="802"/>
      <c r="D1002" s="803"/>
      <c r="E1002" s="803"/>
      <c r="F1002" s="803"/>
      <c r="G1002" s="803"/>
      <c r="H1002" s="803"/>
      <c r="I1002" s="803"/>
      <c r="J1002" s="803"/>
      <c r="K1002" s="803"/>
      <c r="L1002" s="804"/>
    </row>
    <row r="1003" spans="2:12" x14ac:dyDescent="0.25">
      <c r="B1003" s="802"/>
      <c r="C1003" s="802"/>
      <c r="D1003" s="803"/>
      <c r="E1003" s="803"/>
      <c r="F1003" s="803"/>
      <c r="G1003" s="803"/>
      <c r="H1003" s="803"/>
      <c r="I1003" s="803"/>
      <c r="J1003" s="803"/>
      <c r="K1003" s="803"/>
      <c r="L1003" s="804"/>
    </row>
    <row r="1004" spans="2:12" x14ac:dyDescent="0.25">
      <c r="B1004" s="802"/>
      <c r="C1004" s="802"/>
      <c r="D1004" s="803"/>
      <c r="E1004" s="803"/>
      <c r="F1004" s="803"/>
      <c r="G1004" s="803"/>
      <c r="H1004" s="803"/>
      <c r="I1004" s="803"/>
      <c r="J1004" s="803"/>
      <c r="K1004" s="803"/>
      <c r="L1004" s="804"/>
    </row>
    <row r="1005" spans="2:12" x14ac:dyDescent="0.25">
      <c r="B1005" s="802"/>
      <c r="C1005" s="802"/>
      <c r="D1005" s="803"/>
      <c r="E1005" s="803"/>
      <c r="F1005" s="803"/>
      <c r="G1005" s="803"/>
      <c r="H1005" s="803"/>
      <c r="I1005" s="803"/>
      <c r="J1005" s="803"/>
      <c r="K1005" s="803"/>
      <c r="L1005" s="804"/>
    </row>
    <row r="1006" spans="2:12" x14ac:dyDescent="0.25">
      <c r="B1006" s="802"/>
      <c r="C1006" s="802"/>
      <c r="D1006" s="803"/>
      <c r="E1006" s="803"/>
      <c r="F1006" s="803"/>
      <c r="G1006" s="803"/>
      <c r="H1006" s="803"/>
      <c r="I1006" s="803"/>
      <c r="J1006" s="803"/>
      <c r="K1006" s="803"/>
      <c r="L1006" s="804"/>
    </row>
    <row r="1007" spans="2:12" x14ac:dyDescent="0.25">
      <c r="B1007" s="802"/>
      <c r="C1007" s="802"/>
      <c r="D1007" s="803"/>
      <c r="E1007" s="803"/>
      <c r="F1007" s="803"/>
      <c r="G1007" s="803"/>
      <c r="H1007" s="803"/>
      <c r="I1007" s="803"/>
      <c r="J1007" s="803"/>
      <c r="K1007" s="803"/>
      <c r="L1007" s="804"/>
    </row>
    <row r="1008" spans="2:12" x14ac:dyDescent="0.25">
      <c r="B1008" s="802"/>
      <c r="C1008" s="802"/>
      <c r="D1008" s="803"/>
      <c r="E1008" s="803"/>
      <c r="F1008" s="803"/>
      <c r="G1008" s="803"/>
      <c r="H1008" s="803"/>
      <c r="I1008" s="803"/>
      <c r="J1008" s="803"/>
      <c r="K1008" s="803"/>
      <c r="L1008" s="804"/>
    </row>
    <row r="1009" spans="2:12" x14ac:dyDescent="0.25">
      <c r="B1009" s="802"/>
      <c r="C1009" s="802"/>
      <c r="D1009" s="803"/>
      <c r="E1009" s="803"/>
      <c r="F1009" s="803"/>
      <c r="G1009" s="803"/>
      <c r="H1009" s="803"/>
      <c r="I1009" s="803"/>
      <c r="J1009" s="803"/>
      <c r="K1009" s="803"/>
      <c r="L1009" s="804"/>
    </row>
    <row r="1010" spans="2:12" x14ac:dyDescent="0.25">
      <c r="B1010" s="802"/>
      <c r="C1010" s="802"/>
      <c r="D1010" s="803"/>
      <c r="E1010" s="803"/>
      <c r="F1010" s="803"/>
      <c r="G1010" s="803"/>
      <c r="H1010" s="803"/>
      <c r="I1010" s="803"/>
      <c r="J1010" s="803"/>
      <c r="K1010" s="803"/>
      <c r="L1010" s="804"/>
    </row>
    <row r="1011" spans="2:12" x14ac:dyDescent="0.25">
      <c r="B1011" s="802"/>
      <c r="C1011" s="802"/>
      <c r="D1011" s="803"/>
      <c r="E1011" s="803"/>
      <c r="F1011" s="803"/>
      <c r="G1011" s="803"/>
      <c r="H1011" s="803"/>
      <c r="I1011" s="803"/>
      <c r="J1011" s="803"/>
      <c r="K1011" s="803"/>
      <c r="L1011" s="804"/>
    </row>
    <row r="1012" spans="2:12" x14ac:dyDescent="0.25">
      <c r="B1012" s="802"/>
      <c r="C1012" s="802"/>
      <c r="D1012" s="803"/>
      <c r="E1012" s="803"/>
      <c r="F1012" s="803"/>
      <c r="G1012" s="803"/>
      <c r="H1012" s="803"/>
      <c r="I1012" s="803"/>
      <c r="J1012" s="803"/>
      <c r="K1012" s="803"/>
      <c r="L1012" s="804"/>
    </row>
    <row r="1013" spans="2:12" x14ac:dyDescent="0.25">
      <c r="B1013" s="802"/>
      <c r="C1013" s="802"/>
      <c r="D1013" s="803"/>
      <c r="E1013" s="803"/>
      <c r="F1013" s="803"/>
      <c r="G1013" s="803"/>
      <c r="H1013" s="803"/>
      <c r="I1013" s="803"/>
      <c r="J1013" s="803"/>
      <c r="K1013" s="803"/>
      <c r="L1013" s="804"/>
    </row>
    <row r="1014" spans="2:12" x14ac:dyDescent="0.25">
      <c r="B1014" s="802"/>
      <c r="C1014" s="802"/>
      <c r="D1014" s="803"/>
      <c r="E1014" s="803"/>
      <c r="F1014" s="803"/>
      <c r="G1014" s="803"/>
      <c r="H1014" s="803"/>
      <c r="I1014" s="803"/>
      <c r="J1014" s="803"/>
      <c r="K1014" s="803"/>
      <c r="L1014" s="804"/>
    </row>
    <row r="1015" spans="2:12" x14ac:dyDescent="0.25">
      <c r="B1015" s="802"/>
      <c r="C1015" s="802"/>
      <c r="D1015" s="803"/>
      <c r="E1015" s="803"/>
      <c r="F1015" s="803"/>
      <c r="G1015" s="803"/>
      <c r="H1015" s="803"/>
      <c r="I1015" s="803"/>
      <c r="J1015" s="803"/>
      <c r="K1015" s="803"/>
      <c r="L1015" s="804"/>
    </row>
    <row r="1016" spans="2:12" x14ac:dyDescent="0.25">
      <c r="B1016" s="802"/>
      <c r="C1016" s="802"/>
      <c r="D1016" s="803"/>
      <c r="E1016" s="803"/>
      <c r="F1016" s="803"/>
      <c r="G1016" s="803"/>
      <c r="H1016" s="803"/>
      <c r="I1016" s="803"/>
      <c r="J1016" s="803"/>
      <c r="K1016" s="803"/>
      <c r="L1016" s="804"/>
    </row>
    <row r="1017" spans="2:12" x14ac:dyDescent="0.25">
      <c r="B1017" s="802"/>
      <c r="C1017" s="802"/>
      <c r="D1017" s="803"/>
      <c r="E1017" s="803"/>
      <c r="F1017" s="803"/>
      <c r="G1017" s="803"/>
      <c r="H1017" s="803"/>
      <c r="I1017" s="803"/>
      <c r="J1017" s="803"/>
      <c r="K1017" s="803"/>
      <c r="L1017" s="804"/>
    </row>
    <row r="1018" spans="2:12" x14ac:dyDescent="0.25">
      <c r="B1018" s="802"/>
      <c r="C1018" s="802"/>
      <c r="D1018" s="803"/>
      <c r="E1018" s="803"/>
      <c r="F1018" s="803"/>
      <c r="G1018" s="803"/>
      <c r="H1018" s="803"/>
      <c r="I1018" s="803"/>
      <c r="J1018" s="803"/>
      <c r="K1018" s="803"/>
      <c r="L1018" s="804"/>
    </row>
    <row r="1019" spans="2:12" x14ac:dyDescent="0.25">
      <c r="B1019" s="802"/>
      <c r="C1019" s="802"/>
      <c r="D1019" s="803"/>
      <c r="E1019" s="803"/>
      <c r="F1019" s="803"/>
      <c r="G1019" s="803"/>
      <c r="H1019" s="803"/>
      <c r="I1019" s="803"/>
      <c r="J1019" s="803"/>
      <c r="K1019" s="803"/>
      <c r="L1019" s="804"/>
    </row>
    <row r="1020" spans="2:12" x14ac:dyDescent="0.25">
      <c r="B1020" s="802"/>
      <c r="C1020" s="802"/>
      <c r="D1020" s="803"/>
      <c r="E1020" s="803"/>
      <c r="F1020" s="803"/>
      <c r="G1020" s="803"/>
      <c r="H1020" s="803"/>
      <c r="I1020" s="803"/>
      <c r="J1020" s="803"/>
      <c r="K1020" s="803"/>
      <c r="L1020" s="804"/>
    </row>
    <row r="1021" spans="2:12" x14ac:dyDescent="0.25">
      <c r="B1021" s="802"/>
      <c r="C1021" s="802"/>
      <c r="D1021" s="803"/>
      <c r="E1021" s="803"/>
      <c r="F1021" s="803"/>
      <c r="G1021" s="803"/>
      <c r="H1021" s="803"/>
      <c r="I1021" s="803"/>
      <c r="J1021" s="803"/>
      <c r="K1021" s="803"/>
      <c r="L1021" s="804"/>
    </row>
    <row r="1022" spans="2:12" x14ac:dyDescent="0.25">
      <c r="B1022" s="802"/>
      <c r="C1022" s="802"/>
      <c r="D1022" s="803"/>
      <c r="E1022" s="803"/>
      <c r="F1022" s="803"/>
      <c r="G1022" s="803"/>
      <c r="H1022" s="803"/>
      <c r="I1022" s="803"/>
      <c r="J1022" s="803"/>
      <c r="K1022" s="803"/>
      <c r="L1022" s="804"/>
    </row>
    <row r="1023" spans="2:12" x14ac:dyDescent="0.25">
      <c r="B1023" s="802"/>
      <c r="C1023" s="802"/>
      <c r="D1023" s="803"/>
      <c r="E1023" s="803"/>
      <c r="F1023" s="803"/>
      <c r="G1023" s="803"/>
      <c r="H1023" s="803"/>
      <c r="I1023" s="803"/>
      <c r="J1023" s="803"/>
      <c r="K1023" s="803"/>
      <c r="L1023" s="804"/>
    </row>
    <row r="1024" spans="2:12" x14ac:dyDescent="0.25">
      <c r="B1024" s="802"/>
      <c r="C1024" s="802"/>
      <c r="D1024" s="803"/>
      <c r="E1024" s="803"/>
      <c r="F1024" s="803"/>
      <c r="G1024" s="803"/>
      <c r="H1024" s="803"/>
      <c r="I1024" s="803"/>
      <c r="J1024" s="803"/>
      <c r="K1024" s="803"/>
      <c r="L1024" s="804"/>
    </row>
    <row r="1025" spans="2:12" x14ac:dyDescent="0.25">
      <c r="B1025" s="802"/>
      <c r="C1025" s="802"/>
      <c r="D1025" s="803"/>
      <c r="E1025" s="803"/>
      <c r="F1025" s="803"/>
      <c r="G1025" s="803"/>
      <c r="H1025" s="803"/>
      <c r="I1025" s="803"/>
      <c r="J1025" s="803"/>
      <c r="K1025" s="803"/>
      <c r="L1025" s="804"/>
    </row>
    <row r="1026" spans="2:12" x14ac:dyDescent="0.25">
      <c r="B1026" s="802"/>
      <c r="C1026" s="802"/>
      <c r="D1026" s="803"/>
      <c r="E1026" s="803"/>
      <c r="F1026" s="803"/>
      <c r="G1026" s="803"/>
      <c r="H1026" s="803"/>
      <c r="I1026" s="803"/>
      <c r="J1026" s="803"/>
      <c r="K1026" s="803"/>
      <c r="L1026" s="804"/>
    </row>
    <row r="1027" spans="2:12" x14ac:dyDescent="0.25">
      <c r="B1027" s="802"/>
      <c r="C1027" s="802"/>
      <c r="D1027" s="803"/>
      <c r="E1027" s="803"/>
      <c r="F1027" s="803"/>
      <c r="G1027" s="803"/>
      <c r="H1027" s="803"/>
      <c r="I1027" s="803"/>
      <c r="J1027" s="803"/>
      <c r="K1027" s="803"/>
      <c r="L1027" s="804"/>
    </row>
    <row r="1028" spans="2:12" x14ac:dyDescent="0.25">
      <c r="B1028" s="802"/>
      <c r="C1028" s="802"/>
      <c r="D1028" s="803"/>
      <c r="E1028" s="803"/>
      <c r="F1028" s="803"/>
      <c r="G1028" s="803"/>
      <c r="H1028" s="803"/>
      <c r="I1028" s="803"/>
      <c r="J1028" s="803"/>
      <c r="K1028" s="803"/>
      <c r="L1028" s="804"/>
    </row>
    <row r="1029" spans="2:12" x14ac:dyDescent="0.25">
      <c r="B1029" s="802"/>
      <c r="C1029" s="802"/>
      <c r="D1029" s="803"/>
      <c r="E1029" s="803"/>
      <c r="F1029" s="803"/>
      <c r="G1029" s="803"/>
      <c r="H1029" s="803"/>
      <c r="I1029" s="803"/>
      <c r="J1029" s="803"/>
      <c r="K1029" s="803"/>
      <c r="L1029" s="804"/>
    </row>
    <row r="1030" spans="2:12" x14ac:dyDescent="0.25">
      <c r="B1030" s="802"/>
      <c r="C1030" s="802"/>
      <c r="D1030" s="803"/>
      <c r="E1030" s="803"/>
      <c r="F1030" s="803"/>
      <c r="G1030" s="803"/>
      <c r="H1030" s="803"/>
      <c r="I1030" s="803"/>
      <c r="J1030" s="803"/>
      <c r="K1030" s="803"/>
      <c r="L1030" s="804"/>
    </row>
    <row r="1031" spans="2:12" x14ac:dyDescent="0.25">
      <c r="B1031" s="802"/>
      <c r="C1031" s="802"/>
      <c r="D1031" s="803"/>
      <c r="E1031" s="803"/>
      <c r="F1031" s="803"/>
      <c r="G1031" s="803"/>
      <c r="H1031" s="803"/>
      <c r="I1031" s="803"/>
      <c r="J1031" s="803"/>
      <c r="K1031" s="803"/>
      <c r="L1031" s="804"/>
    </row>
    <row r="1032" spans="2:12" x14ac:dyDescent="0.25">
      <c r="B1032" s="802"/>
      <c r="C1032" s="802"/>
      <c r="D1032" s="803"/>
      <c r="E1032" s="803"/>
      <c r="F1032" s="803"/>
      <c r="G1032" s="803"/>
      <c r="H1032" s="803"/>
      <c r="I1032" s="803"/>
      <c r="J1032" s="803"/>
      <c r="K1032" s="803"/>
      <c r="L1032" s="804"/>
    </row>
    <row r="1033" spans="2:12" x14ac:dyDescent="0.25">
      <c r="B1033" s="802"/>
      <c r="C1033" s="802"/>
      <c r="D1033" s="803"/>
      <c r="E1033" s="803"/>
      <c r="F1033" s="803"/>
      <c r="G1033" s="803"/>
      <c r="H1033" s="803"/>
      <c r="I1033" s="803"/>
      <c r="J1033" s="803"/>
      <c r="K1033" s="803"/>
      <c r="L1033" s="804"/>
    </row>
    <row r="1034" spans="2:12" x14ac:dyDescent="0.25">
      <c r="B1034" s="802"/>
      <c r="C1034" s="802"/>
      <c r="D1034" s="803"/>
      <c r="E1034" s="803"/>
      <c r="F1034" s="803"/>
      <c r="G1034" s="803"/>
      <c r="H1034" s="803"/>
      <c r="I1034" s="803"/>
      <c r="J1034" s="803"/>
      <c r="K1034" s="803"/>
      <c r="L1034" s="804"/>
    </row>
    <row r="1035" spans="2:12" x14ac:dyDescent="0.25">
      <c r="B1035" s="802"/>
      <c r="C1035" s="802"/>
      <c r="D1035" s="803"/>
      <c r="E1035" s="803"/>
      <c r="F1035" s="803"/>
      <c r="G1035" s="803"/>
      <c r="H1035" s="803"/>
      <c r="I1035" s="803"/>
      <c r="J1035" s="803"/>
      <c r="K1035" s="803"/>
      <c r="L1035" s="804"/>
    </row>
    <row r="1036" spans="2:12" x14ac:dyDescent="0.25">
      <c r="B1036" s="802"/>
      <c r="C1036" s="802"/>
      <c r="D1036" s="803"/>
      <c r="E1036" s="803"/>
      <c r="F1036" s="803"/>
      <c r="G1036" s="803"/>
      <c r="H1036" s="803"/>
      <c r="I1036" s="803"/>
      <c r="J1036" s="803"/>
      <c r="K1036" s="803"/>
      <c r="L1036" s="804"/>
    </row>
    <row r="1037" spans="2:12" x14ac:dyDescent="0.25">
      <c r="B1037" s="802"/>
      <c r="C1037" s="802"/>
      <c r="D1037" s="803"/>
      <c r="E1037" s="803"/>
      <c r="F1037" s="803"/>
      <c r="G1037" s="803"/>
      <c r="H1037" s="803"/>
      <c r="I1037" s="803"/>
      <c r="J1037" s="803"/>
      <c r="K1037" s="803"/>
      <c r="L1037" s="804"/>
    </row>
    <row r="1038" spans="2:12" x14ac:dyDescent="0.25">
      <c r="B1038" s="802"/>
      <c r="C1038" s="802"/>
      <c r="D1038" s="803"/>
      <c r="E1038" s="803"/>
      <c r="F1038" s="803"/>
      <c r="G1038" s="803"/>
      <c r="H1038" s="803"/>
      <c r="I1038" s="803"/>
      <c r="J1038" s="803"/>
      <c r="K1038" s="803"/>
      <c r="L1038" s="804"/>
    </row>
    <row r="1039" spans="2:12" x14ac:dyDescent="0.25">
      <c r="B1039" s="802"/>
      <c r="C1039" s="802"/>
      <c r="D1039" s="803"/>
      <c r="E1039" s="803"/>
      <c r="F1039" s="803"/>
      <c r="G1039" s="803"/>
      <c r="H1039" s="803"/>
      <c r="I1039" s="803"/>
      <c r="J1039" s="803"/>
      <c r="K1039" s="803"/>
      <c r="L1039" s="804"/>
    </row>
    <row r="1040" spans="2:12" x14ac:dyDescent="0.25">
      <c r="B1040" s="802"/>
      <c r="C1040" s="802"/>
      <c r="D1040" s="803"/>
      <c r="E1040" s="803"/>
      <c r="F1040" s="803"/>
      <c r="G1040" s="803"/>
      <c r="H1040" s="803"/>
      <c r="I1040" s="803"/>
      <c r="J1040" s="803"/>
      <c r="K1040" s="803"/>
      <c r="L1040" s="804"/>
    </row>
    <row r="1041" spans="2:12" x14ac:dyDescent="0.25">
      <c r="B1041" s="802"/>
      <c r="C1041" s="802"/>
      <c r="D1041" s="803"/>
      <c r="E1041" s="803"/>
      <c r="F1041" s="803"/>
      <c r="G1041" s="803"/>
      <c r="H1041" s="803"/>
      <c r="I1041" s="803"/>
      <c r="J1041" s="803"/>
      <c r="K1041" s="803"/>
      <c r="L1041" s="804"/>
    </row>
    <row r="1042" spans="2:12" x14ac:dyDescent="0.25">
      <c r="B1042" s="802"/>
      <c r="C1042" s="802"/>
      <c r="D1042" s="803"/>
      <c r="E1042" s="803"/>
      <c r="F1042" s="803"/>
      <c r="G1042" s="803"/>
      <c r="H1042" s="803"/>
      <c r="I1042" s="803"/>
      <c r="J1042" s="803"/>
      <c r="K1042" s="803"/>
      <c r="L1042" s="804"/>
    </row>
    <row r="1043" spans="2:12" x14ac:dyDescent="0.25">
      <c r="B1043" s="802"/>
      <c r="C1043" s="802"/>
      <c r="D1043" s="803"/>
      <c r="E1043" s="803"/>
      <c r="F1043" s="803"/>
      <c r="G1043" s="803"/>
      <c r="H1043" s="803"/>
      <c r="I1043" s="803"/>
      <c r="J1043" s="803"/>
      <c r="K1043" s="803"/>
      <c r="L1043" s="804"/>
    </row>
    <row r="1044" spans="2:12" x14ac:dyDescent="0.25">
      <c r="B1044" s="802"/>
      <c r="C1044" s="802"/>
      <c r="D1044" s="803"/>
      <c r="E1044" s="803"/>
      <c r="F1044" s="803"/>
      <c r="G1044" s="803"/>
      <c r="H1044" s="803"/>
      <c r="I1044" s="803"/>
      <c r="J1044" s="803"/>
      <c r="K1044" s="803"/>
      <c r="L1044" s="804"/>
    </row>
    <row r="1045" spans="2:12" x14ac:dyDescent="0.25">
      <c r="B1045" s="802"/>
      <c r="C1045" s="802"/>
      <c r="D1045" s="803"/>
      <c r="E1045" s="803"/>
      <c r="F1045" s="803"/>
      <c r="G1045" s="803"/>
      <c r="H1045" s="803"/>
      <c r="I1045" s="803"/>
      <c r="J1045" s="803"/>
      <c r="K1045" s="803"/>
      <c r="L1045" s="804"/>
    </row>
    <row r="1046" spans="2:12" x14ac:dyDescent="0.25">
      <c r="B1046" s="802"/>
      <c r="C1046" s="802"/>
      <c r="D1046" s="803"/>
      <c r="E1046" s="803"/>
      <c r="F1046" s="803"/>
      <c r="G1046" s="803"/>
      <c r="H1046" s="803"/>
      <c r="I1046" s="803"/>
      <c r="J1046" s="803"/>
      <c r="K1046" s="803"/>
      <c r="L1046" s="804"/>
    </row>
    <row r="1047" spans="2:12" x14ac:dyDescent="0.25">
      <c r="B1047" s="802"/>
      <c r="C1047" s="802"/>
      <c r="D1047" s="803"/>
      <c r="E1047" s="803"/>
      <c r="F1047" s="803"/>
      <c r="G1047" s="803"/>
      <c r="H1047" s="803"/>
      <c r="I1047" s="803"/>
      <c r="J1047" s="803"/>
      <c r="K1047" s="803"/>
      <c r="L1047" s="804"/>
    </row>
    <row r="1048" spans="2:12" x14ac:dyDescent="0.25">
      <c r="B1048" s="802"/>
      <c r="C1048" s="802"/>
      <c r="D1048" s="803"/>
      <c r="E1048" s="803"/>
      <c r="F1048" s="803"/>
      <c r="G1048" s="803"/>
      <c r="H1048" s="803"/>
      <c r="I1048" s="803"/>
      <c r="J1048" s="803"/>
      <c r="K1048" s="803"/>
      <c r="L1048" s="804"/>
    </row>
    <row r="1049" spans="2:12" x14ac:dyDescent="0.25">
      <c r="B1049" s="802"/>
      <c r="C1049" s="802"/>
      <c r="D1049" s="803"/>
      <c r="E1049" s="803"/>
      <c r="F1049" s="803"/>
      <c r="G1049" s="803"/>
      <c r="H1049" s="803"/>
      <c r="I1049" s="803"/>
      <c r="J1049" s="803"/>
      <c r="K1049" s="803"/>
      <c r="L1049" s="804"/>
    </row>
    <row r="1050" spans="2:12" x14ac:dyDescent="0.25">
      <c r="B1050" s="802"/>
      <c r="C1050" s="802"/>
      <c r="D1050" s="803"/>
      <c r="E1050" s="803"/>
      <c r="F1050" s="803"/>
      <c r="G1050" s="803"/>
      <c r="H1050" s="803"/>
      <c r="I1050" s="803"/>
      <c r="J1050" s="803"/>
      <c r="K1050" s="803"/>
      <c r="L1050" s="804"/>
    </row>
    <row r="1051" spans="2:12" x14ac:dyDescent="0.25">
      <c r="B1051" s="802"/>
      <c r="C1051" s="802"/>
      <c r="D1051" s="803"/>
      <c r="E1051" s="803"/>
      <c r="F1051" s="803"/>
      <c r="G1051" s="803"/>
      <c r="H1051" s="803"/>
      <c r="I1051" s="803"/>
      <c r="J1051" s="803"/>
      <c r="K1051" s="803"/>
      <c r="L1051" s="804"/>
    </row>
    <row r="1052" spans="2:12" x14ac:dyDescent="0.25">
      <c r="B1052" s="802"/>
      <c r="C1052" s="802"/>
      <c r="D1052" s="803"/>
      <c r="E1052" s="803"/>
      <c r="F1052" s="803"/>
      <c r="G1052" s="803"/>
      <c r="H1052" s="803"/>
      <c r="I1052" s="803"/>
      <c r="J1052" s="803"/>
      <c r="K1052" s="803"/>
      <c r="L1052" s="804"/>
    </row>
    <row r="1053" spans="2:12" x14ac:dyDescent="0.25">
      <c r="B1053" s="802"/>
      <c r="C1053" s="802"/>
      <c r="D1053" s="803"/>
      <c r="E1053" s="803"/>
      <c r="F1053" s="803"/>
      <c r="G1053" s="803"/>
      <c r="H1053" s="803"/>
      <c r="I1053" s="803"/>
      <c r="J1053" s="803"/>
      <c r="K1053" s="803"/>
      <c r="L1053" s="804"/>
    </row>
    <row r="1054" spans="2:12" x14ac:dyDescent="0.25">
      <c r="B1054" s="802"/>
      <c r="C1054" s="802"/>
      <c r="D1054" s="803"/>
      <c r="E1054" s="803"/>
      <c r="F1054" s="803"/>
      <c r="G1054" s="803"/>
      <c r="H1054" s="803"/>
      <c r="I1054" s="803"/>
      <c r="J1054" s="803"/>
      <c r="K1054" s="803"/>
      <c r="L1054" s="804"/>
    </row>
    <row r="1055" spans="2:12" x14ac:dyDescent="0.25">
      <c r="B1055" s="802"/>
      <c r="C1055" s="802"/>
      <c r="D1055" s="803"/>
      <c r="E1055" s="803"/>
      <c r="F1055" s="803"/>
      <c r="G1055" s="803"/>
      <c r="H1055" s="803"/>
      <c r="I1055" s="803"/>
      <c r="J1055" s="803"/>
      <c r="K1055" s="803"/>
      <c r="L1055" s="804"/>
    </row>
    <row r="1056" spans="2:12" x14ac:dyDescent="0.25">
      <c r="B1056" s="802"/>
      <c r="C1056" s="802"/>
      <c r="D1056" s="803"/>
      <c r="E1056" s="803"/>
      <c r="F1056" s="803"/>
      <c r="G1056" s="803"/>
      <c r="H1056" s="803"/>
      <c r="I1056" s="803"/>
      <c r="J1056" s="803"/>
      <c r="K1056" s="803"/>
      <c r="L1056" s="804"/>
    </row>
    <row r="1057" spans="2:12" x14ac:dyDescent="0.25">
      <c r="B1057" s="802"/>
      <c r="C1057" s="802"/>
      <c r="D1057" s="803"/>
      <c r="E1057" s="803"/>
      <c r="F1057" s="803"/>
      <c r="G1057" s="803"/>
      <c r="H1057" s="803"/>
      <c r="I1057" s="803"/>
      <c r="J1057" s="803"/>
      <c r="K1057" s="803"/>
      <c r="L1057" s="804"/>
    </row>
    <row r="1058" spans="2:12" x14ac:dyDescent="0.25">
      <c r="B1058" s="802"/>
      <c r="C1058" s="802"/>
      <c r="D1058" s="803"/>
      <c r="E1058" s="803"/>
      <c r="F1058" s="803"/>
      <c r="G1058" s="803"/>
      <c r="H1058" s="803"/>
      <c r="I1058" s="803"/>
      <c r="J1058" s="803"/>
      <c r="K1058" s="803"/>
      <c r="L1058" s="804"/>
    </row>
    <row r="1059" spans="2:12" x14ac:dyDescent="0.25">
      <c r="B1059" s="802"/>
      <c r="C1059" s="802"/>
      <c r="D1059" s="803"/>
      <c r="E1059" s="803"/>
      <c r="F1059" s="803"/>
      <c r="G1059" s="803"/>
      <c r="H1059" s="803"/>
      <c r="I1059" s="803"/>
      <c r="J1059" s="803"/>
      <c r="K1059" s="803"/>
      <c r="L1059" s="804"/>
    </row>
    <row r="1060" spans="2:12" x14ac:dyDescent="0.25">
      <c r="B1060" s="802"/>
      <c r="C1060" s="802"/>
      <c r="D1060" s="803"/>
      <c r="E1060" s="803"/>
      <c r="F1060" s="803"/>
      <c r="G1060" s="803"/>
      <c r="H1060" s="803"/>
      <c r="I1060" s="803"/>
      <c r="J1060" s="803"/>
      <c r="K1060" s="803"/>
      <c r="L1060" s="804"/>
    </row>
    <row r="1061" spans="2:12" x14ac:dyDescent="0.25">
      <c r="B1061" s="802"/>
      <c r="C1061" s="802"/>
      <c r="D1061" s="803"/>
      <c r="E1061" s="803"/>
      <c r="F1061" s="803"/>
      <c r="G1061" s="803"/>
      <c r="H1061" s="803"/>
      <c r="I1061" s="803"/>
      <c r="J1061" s="803"/>
      <c r="K1061" s="803"/>
      <c r="L1061" s="804"/>
    </row>
    <row r="1062" spans="2:12" x14ac:dyDescent="0.25">
      <c r="B1062" s="802"/>
      <c r="C1062" s="802"/>
      <c r="D1062" s="803"/>
      <c r="E1062" s="803"/>
      <c r="F1062" s="803"/>
      <c r="G1062" s="803"/>
      <c r="H1062" s="803"/>
      <c r="I1062" s="803"/>
      <c r="J1062" s="803"/>
      <c r="K1062" s="803"/>
      <c r="L1062" s="804"/>
    </row>
    <row r="1063" spans="2:12" x14ac:dyDescent="0.25">
      <c r="B1063" s="802"/>
      <c r="C1063" s="802"/>
      <c r="D1063" s="803"/>
      <c r="E1063" s="803"/>
      <c r="F1063" s="803"/>
      <c r="G1063" s="803"/>
      <c r="H1063" s="803"/>
      <c r="I1063" s="803"/>
      <c r="J1063" s="803"/>
      <c r="K1063" s="803"/>
      <c r="L1063" s="804"/>
    </row>
    <row r="1064" spans="2:12" x14ac:dyDescent="0.25">
      <c r="B1064" s="802"/>
      <c r="C1064" s="802"/>
      <c r="D1064" s="803"/>
      <c r="E1064" s="803"/>
      <c r="F1064" s="803"/>
      <c r="G1064" s="803"/>
      <c r="H1064" s="803"/>
      <c r="I1064" s="803"/>
      <c r="J1064" s="803"/>
      <c r="K1064" s="803"/>
      <c r="L1064" s="804"/>
    </row>
    <row r="1065" spans="2:12" x14ac:dyDescent="0.25">
      <c r="B1065" s="802"/>
      <c r="C1065" s="802"/>
      <c r="D1065" s="803"/>
      <c r="E1065" s="803"/>
      <c r="F1065" s="803"/>
      <c r="G1065" s="803"/>
      <c r="H1065" s="803"/>
      <c r="I1065" s="803"/>
      <c r="J1065" s="803"/>
      <c r="K1065" s="803"/>
      <c r="L1065" s="804"/>
    </row>
    <row r="1066" spans="2:12" x14ac:dyDescent="0.25">
      <c r="B1066" s="802"/>
      <c r="C1066" s="802"/>
      <c r="D1066" s="803"/>
      <c r="E1066" s="803"/>
      <c r="F1066" s="803"/>
      <c r="G1066" s="803"/>
      <c r="H1066" s="803"/>
      <c r="I1066" s="803"/>
      <c r="J1066" s="803"/>
      <c r="K1066" s="803"/>
      <c r="L1066" s="804"/>
    </row>
    <row r="1067" spans="2:12" x14ac:dyDescent="0.25">
      <c r="B1067" s="802"/>
      <c r="C1067" s="802"/>
      <c r="D1067" s="803"/>
      <c r="E1067" s="803"/>
      <c r="F1067" s="803"/>
      <c r="G1067" s="803"/>
      <c r="H1067" s="803"/>
      <c r="I1067" s="803"/>
      <c r="J1067" s="803"/>
      <c r="K1067" s="803"/>
      <c r="L1067" s="804"/>
    </row>
    <row r="1068" spans="2:12" x14ac:dyDescent="0.25">
      <c r="B1068" s="802"/>
      <c r="C1068" s="802"/>
      <c r="D1068" s="803"/>
      <c r="E1068" s="803"/>
      <c r="F1068" s="803"/>
      <c r="G1068" s="803"/>
      <c r="H1068" s="803"/>
      <c r="I1068" s="803"/>
      <c r="J1068" s="803"/>
      <c r="K1068" s="803"/>
      <c r="L1068" s="804"/>
    </row>
    <row r="1069" spans="2:12" x14ac:dyDescent="0.25">
      <c r="B1069" s="802"/>
      <c r="C1069" s="802"/>
      <c r="D1069" s="803"/>
      <c r="E1069" s="803"/>
      <c r="F1069" s="803"/>
      <c r="G1069" s="803"/>
      <c r="H1069" s="803"/>
      <c r="I1069" s="803"/>
      <c r="J1069" s="803"/>
      <c r="K1069" s="803"/>
      <c r="L1069" s="804"/>
    </row>
    <row r="1070" spans="2:12" x14ac:dyDescent="0.25">
      <c r="B1070" s="802"/>
      <c r="C1070" s="802"/>
      <c r="D1070" s="803"/>
      <c r="E1070" s="803"/>
      <c r="F1070" s="803"/>
      <c r="G1070" s="803"/>
      <c r="H1070" s="803"/>
      <c r="I1070" s="803"/>
      <c r="J1070" s="803"/>
      <c r="K1070" s="803"/>
      <c r="L1070" s="804"/>
    </row>
    <row r="1071" spans="2:12" x14ac:dyDescent="0.25">
      <c r="B1071" s="802"/>
      <c r="C1071" s="802"/>
      <c r="D1071" s="803"/>
      <c r="E1071" s="803"/>
      <c r="F1071" s="803"/>
      <c r="G1071" s="803"/>
      <c r="H1071" s="803"/>
      <c r="I1071" s="803"/>
      <c r="J1071" s="803"/>
      <c r="K1071" s="803"/>
      <c r="L1071" s="804"/>
    </row>
    <row r="1072" spans="2:12" x14ac:dyDescent="0.25">
      <c r="B1072" s="802"/>
      <c r="C1072" s="802"/>
      <c r="D1072" s="803"/>
      <c r="E1072" s="803"/>
      <c r="F1072" s="803"/>
      <c r="G1072" s="803"/>
      <c r="H1072" s="803"/>
      <c r="I1072" s="803"/>
      <c r="J1072" s="803"/>
      <c r="K1072" s="803"/>
      <c r="L1072" s="804"/>
    </row>
    <row r="1073" spans="2:12" x14ac:dyDescent="0.25">
      <c r="B1073" s="802"/>
      <c r="C1073" s="802"/>
      <c r="D1073" s="803"/>
      <c r="E1073" s="803"/>
      <c r="F1073" s="803"/>
      <c r="G1073" s="803"/>
      <c r="H1073" s="803"/>
      <c r="I1073" s="803"/>
      <c r="J1073" s="803"/>
      <c r="K1073" s="803"/>
      <c r="L1073" s="804"/>
    </row>
    <row r="1074" spans="2:12" x14ac:dyDescent="0.25">
      <c r="B1074" s="802"/>
      <c r="C1074" s="802"/>
      <c r="D1074" s="803"/>
      <c r="E1074" s="803"/>
      <c r="F1074" s="803"/>
      <c r="G1074" s="803"/>
      <c r="H1074" s="803"/>
      <c r="I1074" s="803"/>
      <c r="J1074" s="803"/>
      <c r="K1074" s="803"/>
      <c r="L1074" s="804"/>
    </row>
    <row r="1075" spans="2:12" x14ac:dyDescent="0.25">
      <c r="B1075" s="802"/>
      <c r="C1075" s="802"/>
      <c r="D1075" s="803"/>
      <c r="E1075" s="803"/>
      <c r="F1075" s="803"/>
      <c r="G1075" s="803"/>
      <c r="H1075" s="803"/>
      <c r="I1075" s="803"/>
      <c r="J1075" s="803"/>
      <c r="K1075" s="803"/>
      <c r="L1075" s="804"/>
    </row>
    <row r="1076" spans="2:12" x14ac:dyDescent="0.25">
      <c r="B1076" s="802"/>
      <c r="C1076" s="802"/>
      <c r="D1076" s="803"/>
      <c r="E1076" s="803"/>
      <c r="F1076" s="803"/>
      <c r="G1076" s="803"/>
      <c r="H1076" s="803"/>
      <c r="I1076" s="803"/>
      <c r="J1076" s="803"/>
      <c r="K1076" s="803"/>
      <c r="L1076" s="804"/>
    </row>
    <row r="1077" spans="2:12" x14ac:dyDescent="0.25">
      <c r="B1077" s="802"/>
      <c r="C1077" s="802"/>
      <c r="D1077" s="803"/>
      <c r="E1077" s="803"/>
      <c r="F1077" s="803"/>
      <c r="G1077" s="803"/>
      <c r="H1077" s="803"/>
      <c r="I1077" s="803"/>
      <c r="J1077" s="803"/>
      <c r="K1077" s="803"/>
      <c r="L1077" s="804"/>
    </row>
    <row r="1078" spans="2:12" x14ac:dyDescent="0.25">
      <c r="B1078" s="802"/>
      <c r="C1078" s="802"/>
      <c r="D1078" s="803"/>
      <c r="E1078" s="803"/>
      <c r="F1078" s="803"/>
      <c r="G1078" s="803"/>
      <c r="H1078" s="803"/>
      <c r="I1078" s="803"/>
      <c r="J1078" s="803"/>
      <c r="K1078" s="803"/>
      <c r="L1078" s="804"/>
    </row>
    <row r="1079" spans="2:12" x14ac:dyDescent="0.25">
      <c r="B1079" s="802"/>
      <c r="C1079" s="802"/>
      <c r="D1079" s="803"/>
      <c r="E1079" s="803"/>
      <c r="F1079" s="803"/>
      <c r="G1079" s="803"/>
      <c r="H1079" s="803"/>
      <c r="I1079" s="803"/>
      <c r="J1079" s="803"/>
      <c r="K1079" s="803"/>
      <c r="L1079" s="804"/>
    </row>
    <row r="1080" spans="2:12" x14ac:dyDescent="0.25">
      <c r="B1080" s="802"/>
      <c r="C1080" s="802"/>
      <c r="D1080" s="803"/>
      <c r="E1080" s="803"/>
      <c r="F1080" s="803"/>
      <c r="G1080" s="803"/>
      <c r="H1080" s="803"/>
      <c r="I1080" s="803"/>
      <c r="J1080" s="803"/>
      <c r="K1080" s="803"/>
      <c r="L1080" s="804"/>
    </row>
    <row r="1081" spans="2:12" x14ac:dyDescent="0.25">
      <c r="B1081" s="802"/>
      <c r="C1081" s="802"/>
      <c r="D1081" s="803"/>
      <c r="E1081" s="803"/>
      <c r="F1081" s="803"/>
      <c r="G1081" s="803"/>
      <c r="H1081" s="803"/>
      <c r="I1081" s="803"/>
      <c r="J1081" s="803"/>
      <c r="K1081" s="803"/>
      <c r="L1081" s="804"/>
    </row>
    <row r="1082" spans="2:12" x14ac:dyDescent="0.25">
      <c r="B1082" s="802"/>
      <c r="C1082" s="802"/>
      <c r="D1082" s="803"/>
      <c r="E1082" s="803"/>
      <c r="F1082" s="803"/>
      <c r="G1082" s="803"/>
      <c r="H1082" s="803"/>
      <c r="I1082" s="803"/>
      <c r="J1082" s="803"/>
      <c r="K1082" s="803"/>
      <c r="L1082" s="804"/>
    </row>
    <row r="1083" spans="2:12" x14ac:dyDescent="0.25">
      <c r="B1083" s="802"/>
      <c r="C1083" s="802"/>
      <c r="D1083" s="803"/>
      <c r="E1083" s="803"/>
      <c r="F1083" s="803"/>
      <c r="G1083" s="803"/>
      <c r="H1083" s="803"/>
      <c r="I1083" s="803"/>
      <c r="J1083" s="803"/>
      <c r="K1083" s="803"/>
      <c r="L1083" s="804"/>
    </row>
    <row r="1084" spans="2:12" x14ac:dyDescent="0.25">
      <c r="B1084" s="802"/>
      <c r="C1084" s="802"/>
      <c r="D1084" s="803"/>
      <c r="E1084" s="803"/>
      <c r="F1084" s="803"/>
      <c r="G1084" s="803"/>
      <c r="H1084" s="803"/>
      <c r="I1084" s="803"/>
      <c r="J1084" s="803"/>
      <c r="K1084" s="803"/>
      <c r="L1084" s="804"/>
    </row>
    <row r="1085" spans="2:12" x14ac:dyDescent="0.25">
      <c r="B1085" s="802"/>
      <c r="C1085" s="802"/>
      <c r="D1085" s="803"/>
      <c r="E1085" s="803"/>
      <c r="F1085" s="803"/>
      <c r="G1085" s="803"/>
      <c r="H1085" s="803"/>
      <c r="I1085" s="803"/>
      <c r="J1085" s="803"/>
      <c r="K1085" s="803"/>
      <c r="L1085" s="804"/>
    </row>
    <row r="1086" spans="2:12" x14ac:dyDescent="0.25">
      <c r="B1086" s="802"/>
      <c r="C1086" s="802"/>
      <c r="D1086" s="803"/>
      <c r="E1086" s="803"/>
      <c r="F1086" s="803"/>
      <c r="G1086" s="803"/>
      <c r="H1086" s="803"/>
      <c r="I1086" s="803"/>
      <c r="J1086" s="803"/>
      <c r="K1086" s="803"/>
      <c r="L1086" s="804"/>
    </row>
    <row r="1087" spans="2:12" x14ac:dyDescent="0.25">
      <c r="B1087" s="802"/>
      <c r="C1087" s="802"/>
      <c r="D1087" s="803"/>
      <c r="E1087" s="803"/>
      <c r="F1087" s="803"/>
      <c r="G1087" s="803"/>
      <c r="H1087" s="803"/>
      <c r="I1087" s="803"/>
      <c r="J1087" s="803"/>
      <c r="K1087" s="803"/>
      <c r="L1087" s="804"/>
    </row>
    <row r="1088" spans="2:12" x14ac:dyDescent="0.25">
      <c r="B1088" s="802"/>
      <c r="C1088" s="802"/>
      <c r="D1088" s="803"/>
      <c r="E1088" s="803"/>
      <c r="F1088" s="803"/>
      <c r="G1088" s="803"/>
      <c r="H1088" s="803"/>
      <c r="I1088" s="803"/>
      <c r="J1088" s="803"/>
      <c r="K1088" s="803"/>
      <c r="L1088" s="804"/>
    </row>
    <row r="1089" spans="2:12" x14ac:dyDescent="0.25">
      <c r="B1089" s="802"/>
      <c r="C1089" s="802"/>
      <c r="D1089" s="803"/>
      <c r="E1089" s="803"/>
      <c r="F1089" s="803"/>
      <c r="G1089" s="803"/>
      <c r="H1089" s="803"/>
      <c r="I1089" s="803"/>
      <c r="J1089" s="803"/>
      <c r="K1089" s="803"/>
      <c r="L1089" s="804"/>
    </row>
    <row r="1090" spans="2:12" x14ac:dyDescent="0.25">
      <c r="B1090" s="802"/>
      <c r="C1090" s="802"/>
      <c r="D1090" s="803"/>
      <c r="E1090" s="803"/>
      <c r="F1090" s="803"/>
      <c r="G1090" s="803"/>
      <c r="H1090" s="803"/>
      <c r="I1090" s="803"/>
      <c r="J1090" s="803"/>
      <c r="K1090" s="803"/>
      <c r="L1090" s="804"/>
    </row>
    <row r="1091" spans="2:12" x14ac:dyDescent="0.25">
      <c r="B1091" s="802"/>
      <c r="C1091" s="802"/>
      <c r="D1091" s="803"/>
      <c r="E1091" s="803"/>
      <c r="F1091" s="803"/>
      <c r="G1091" s="803"/>
      <c r="H1091" s="803"/>
      <c r="I1091" s="803"/>
      <c r="J1091" s="803"/>
      <c r="K1091" s="803"/>
      <c r="L1091" s="804"/>
    </row>
    <row r="1092" spans="2:12" x14ac:dyDescent="0.25">
      <c r="B1092" s="802"/>
      <c r="C1092" s="802"/>
      <c r="D1092" s="803"/>
      <c r="E1092" s="803"/>
      <c r="F1092" s="803"/>
      <c r="G1092" s="803"/>
      <c r="H1092" s="803"/>
      <c r="I1092" s="803"/>
      <c r="J1092" s="803"/>
      <c r="K1092" s="803"/>
      <c r="L1092" s="804"/>
    </row>
    <row r="1093" spans="2:12" x14ac:dyDescent="0.25">
      <c r="B1093" s="802"/>
      <c r="C1093" s="802"/>
      <c r="D1093" s="803"/>
      <c r="E1093" s="803"/>
      <c r="F1093" s="803"/>
      <c r="G1093" s="803"/>
      <c r="H1093" s="803"/>
      <c r="I1093" s="803"/>
      <c r="J1093" s="803"/>
      <c r="K1093" s="803"/>
      <c r="L1093" s="804"/>
    </row>
    <row r="1094" spans="2:12" x14ac:dyDescent="0.25">
      <c r="B1094" s="802"/>
      <c r="C1094" s="802"/>
      <c r="D1094" s="803"/>
      <c r="E1094" s="803"/>
      <c r="F1094" s="803"/>
      <c r="G1094" s="803"/>
      <c r="H1094" s="803"/>
      <c r="I1094" s="803"/>
      <c r="J1094" s="803"/>
      <c r="K1094" s="803"/>
      <c r="L1094" s="804"/>
    </row>
    <row r="1095" spans="2:12" x14ac:dyDescent="0.25">
      <c r="B1095" s="802"/>
      <c r="C1095" s="802"/>
      <c r="D1095" s="803"/>
      <c r="E1095" s="803"/>
      <c r="F1095" s="803"/>
      <c r="G1095" s="803"/>
      <c r="H1095" s="803"/>
      <c r="I1095" s="803"/>
      <c r="J1095" s="803"/>
      <c r="K1095" s="803"/>
      <c r="L1095" s="804"/>
    </row>
    <row r="1096" spans="2:12" x14ac:dyDescent="0.25">
      <c r="B1096" s="802"/>
      <c r="C1096" s="802"/>
      <c r="D1096" s="803"/>
      <c r="E1096" s="803"/>
      <c r="F1096" s="803"/>
      <c r="G1096" s="803"/>
      <c r="H1096" s="803"/>
      <c r="I1096" s="803"/>
      <c r="J1096" s="803"/>
      <c r="K1096" s="803"/>
      <c r="L1096" s="804"/>
    </row>
    <row r="1097" spans="2:12" x14ac:dyDescent="0.25">
      <c r="B1097" s="802"/>
      <c r="C1097" s="802"/>
      <c r="D1097" s="803"/>
      <c r="E1097" s="803"/>
      <c r="F1097" s="803"/>
      <c r="G1097" s="803"/>
      <c r="H1097" s="803"/>
      <c r="I1097" s="803"/>
      <c r="J1097" s="803"/>
      <c r="K1097" s="803"/>
      <c r="L1097" s="804"/>
    </row>
    <row r="1098" spans="2:12" x14ac:dyDescent="0.25">
      <c r="B1098" s="802"/>
      <c r="C1098" s="802"/>
      <c r="D1098" s="803"/>
      <c r="E1098" s="803"/>
      <c r="F1098" s="803"/>
      <c r="G1098" s="803"/>
      <c r="H1098" s="803"/>
      <c r="I1098" s="803"/>
      <c r="J1098" s="803"/>
      <c r="K1098" s="803"/>
      <c r="L1098" s="804"/>
    </row>
    <row r="1099" spans="2:12" x14ac:dyDescent="0.25">
      <c r="B1099" s="802"/>
      <c r="C1099" s="802"/>
      <c r="D1099" s="803"/>
      <c r="E1099" s="803"/>
      <c r="F1099" s="803"/>
      <c r="G1099" s="803"/>
      <c r="H1099" s="803"/>
      <c r="I1099" s="803"/>
      <c r="J1099" s="803"/>
      <c r="K1099" s="803"/>
      <c r="L1099" s="804"/>
    </row>
    <row r="1100" spans="2:12" x14ac:dyDescent="0.25">
      <c r="B1100" s="802"/>
      <c r="C1100" s="802"/>
      <c r="D1100" s="803"/>
      <c r="E1100" s="803"/>
      <c r="F1100" s="803"/>
      <c r="G1100" s="803"/>
      <c r="H1100" s="803"/>
      <c r="I1100" s="803"/>
      <c r="J1100" s="803"/>
      <c r="K1100" s="803"/>
      <c r="L1100" s="804"/>
    </row>
    <row r="1101" spans="2:12" x14ac:dyDescent="0.25">
      <c r="B1101" s="802"/>
      <c r="C1101" s="802"/>
      <c r="D1101" s="803"/>
      <c r="E1101" s="803"/>
      <c r="F1101" s="803"/>
      <c r="G1101" s="803"/>
      <c r="H1101" s="803"/>
      <c r="I1101" s="803"/>
      <c r="J1101" s="803"/>
      <c r="K1101" s="803"/>
      <c r="L1101" s="804"/>
    </row>
    <row r="1102" spans="2:12" x14ac:dyDescent="0.25">
      <c r="B1102" s="802"/>
      <c r="C1102" s="802"/>
      <c r="D1102" s="803"/>
      <c r="E1102" s="803"/>
      <c r="F1102" s="803"/>
      <c r="G1102" s="803"/>
      <c r="H1102" s="803"/>
      <c r="I1102" s="803"/>
      <c r="J1102" s="803"/>
      <c r="K1102" s="803"/>
      <c r="L1102" s="804"/>
    </row>
    <row r="1103" spans="2:12" x14ac:dyDescent="0.25">
      <c r="B1103" s="802"/>
      <c r="C1103" s="802"/>
      <c r="D1103" s="803"/>
      <c r="E1103" s="803"/>
      <c r="F1103" s="803"/>
      <c r="G1103" s="803"/>
      <c r="H1103" s="803"/>
      <c r="I1103" s="803"/>
      <c r="J1103" s="803"/>
      <c r="K1103" s="803"/>
      <c r="L1103" s="804"/>
    </row>
    <row r="1104" spans="2:12" x14ac:dyDescent="0.25">
      <c r="B1104" s="802"/>
      <c r="C1104" s="802"/>
      <c r="D1104" s="803"/>
      <c r="E1104" s="803"/>
      <c r="F1104" s="803"/>
      <c r="G1104" s="803"/>
      <c r="H1104" s="803"/>
      <c r="I1104" s="803"/>
      <c r="J1104" s="803"/>
      <c r="K1104" s="803"/>
      <c r="L1104" s="804"/>
    </row>
    <row r="1105" spans="2:12" x14ac:dyDescent="0.25">
      <c r="B1105" s="802"/>
      <c r="C1105" s="802"/>
      <c r="D1105" s="803"/>
      <c r="E1105" s="803"/>
      <c r="F1105" s="803"/>
      <c r="G1105" s="803"/>
      <c r="H1105" s="803"/>
      <c r="I1105" s="803"/>
      <c r="J1105" s="803"/>
      <c r="K1105" s="803"/>
      <c r="L1105" s="804"/>
    </row>
    <row r="1106" spans="2:12" x14ac:dyDescent="0.25">
      <c r="B1106" s="802"/>
      <c r="C1106" s="802"/>
      <c r="D1106" s="803"/>
      <c r="E1106" s="803"/>
      <c r="F1106" s="803"/>
      <c r="G1106" s="803"/>
      <c r="H1106" s="803"/>
      <c r="I1106" s="803"/>
      <c r="J1106" s="803"/>
      <c r="K1106" s="803"/>
      <c r="L1106" s="804"/>
    </row>
    <row r="1107" spans="2:12" x14ac:dyDescent="0.25">
      <c r="B1107" s="802"/>
      <c r="C1107" s="802"/>
      <c r="D1107" s="803"/>
      <c r="E1107" s="803"/>
      <c r="F1107" s="803"/>
      <c r="G1107" s="803"/>
      <c r="H1107" s="803"/>
      <c r="I1107" s="803"/>
      <c r="J1107" s="803"/>
      <c r="K1107" s="803"/>
      <c r="L1107" s="804"/>
    </row>
    <row r="1108" spans="2:12" x14ac:dyDescent="0.25">
      <c r="B1108" s="802"/>
      <c r="C1108" s="802"/>
      <c r="D1108" s="803"/>
      <c r="E1108" s="803"/>
      <c r="F1108" s="803"/>
      <c r="G1108" s="803"/>
      <c r="H1108" s="803"/>
      <c r="I1108" s="803"/>
      <c r="J1108" s="803"/>
      <c r="K1108" s="803"/>
      <c r="L1108" s="804"/>
    </row>
    <row r="1109" spans="2:12" x14ac:dyDescent="0.25">
      <c r="B1109" s="802"/>
      <c r="C1109" s="802"/>
      <c r="D1109" s="803"/>
      <c r="E1109" s="803"/>
      <c r="F1109" s="803"/>
      <c r="G1109" s="803"/>
      <c r="H1109" s="803"/>
      <c r="I1109" s="803"/>
      <c r="J1109" s="803"/>
      <c r="K1109" s="803"/>
      <c r="L1109" s="804"/>
    </row>
    <row r="1110" spans="2:12" x14ac:dyDescent="0.25">
      <c r="B1110" s="802"/>
      <c r="C1110" s="802"/>
      <c r="D1110" s="803"/>
      <c r="E1110" s="803"/>
      <c r="F1110" s="803"/>
      <c r="G1110" s="803"/>
      <c r="H1110" s="803"/>
      <c r="I1110" s="803"/>
      <c r="J1110" s="803"/>
      <c r="K1110" s="803"/>
      <c r="L1110" s="804"/>
    </row>
    <row r="1111" spans="2:12" x14ac:dyDescent="0.25">
      <c r="B1111" s="802"/>
      <c r="C1111" s="802"/>
      <c r="D1111" s="803"/>
      <c r="E1111" s="803"/>
      <c r="F1111" s="803"/>
      <c r="G1111" s="803"/>
      <c r="H1111" s="803"/>
      <c r="I1111" s="803"/>
      <c r="J1111" s="803"/>
      <c r="K1111" s="803"/>
      <c r="L1111" s="804"/>
    </row>
    <row r="1112" spans="2:12" x14ac:dyDescent="0.25">
      <c r="B1112" s="802"/>
      <c r="C1112" s="802"/>
      <c r="D1112" s="803"/>
      <c r="E1112" s="803"/>
      <c r="F1112" s="803"/>
      <c r="G1112" s="803"/>
      <c r="H1112" s="803"/>
      <c r="I1112" s="803"/>
      <c r="J1112" s="803"/>
      <c r="K1112" s="803"/>
      <c r="L1112" s="804"/>
    </row>
    <row r="1113" spans="2:12" x14ac:dyDescent="0.25">
      <c r="B1113" s="802"/>
      <c r="C1113" s="802"/>
      <c r="D1113" s="803"/>
      <c r="E1113" s="803"/>
      <c r="F1113" s="803"/>
      <c r="G1113" s="803"/>
      <c r="H1113" s="803"/>
      <c r="I1113" s="803"/>
      <c r="J1113" s="803"/>
      <c r="K1113" s="803"/>
      <c r="L1113" s="804"/>
    </row>
    <row r="1114" spans="2:12" x14ac:dyDescent="0.25">
      <c r="B1114" s="802"/>
      <c r="C1114" s="802"/>
      <c r="D1114" s="803"/>
      <c r="E1114" s="803"/>
      <c r="F1114" s="803"/>
      <c r="G1114" s="803"/>
      <c r="H1114" s="803"/>
      <c r="I1114" s="803"/>
      <c r="J1114" s="803"/>
      <c r="K1114" s="803"/>
      <c r="L1114" s="804"/>
    </row>
    <row r="1115" spans="2:12" x14ac:dyDescent="0.25">
      <c r="B1115" s="802"/>
      <c r="C1115" s="802"/>
      <c r="D1115" s="803"/>
      <c r="E1115" s="803"/>
      <c r="F1115" s="803"/>
      <c r="G1115" s="803"/>
      <c r="H1115" s="803"/>
      <c r="I1115" s="803"/>
      <c r="J1115" s="803"/>
      <c r="K1115" s="803"/>
      <c r="L1115" s="804"/>
    </row>
    <row r="1116" spans="2:12" x14ac:dyDescent="0.25">
      <c r="B1116" s="802"/>
      <c r="C1116" s="802"/>
      <c r="D1116" s="803"/>
      <c r="E1116" s="803"/>
      <c r="F1116" s="803"/>
      <c r="G1116" s="803"/>
      <c r="H1116" s="803"/>
      <c r="I1116" s="803"/>
      <c r="J1116" s="803"/>
      <c r="K1116" s="803"/>
      <c r="L1116" s="804"/>
    </row>
    <row r="1117" spans="2:12" x14ac:dyDescent="0.25">
      <c r="B1117" s="802"/>
      <c r="C1117" s="802"/>
      <c r="D1117" s="803"/>
      <c r="E1117" s="803"/>
      <c r="F1117" s="803"/>
      <c r="G1117" s="803"/>
      <c r="H1117" s="803"/>
      <c r="I1117" s="803"/>
      <c r="J1117" s="803"/>
      <c r="K1117" s="803"/>
      <c r="L1117" s="804"/>
    </row>
    <row r="1118" spans="2:12" x14ac:dyDescent="0.25">
      <c r="B1118" s="802"/>
      <c r="C1118" s="802"/>
      <c r="D1118" s="803"/>
      <c r="E1118" s="803"/>
      <c r="F1118" s="803"/>
      <c r="G1118" s="803"/>
      <c r="H1118" s="803"/>
      <c r="I1118" s="803"/>
      <c r="J1118" s="803"/>
      <c r="K1118" s="803"/>
      <c r="L1118" s="804"/>
    </row>
    <row r="1119" spans="2:12" x14ac:dyDescent="0.25">
      <c r="B1119" s="802"/>
      <c r="C1119" s="802"/>
      <c r="D1119" s="803"/>
      <c r="E1119" s="803"/>
      <c r="F1119" s="803"/>
      <c r="G1119" s="803"/>
      <c r="H1119" s="803"/>
      <c r="I1119" s="803"/>
      <c r="J1119" s="803"/>
      <c r="K1119" s="803"/>
      <c r="L1119" s="804"/>
    </row>
    <row r="1120" spans="2:12" x14ac:dyDescent="0.25">
      <c r="B1120" s="802"/>
      <c r="C1120" s="802"/>
      <c r="D1120" s="803"/>
      <c r="E1120" s="803"/>
      <c r="F1120" s="803"/>
      <c r="G1120" s="803"/>
      <c r="H1120" s="803"/>
      <c r="I1120" s="803"/>
      <c r="J1120" s="803"/>
      <c r="K1120" s="803"/>
      <c r="L1120" s="804"/>
    </row>
    <row r="1121" spans="2:12" x14ac:dyDescent="0.25">
      <c r="B1121" s="802"/>
      <c r="C1121" s="802"/>
      <c r="D1121" s="803"/>
      <c r="E1121" s="803"/>
      <c r="F1121" s="803"/>
      <c r="G1121" s="803"/>
      <c r="H1121" s="803"/>
      <c r="I1121" s="803"/>
      <c r="J1121" s="803"/>
      <c r="K1121" s="803"/>
      <c r="L1121" s="804"/>
    </row>
    <row r="1122" spans="2:12" x14ac:dyDescent="0.25">
      <c r="B1122" s="802"/>
      <c r="C1122" s="802"/>
      <c r="D1122" s="803"/>
      <c r="E1122" s="803"/>
      <c r="F1122" s="803"/>
      <c r="G1122" s="803"/>
      <c r="H1122" s="803"/>
      <c r="I1122" s="803"/>
      <c r="J1122" s="803"/>
      <c r="K1122" s="803"/>
      <c r="L1122" s="804"/>
    </row>
    <row r="1123" spans="2:12" x14ac:dyDescent="0.25">
      <c r="B1123" s="802"/>
      <c r="C1123" s="802"/>
      <c r="D1123" s="803"/>
      <c r="E1123" s="803"/>
      <c r="F1123" s="803"/>
      <c r="G1123" s="803"/>
      <c r="H1123" s="803"/>
      <c r="I1123" s="803"/>
      <c r="J1123" s="803"/>
      <c r="K1123" s="803"/>
      <c r="L1123" s="804"/>
    </row>
    <row r="1124" spans="2:12" x14ac:dyDescent="0.25">
      <c r="B1124" s="802"/>
      <c r="C1124" s="802"/>
      <c r="D1124" s="803"/>
      <c r="E1124" s="803"/>
      <c r="F1124" s="803"/>
      <c r="G1124" s="803"/>
      <c r="H1124" s="803"/>
      <c r="I1124" s="803"/>
      <c r="J1124" s="803"/>
      <c r="K1124" s="803"/>
      <c r="L1124" s="804"/>
    </row>
    <row r="1125" spans="2:12" x14ac:dyDescent="0.25">
      <c r="B1125" s="802"/>
      <c r="C1125" s="802"/>
      <c r="D1125" s="803"/>
      <c r="E1125" s="803"/>
      <c r="F1125" s="803"/>
      <c r="G1125" s="803"/>
      <c r="H1125" s="803"/>
      <c r="I1125" s="803"/>
      <c r="J1125" s="803"/>
      <c r="K1125" s="803"/>
      <c r="L1125" s="804"/>
    </row>
    <row r="1126" spans="2:12" x14ac:dyDescent="0.25">
      <c r="B1126" s="802"/>
      <c r="C1126" s="802"/>
      <c r="D1126" s="803"/>
      <c r="E1126" s="803"/>
      <c r="F1126" s="803"/>
      <c r="G1126" s="803"/>
      <c r="H1126" s="803"/>
      <c r="I1126" s="803"/>
      <c r="J1126" s="803"/>
      <c r="K1126" s="803"/>
      <c r="L1126" s="804"/>
    </row>
    <row r="1127" spans="2:12" x14ac:dyDescent="0.25">
      <c r="B1127" s="802"/>
      <c r="C1127" s="802"/>
      <c r="D1127" s="803"/>
      <c r="E1127" s="803"/>
      <c r="F1127" s="803"/>
      <c r="G1127" s="803"/>
      <c r="H1127" s="803"/>
      <c r="I1127" s="803"/>
      <c r="J1127" s="803"/>
      <c r="K1127" s="803"/>
      <c r="L1127" s="804"/>
    </row>
    <row r="1128" spans="2:12" x14ac:dyDescent="0.25">
      <c r="B1128" s="802"/>
      <c r="C1128" s="802"/>
      <c r="D1128" s="803"/>
      <c r="E1128" s="803"/>
      <c r="F1128" s="803"/>
      <c r="G1128" s="803"/>
      <c r="H1128" s="803"/>
      <c r="I1128" s="803"/>
      <c r="J1128" s="803"/>
      <c r="K1128" s="803"/>
      <c r="L1128" s="804"/>
    </row>
    <row r="1129" spans="2:12" x14ac:dyDescent="0.25">
      <c r="B1129" s="802"/>
      <c r="C1129" s="802"/>
      <c r="D1129" s="803"/>
      <c r="E1129" s="803"/>
      <c r="F1129" s="803"/>
      <c r="G1129" s="803"/>
      <c r="H1129" s="803"/>
      <c r="I1129" s="803"/>
      <c r="J1129" s="803"/>
      <c r="K1129" s="803"/>
      <c r="L1129" s="804"/>
    </row>
    <row r="1130" spans="2:12" x14ac:dyDescent="0.25">
      <c r="B1130" s="802"/>
      <c r="C1130" s="802"/>
      <c r="D1130" s="803"/>
      <c r="E1130" s="803"/>
      <c r="F1130" s="803"/>
      <c r="G1130" s="803"/>
      <c r="H1130" s="803"/>
      <c r="I1130" s="803"/>
      <c r="J1130" s="803"/>
      <c r="K1130" s="803"/>
      <c r="L1130" s="804"/>
    </row>
    <row r="1131" spans="2:12" x14ac:dyDescent="0.25">
      <c r="B1131" s="802"/>
      <c r="C1131" s="802"/>
      <c r="D1131" s="803"/>
      <c r="E1131" s="803"/>
      <c r="F1131" s="803"/>
      <c r="G1131" s="803"/>
      <c r="H1131" s="803"/>
      <c r="I1131" s="803"/>
      <c r="J1131" s="803"/>
      <c r="K1131" s="803"/>
      <c r="L1131" s="804"/>
    </row>
    <row r="1132" spans="2:12" x14ac:dyDescent="0.25">
      <c r="B1132" s="802"/>
      <c r="C1132" s="802"/>
      <c r="D1132" s="803"/>
      <c r="E1132" s="803"/>
      <c r="F1132" s="803"/>
      <c r="G1132" s="803"/>
      <c r="H1132" s="803"/>
      <c r="I1132" s="803"/>
      <c r="J1132" s="803"/>
      <c r="K1132" s="803"/>
      <c r="L1132" s="804"/>
    </row>
    <row r="1133" spans="2:12" x14ac:dyDescent="0.25">
      <c r="B1133" s="802"/>
      <c r="C1133" s="802"/>
      <c r="D1133" s="803"/>
      <c r="E1133" s="803"/>
      <c r="F1133" s="803"/>
      <c r="G1133" s="803"/>
      <c r="H1133" s="803"/>
      <c r="I1133" s="803"/>
      <c r="J1133" s="803"/>
      <c r="K1133" s="803"/>
      <c r="L1133" s="804"/>
    </row>
    <row r="1134" spans="2:12" x14ac:dyDescent="0.25">
      <c r="B1134" s="802"/>
      <c r="C1134" s="802"/>
      <c r="D1134" s="803"/>
      <c r="E1134" s="803"/>
      <c r="F1134" s="803"/>
      <c r="G1134" s="803"/>
      <c r="H1134" s="803"/>
      <c r="I1134" s="803"/>
      <c r="J1134" s="803"/>
      <c r="K1134" s="803"/>
      <c r="L1134" s="804"/>
    </row>
    <row r="1135" spans="2:12" x14ac:dyDescent="0.25">
      <c r="B1135" s="802"/>
      <c r="C1135" s="802"/>
      <c r="D1135" s="803"/>
      <c r="E1135" s="803"/>
      <c r="F1135" s="803"/>
      <c r="G1135" s="803"/>
      <c r="H1135" s="803"/>
      <c r="I1135" s="803"/>
      <c r="J1135" s="803"/>
      <c r="K1135" s="803"/>
      <c r="L1135" s="804"/>
    </row>
    <row r="1136" spans="2:12" x14ac:dyDescent="0.25">
      <c r="B1136" s="802"/>
      <c r="C1136" s="802"/>
      <c r="D1136" s="803"/>
      <c r="E1136" s="803"/>
      <c r="F1136" s="803"/>
      <c r="G1136" s="803"/>
      <c r="H1136" s="803"/>
      <c r="I1136" s="803"/>
      <c r="J1136" s="803"/>
      <c r="K1136" s="803"/>
      <c r="L1136" s="804"/>
    </row>
    <row r="1137" spans="2:12" x14ac:dyDescent="0.25">
      <c r="B1137" s="802"/>
      <c r="C1137" s="802"/>
      <c r="D1137" s="803"/>
      <c r="E1137" s="803"/>
      <c r="F1137" s="803"/>
      <c r="G1137" s="803"/>
      <c r="H1137" s="803"/>
      <c r="I1137" s="803"/>
      <c r="J1137" s="803"/>
      <c r="K1137" s="803"/>
      <c r="L1137" s="804"/>
    </row>
    <row r="1138" spans="2:12" x14ac:dyDescent="0.25">
      <c r="B1138" s="802"/>
      <c r="C1138" s="802"/>
      <c r="D1138" s="803"/>
      <c r="E1138" s="803"/>
      <c r="F1138" s="803"/>
      <c r="G1138" s="803"/>
      <c r="H1138" s="803"/>
      <c r="I1138" s="803"/>
      <c r="J1138" s="803"/>
      <c r="K1138" s="803"/>
      <c r="L1138" s="804"/>
    </row>
    <row r="1139" spans="2:12" x14ac:dyDescent="0.25">
      <c r="B1139" s="802"/>
      <c r="C1139" s="802"/>
      <c r="D1139" s="803"/>
      <c r="E1139" s="803"/>
      <c r="F1139" s="803"/>
      <c r="G1139" s="803"/>
      <c r="H1139" s="803"/>
      <c r="I1139" s="803"/>
      <c r="J1139" s="803"/>
      <c r="K1139" s="803"/>
      <c r="L1139" s="804"/>
    </row>
    <row r="1140" spans="2:12" x14ac:dyDescent="0.25">
      <c r="B1140" s="802"/>
      <c r="C1140" s="802"/>
      <c r="D1140" s="803"/>
      <c r="E1140" s="803"/>
      <c r="F1140" s="803"/>
      <c r="G1140" s="803"/>
      <c r="H1140" s="803"/>
      <c r="I1140" s="803"/>
      <c r="J1140" s="803"/>
      <c r="K1140" s="803"/>
      <c r="L1140" s="804"/>
    </row>
    <row r="1141" spans="2:12" x14ac:dyDescent="0.25">
      <c r="B1141" s="802"/>
      <c r="C1141" s="802"/>
      <c r="D1141" s="803"/>
      <c r="E1141" s="803"/>
      <c r="F1141" s="803"/>
      <c r="G1141" s="803"/>
      <c r="H1141" s="803"/>
      <c r="I1141" s="803"/>
      <c r="J1141" s="803"/>
      <c r="K1141" s="803"/>
      <c r="L1141" s="804"/>
    </row>
    <row r="1142" spans="2:12" x14ac:dyDescent="0.25">
      <c r="B1142" s="802"/>
      <c r="C1142" s="802"/>
      <c r="D1142" s="803"/>
      <c r="E1142" s="803"/>
      <c r="F1142" s="803"/>
      <c r="G1142" s="803"/>
      <c r="H1142" s="803"/>
      <c r="I1142" s="803"/>
      <c r="J1142" s="803"/>
      <c r="K1142" s="803"/>
      <c r="L1142" s="804"/>
    </row>
    <row r="1143" spans="2:12" x14ac:dyDescent="0.25">
      <c r="B1143" s="802"/>
      <c r="C1143" s="802"/>
      <c r="D1143" s="803"/>
      <c r="E1143" s="803"/>
      <c r="F1143" s="803"/>
      <c r="G1143" s="803"/>
      <c r="H1143" s="803"/>
      <c r="I1143" s="803"/>
      <c r="J1143" s="803"/>
      <c r="K1143" s="803"/>
      <c r="L1143" s="804"/>
    </row>
    <row r="1144" spans="2:12" x14ac:dyDescent="0.25">
      <c r="B1144" s="802"/>
      <c r="C1144" s="802"/>
      <c r="D1144" s="803"/>
      <c r="E1144" s="803"/>
      <c r="F1144" s="803"/>
      <c r="G1144" s="803"/>
      <c r="H1144" s="803"/>
      <c r="I1144" s="803"/>
      <c r="J1144" s="803"/>
      <c r="K1144" s="803"/>
      <c r="L1144" s="804"/>
    </row>
    <row r="1145" spans="2:12" x14ac:dyDescent="0.25">
      <c r="B1145" s="802"/>
      <c r="C1145" s="802"/>
      <c r="D1145" s="803"/>
      <c r="E1145" s="803"/>
      <c r="F1145" s="803"/>
      <c r="G1145" s="803"/>
      <c r="H1145" s="803"/>
      <c r="I1145" s="803"/>
      <c r="J1145" s="803"/>
      <c r="K1145" s="803"/>
      <c r="L1145" s="804"/>
    </row>
    <row r="1146" spans="2:12" x14ac:dyDescent="0.25">
      <c r="B1146" s="802"/>
      <c r="C1146" s="802"/>
      <c r="D1146" s="803"/>
      <c r="E1146" s="803"/>
      <c r="F1146" s="803"/>
      <c r="G1146" s="803"/>
      <c r="H1146" s="803"/>
      <c r="I1146" s="803"/>
      <c r="J1146" s="803"/>
      <c r="K1146" s="803"/>
      <c r="L1146" s="804"/>
    </row>
    <row r="1147" spans="2:12" x14ac:dyDescent="0.25">
      <c r="B1147" s="802"/>
      <c r="C1147" s="802"/>
      <c r="D1147" s="803"/>
      <c r="E1147" s="803"/>
      <c r="F1147" s="803"/>
      <c r="G1147" s="803"/>
      <c r="H1147" s="803"/>
      <c r="I1147" s="803"/>
      <c r="J1147" s="803"/>
      <c r="K1147" s="803"/>
      <c r="L1147" s="804"/>
    </row>
    <row r="1148" spans="2:12" x14ac:dyDescent="0.25">
      <c r="B1148" s="802"/>
      <c r="C1148" s="802"/>
      <c r="D1148" s="803"/>
      <c r="E1148" s="803"/>
      <c r="F1148" s="803"/>
      <c r="G1148" s="803"/>
      <c r="H1148" s="803"/>
      <c r="I1148" s="803"/>
      <c r="J1148" s="803"/>
      <c r="K1148" s="803"/>
      <c r="L1148" s="804"/>
    </row>
    <row r="1149" spans="2:12" x14ac:dyDescent="0.25">
      <c r="B1149" s="802"/>
      <c r="C1149" s="802"/>
      <c r="D1149" s="803"/>
      <c r="E1149" s="803"/>
      <c r="F1149" s="803"/>
      <c r="G1149" s="803"/>
      <c r="H1149" s="803"/>
      <c r="I1149" s="803"/>
      <c r="J1149" s="803"/>
      <c r="K1149" s="803"/>
      <c r="L1149" s="804"/>
    </row>
    <row r="1150" spans="2:12" x14ac:dyDescent="0.25">
      <c r="B1150" s="802"/>
      <c r="C1150" s="802"/>
      <c r="D1150" s="803"/>
      <c r="E1150" s="803"/>
      <c r="F1150" s="803"/>
      <c r="G1150" s="803"/>
      <c r="H1150" s="803"/>
      <c r="I1150" s="803"/>
      <c r="J1150" s="803"/>
      <c r="K1150" s="803"/>
      <c r="L1150" s="804"/>
    </row>
    <row r="1151" spans="2:12" x14ac:dyDescent="0.25">
      <c r="B1151" s="802"/>
      <c r="C1151" s="802"/>
      <c r="D1151" s="803"/>
      <c r="E1151" s="803"/>
      <c r="F1151" s="803"/>
      <c r="G1151" s="803"/>
      <c r="H1151" s="803"/>
      <c r="I1151" s="803"/>
      <c r="J1151" s="803"/>
      <c r="K1151" s="803"/>
      <c r="L1151" s="804"/>
    </row>
    <row r="1152" spans="2:12" x14ac:dyDescent="0.25">
      <c r="B1152" s="802"/>
      <c r="C1152" s="802"/>
      <c r="D1152" s="803"/>
      <c r="E1152" s="803"/>
      <c r="F1152" s="803"/>
      <c r="G1152" s="803"/>
      <c r="H1152" s="803"/>
      <c r="I1152" s="803"/>
      <c r="J1152" s="803"/>
      <c r="K1152" s="803"/>
      <c r="L1152" s="804"/>
    </row>
    <row r="1153" spans="2:12" x14ac:dyDescent="0.25">
      <c r="B1153" s="802"/>
      <c r="C1153" s="802"/>
      <c r="D1153" s="803"/>
      <c r="E1153" s="803"/>
      <c r="F1153" s="803"/>
      <c r="G1153" s="803"/>
      <c r="H1153" s="803"/>
      <c r="I1153" s="803"/>
      <c r="J1153" s="803"/>
      <c r="K1153" s="803"/>
      <c r="L1153" s="804"/>
    </row>
    <row r="1154" spans="2:12" x14ac:dyDescent="0.25">
      <c r="B1154" s="802"/>
      <c r="C1154" s="802"/>
      <c r="D1154" s="803"/>
      <c r="E1154" s="803"/>
      <c r="F1154" s="803"/>
      <c r="G1154" s="803"/>
      <c r="H1154" s="803"/>
      <c r="I1154" s="803"/>
      <c r="J1154" s="803"/>
      <c r="K1154" s="803"/>
      <c r="L1154" s="804"/>
    </row>
    <row r="1155" spans="2:12" x14ac:dyDescent="0.25">
      <c r="B1155" s="802"/>
      <c r="C1155" s="802"/>
      <c r="D1155" s="803"/>
      <c r="E1155" s="803"/>
      <c r="F1155" s="803"/>
      <c r="G1155" s="803"/>
      <c r="H1155" s="803"/>
      <c r="I1155" s="803"/>
      <c r="J1155" s="803"/>
      <c r="K1155" s="803"/>
      <c r="L1155" s="804"/>
    </row>
    <row r="1156" spans="2:12" x14ac:dyDescent="0.25">
      <c r="B1156" s="802"/>
      <c r="C1156" s="802"/>
      <c r="D1156" s="803"/>
      <c r="E1156" s="803"/>
      <c r="F1156" s="803"/>
      <c r="G1156" s="803"/>
      <c r="H1156" s="803"/>
      <c r="I1156" s="803"/>
      <c r="J1156" s="803"/>
      <c r="K1156" s="803"/>
      <c r="L1156" s="804"/>
    </row>
    <row r="1157" spans="2:12" x14ac:dyDescent="0.25">
      <c r="B1157" s="802"/>
      <c r="C1157" s="802"/>
      <c r="D1157" s="803"/>
      <c r="E1157" s="803"/>
      <c r="F1157" s="803"/>
      <c r="G1157" s="803"/>
      <c r="H1157" s="803"/>
      <c r="I1157" s="803"/>
      <c r="J1157" s="803"/>
      <c r="K1157" s="803"/>
      <c r="L1157" s="804"/>
    </row>
    <row r="1158" spans="2:12" x14ac:dyDescent="0.25">
      <c r="B1158" s="802"/>
      <c r="C1158" s="802"/>
      <c r="D1158" s="803"/>
      <c r="E1158" s="803"/>
      <c r="F1158" s="803"/>
      <c r="G1158" s="803"/>
      <c r="H1158" s="803"/>
      <c r="I1158" s="803"/>
      <c r="J1158" s="803"/>
      <c r="K1158" s="803"/>
      <c r="L1158" s="804"/>
    </row>
    <row r="1159" spans="2:12" x14ac:dyDescent="0.25">
      <c r="B1159" s="802"/>
      <c r="C1159" s="802"/>
      <c r="D1159" s="803"/>
      <c r="E1159" s="803"/>
      <c r="F1159" s="803"/>
      <c r="G1159" s="803"/>
      <c r="H1159" s="803"/>
      <c r="I1159" s="803"/>
      <c r="J1159" s="803"/>
      <c r="K1159" s="803"/>
      <c r="L1159" s="804"/>
    </row>
    <row r="1160" spans="2:12" x14ac:dyDescent="0.25">
      <c r="B1160" s="802"/>
      <c r="C1160" s="802"/>
      <c r="D1160" s="803"/>
      <c r="E1160" s="803"/>
      <c r="F1160" s="803"/>
      <c r="G1160" s="803"/>
      <c r="H1160" s="803"/>
      <c r="I1160" s="803"/>
      <c r="J1160" s="803"/>
      <c r="K1160" s="803"/>
      <c r="L1160" s="804"/>
    </row>
    <row r="1161" spans="2:12" x14ac:dyDescent="0.25">
      <c r="B1161" s="802"/>
      <c r="C1161" s="802"/>
      <c r="D1161" s="803"/>
      <c r="E1161" s="803"/>
      <c r="F1161" s="803"/>
      <c r="G1161" s="803"/>
      <c r="H1161" s="803"/>
      <c r="I1161" s="803"/>
      <c r="J1161" s="803"/>
      <c r="K1161" s="803"/>
      <c r="L1161" s="804"/>
    </row>
    <row r="1162" spans="2:12" x14ac:dyDescent="0.25">
      <c r="B1162" s="802"/>
      <c r="C1162" s="802"/>
      <c r="D1162" s="803"/>
      <c r="E1162" s="803"/>
      <c r="F1162" s="803"/>
      <c r="G1162" s="803"/>
      <c r="H1162" s="803"/>
      <c r="I1162" s="803"/>
      <c r="J1162" s="803"/>
      <c r="K1162" s="803"/>
      <c r="L1162" s="804"/>
    </row>
    <row r="1163" spans="2:12" x14ac:dyDescent="0.25">
      <c r="B1163" s="802"/>
      <c r="C1163" s="802"/>
      <c r="D1163" s="803"/>
      <c r="E1163" s="803"/>
      <c r="F1163" s="803"/>
      <c r="G1163" s="803"/>
      <c r="H1163" s="803"/>
      <c r="I1163" s="803"/>
      <c r="J1163" s="803"/>
      <c r="K1163" s="803"/>
      <c r="L1163" s="804"/>
    </row>
    <row r="1164" spans="2:12" x14ac:dyDescent="0.25">
      <c r="B1164" s="802"/>
      <c r="C1164" s="802"/>
      <c r="D1164" s="803"/>
      <c r="E1164" s="803"/>
      <c r="F1164" s="803"/>
      <c r="G1164" s="803"/>
      <c r="H1164" s="803"/>
      <c r="I1164" s="803"/>
      <c r="J1164" s="803"/>
      <c r="K1164" s="803"/>
      <c r="L1164" s="804"/>
    </row>
    <row r="1165" spans="2:12" x14ac:dyDescent="0.25">
      <c r="B1165" s="802"/>
      <c r="C1165" s="802"/>
      <c r="D1165" s="803"/>
      <c r="E1165" s="803"/>
      <c r="F1165" s="803"/>
      <c r="G1165" s="803"/>
      <c r="H1165" s="803"/>
      <c r="I1165" s="803"/>
      <c r="J1165" s="803"/>
      <c r="K1165" s="803"/>
      <c r="L1165" s="804"/>
    </row>
    <row r="1166" spans="2:12" x14ac:dyDescent="0.25">
      <c r="B1166" s="802"/>
      <c r="C1166" s="802"/>
      <c r="D1166" s="803"/>
      <c r="E1166" s="803"/>
      <c r="F1166" s="803"/>
      <c r="G1166" s="803"/>
      <c r="H1166" s="803"/>
      <c r="I1166" s="803"/>
      <c r="J1166" s="803"/>
      <c r="K1166" s="803"/>
      <c r="L1166" s="804"/>
    </row>
    <row r="1167" spans="2:12" x14ac:dyDescent="0.25">
      <c r="B1167" s="802"/>
      <c r="C1167" s="802"/>
      <c r="D1167" s="803"/>
      <c r="E1167" s="803"/>
      <c r="F1167" s="803"/>
      <c r="G1167" s="803"/>
      <c r="H1167" s="803"/>
      <c r="I1167" s="803"/>
      <c r="J1167" s="803"/>
      <c r="K1167" s="803"/>
      <c r="L1167" s="804"/>
    </row>
    <row r="1168" spans="2:12" x14ac:dyDescent="0.25">
      <c r="B1168" s="802"/>
      <c r="C1168" s="802"/>
      <c r="D1168" s="803"/>
      <c r="E1168" s="803"/>
      <c r="F1168" s="803"/>
      <c r="G1168" s="803"/>
      <c r="H1168" s="803"/>
      <c r="I1168" s="803"/>
      <c r="J1168" s="803"/>
      <c r="K1168" s="803"/>
      <c r="L1168" s="804"/>
    </row>
    <row r="1169" spans="2:12" x14ac:dyDescent="0.25">
      <c r="B1169" s="802"/>
      <c r="C1169" s="802"/>
      <c r="D1169" s="803"/>
      <c r="E1169" s="803"/>
      <c r="F1169" s="803"/>
      <c r="G1169" s="803"/>
      <c r="H1169" s="803"/>
      <c r="I1169" s="803"/>
      <c r="J1169" s="803"/>
      <c r="K1169" s="803"/>
      <c r="L1169" s="804"/>
    </row>
    <row r="1170" spans="2:12" x14ac:dyDescent="0.25">
      <c r="B1170" s="802"/>
      <c r="C1170" s="802"/>
      <c r="D1170" s="803"/>
      <c r="E1170" s="803"/>
      <c r="F1170" s="803"/>
      <c r="G1170" s="803"/>
      <c r="H1170" s="803"/>
      <c r="I1170" s="803"/>
      <c r="J1170" s="803"/>
      <c r="K1170" s="803"/>
      <c r="L1170" s="804"/>
    </row>
    <row r="1171" spans="2:12" x14ac:dyDescent="0.25">
      <c r="B1171" s="802"/>
      <c r="C1171" s="802"/>
      <c r="D1171" s="803"/>
      <c r="E1171" s="803"/>
      <c r="F1171" s="803"/>
      <c r="G1171" s="803"/>
      <c r="H1171" s="803"/>
      <c r="I1171" s="803"/>
      <c r="J1171" s="803"/>
      <c r="K1171" s="803"/>
      <c r="L1171" s="804"/>
    </row>
    <row r="1172" spans="2:12" x14ac:dyDescent="0.25">
      <c r="B1172" s="802"/>
      <c r="C1172" s="802"/>
      <c r="D1172" s="803"/>
      <c r="E1172" s="803"/>
      <c r="F1172" s="803"/>
      <c r="G1172" s="803"/>
      <c r="H1172" s="803"/>
      <c r="I1172" s="803"/>
      <c r="J1172" s="803"/>
      <c r="K1172" s="803"/>
      <c r="L1172" s="804"/>
    </row>
    <row r="1173" spans="2:12" x14ac:dyDescent="0.25">
      <c r="B1173" s="802"/>
      <c r="C1173" s="802"/>
      <c r="D1173" s="803"/>
      <c r="E1173" s="803"/>
      <c r="F1173" s="803"/>
      <c r="G1173" s="803"/>
      <c r="H1173" s="803"/>
      <c r="I1173" s="803"/>
      <c r="J1173" s="803"/>
      <c r="K1173" s="803"/>
      <c r="L1173" s="804"/>
    </row>
    <row r="1174" spans="2:12" x14ac:dyDescent="0.25">
      <c r="B1174" s="802"/>
      <c r="C1174" s="802"/>
      <c r="D1174" s="803"/>
      <c r="E1174" s="803"/>
      <c r="F1174" s="803"/>
      <c r="G1174" s="803"/>
      <c r="H1174" s="803"/>
      <c r="I1174" s="803"/>
      <c r="J1174" s="803"/>
      <c r="K1174" s="803"/>
      <c r="L1174" s="804"/>
    </row>
    <row r="1175" spans="2:12" x14ac:dyDescent="0.25">
      <c r="B1175" s="802"/>
      <c r="C1175" s="802"/>
      <c r="D1175" s="803"/>
      <c r="E1175" s="803"/>
      <c r="F1175" s="803"/>
      <c r="G1175" s="803"/>
      <c r="H1175" s="803"/>
      <c r="I1175" s="803"/>
      <c r="J1175" s="803"/>
      <c r="K1175" s="803"/>
      <c r="L1175" s="804"/>
    </row>
    <row r="1176" spans="2:12" x14ac:dyDescent="0.25">
      <c r="B1176" s="802"/>
      <c r="C1176" s="802"/>
      <c r="D1176" s="803"/>
      <c r="E1176" s="803"/>
      <c r="F1176" s="803"/>
      <c r="G1176" s="803"/>
      <c r="H1176" s="803"/>
      <c r="I1176" s="803"/>
      <c r="J1176" s="803"/>
      <c r="K1176" s="803"/>
      <c r="L1176" s="804"/>
    </row>
    <row r="1177" spans="2:12" x14ac:dyDescent="0.25">
      <c r="B1177" s="802"/>
      <c r="C1177" s="802"/>
      <c r="D1177" s="803"/>
      <c r="E1177" s="803"/>
      <c r="F1177" s="803"/>
      <c r="G1177" s="803"/>
      <c r="H1177" s="803"/>
      <c r="I1177" s="803"/>
      <c r="J1177" s="803"/>
      <c r="K1177" s="803"/>
      <c r="L1177" s="804"/>
    </row>
    <row r="1178" spans="2:12" x14ac:dyDescent="0.25">
      <c r="B1178" s="802"/>
      <c r="C1178" s="802"/>
      <c r="D1178" s="803"/>
      <c r="E1178" s="803"/>
      <c r="F1178" s="803"/>
      <c r="G1178" s="803"/>
      <c r="H1178" s="803"/>
      <c r="I1178" s="803"/>
      <c r="J1178" s="803"/>
      <c r="K1178" s="803"/>
      <c r="L1178" s="804"/>
    </row>
    <row r="1179" spans="2:12" x14ac:dyDescent="0.25">
      <c r="B1179" s="802"/>
      <c r="C1179" s="802"/>
      <c r="D1179" s="803"/>
      <c r="E1179" s="803"/>
      <c r="F1179" s="803"/>
      <c r="G1179" s="803"/>
      <c r="H1179" s="803"/>
      <c r="I1179" s="803"/>
      <c r="J1179" s="803"/>
      <c r="K1179" s="803"/>
      <c r="L1179" s="804"/>
    </row>
    <row r="1180" spans="2:12" x14ac:dyDescent="0.25">
      <c r="B1180" s="802"/>
      <c r="C1180" s="802"/>
      <c r="D1180" s="803"/>
      <c r="E1180" s="803"/>
      <c r="F1180" s="803"/>
      <c r="G1180" s="803"/>
      <c r="H1180" s="803"/>
      <c r="I1180" s="803"/>
      <c r="J1180" s="803"/>
      <c r="K1180" s="803"/>
      <c r="L1180" s="804"/>
    </row>
    <row r="1181" spans="2:12" x14ac:dyDescent="0.25">
      <c r="B1181" s="802"/>
      <c r="C1181" s="802"/>
      <c r="D1181" s="803"/>
      <c r="E1181" s="803"/>
      <c r="F1181" s="803"/>
      <c r="G1181" s="803"/>
      <c r="H1181" s="803"/>
      <c r="I1181" s="803"/>
      <c r="J1181" s="803"/>
      <c r="K1181" s="803"/>
      <c r="L1181" s="804"/>
    </row>
    <row r="1182" spans="2:12" x14ac:dyDescent="0.25">
      <c r="B1182" s="802"/>
      <c r="C1182" s="802"/>
      <c r="D1182" s="803"/>
      <c r="E1182" s="803"/>
      <c r="F1182" s="803"/>
      <c r="G1182" s="803"/>
      <c r="H1182" s="803"/>
      <c r="I1182" s="803"/>
      <c r="J1182" s="803"/>
      <c r="K1182" s="803"/>
      <c r="L1182" s="804"/>
    </row>
    <row r="1183" spans="2:12" x14ac:dyDescent="0.25">
      <c r="B1183" s="802"/>
      <c r="C1183" s="802"/>
      <c r="D1183" s="803"/>
      <c r="E1183" s="803"/>
      <c r="F1183" s="803"/>
      <c r="G1183" s="803"/>
      <c r="H1183" s="803"/>
      <c r="I1183" s="803"/>
      <c r="J1183" s="803"/>
      <c r="K1183" s="803"/>
      <c r="L1183" s="804"/>
    </row>
    <row r="1184" spans="2:12" x14ac:dyDescent="0.25">
      <c r="B1184" s="802"/>
      <c r="C1184" s="802"/>
      <c r="D1184" s="803"/>
      <c r="E1184" s="803"/>
      <c r="F1184" s="803"/>
      <c r="G1184" s="803"/>
      <c r="H1184" s="803"/>
      <c r="I1184" s="803"/>
      <c r="J1184" s="803"/>
      <c r="K1184" s="803"/>
      <c r="L1184" s="804"/>
    </row>
    <row r="1185" spans="2:12" x14ac:dyDescent="0.25">
      <c r="B1185" s="802"/>
      <c r="C1185" s="802"/>
      <c r="D1185" s="803"/>
      <c r="E1185" s="803"/>
      <c r="F1185" s="803"/>
      <c r="G1185" s="803"/>
      <c r="H1185" s="803"/>
      <c r="I1185" s="803"/>
      <c r="J1185" s="803"/>
      <c r="K1185" s="803"/>
      <c r="L1185" s="804"/>
    </row>
    <row r="1186" spans="2:12" x14ac:dyDescent="0.25">
      <c r="B1186" s="802"/>
      <c r="C1186" s="802"/>
      <c r="D1186" s="803"/>
      <c r="E1186" s="803"/>
      <c r="F1186" s="803"/>
      <c r="G1186" s="803"/>
      <c r="H1186" s="803"/>
      <c r="I1186" s="803"/>
      <c r="J1186" s="803"/>
      <c r="K1186" s="803"/>
      <c r="L1186" s="804"/>
    </row>
    <row r="1187" spans="2:12" x14ac:dyDescent="0.25">
      <c r="B1187" s="802"/>
      <c r="C1187" s="802"/>
      <c r="D1187" s="803"/>
      <c r="E1187" s="803"/>
      <c r="F1187" s="803"/>
      <c r="G1187" s="803"/>
      <c r="H1187" s="803"/>
      <c r="I1187" s="803"/>
      <c r="J1187" s="803"/>
      <c r="K1187" s="803"/>
      <c r="L1187" s="804"/>
    </row>
    <row r="1188" spans="2:12" x14ac:dyDescent="0.25">
      <c r="B1188" s="802"/>
      <c r="C1188" s="802"/>
      <c r="D1188" s="803"/>
      <c r="E1188" s="803"/>
      <c r="F1188" s="803"/>
      <c r="G1188" s="803"/>
      <c r="H1188" s="803"/>
      <c r="I1188" s="803"/>
      <c r="J1188" s="803"/>
      <c r="K1188" s="803"/>
      <c r="L1188" s="804"/>
    </row>
    <row r="1189" spans="2:12" x14ac:dyDescent="0.25">
      <c r="B1189" s="802"/>
      <c r="C1189" s="802"/>
      <c r="D1189" s="803"/>
      <c r="E1189" s="803"/>
      <c r="F1189" s="803"/>
      <c r="G1189" s="803"/>
      <c r="H1189" s="803"/>
      <c r="I1189" s="803"/>
      <c r="J1189" s="803"/>
      <c r="K1189" s="803"/>
      <c r="L1189" s="804"/>
    </row>
    <row r="1190" spans="2:12" x14ac:dyDescent="0.25">
      <c r="B1190" s="802"/>
      <c r="C1190" s="802"/>
      <c r="D1190" s="803"/>
      <c r="E1190" s="803"/>
      <c r="F1190" s="803"/>
      <c r="G1190" s="803"/>
      <c r="H1190" s="803"/>
      <c r="I1190" s="803"/>
      <c r="J1190" s="803"/>
      <c r="K1190" s="803"/>
      <c r="L1190" s="804"/>
    </row>
    <row r="1191" spans="2:12" x14ac:dyDescent="0.25">
      <c r="B1191" s="802"/>
      <c r="C1191" s="802"/>
      <c r="D1191" s="803"/>
      <c r="E1191" s="803"/>
      <c r="F1191" s="803"/>
      <c r="G1191" s="803"/>
      <c r="H1191" s="803"/>
      <c r="I1191" s="803"/>
      <c r="J1191" s="803"/>
      <c r="K1191" s="803"/>
      <c r="L1191" s="804"/>
    </row>
    <row r="1192" spans="2:12" x14ac:dyDescent="0.25">
      <c r="B1192" s="802"/>
      <c r="C1192" s="802"/>
      <c r="D1192" s="803"/>
      <c r="E1192" s="803"/>
      <c r="F1192" s="803"/>
      <c r="G1192" s="803"/>
      <c r="H1192" s="803"/>
      <c r="I1192" s="803"/>
      <c r="J1192" s="803"/>
      <c r="K1192" s="803"/>
      <c r="L1192" s="804"/>
    </row>
    <row r="1193" spans="2:12" x14ac:dyDescent="0.25">
      <c r="B1193" s="802"/>
      <c r="C1193" s="802"/>
      <c r="D1193" s="803"/>
      <c r="E1193" s="803"/>
      <c r="F1193" s="803"/>
      <c r="G1193" s="803"/>
      <c r="H1193" s="803"/>
      <c r="I1193" s="803"/>
      <c r="J1193" s="803"/>
      <c r="K1193" s="803"/>
      <c r="L1193" s="804"/>
    </row>
    <row r="1194" spans="2:12" x14ac:dyDescent="0.25">
      <c r="B1194" s="802"/>
      <c r="C1194" s="802"/>
      <c r="D1194" s="803"/>
      <c r="E1194" s="803"/>
      <c r="F1194" s="803"/>
      <c r="G1194" s="803"/>
      <c r="H1194" s="803"/>
      <c r="I1194" s="803"/>
      <c r="J1194" s="803"/>
      <c r="K1194" s="803"/>
      <c r="L1194" s="804"/>
    </row>
    <row r="1195" spans="2:12" x14ac:dyDescent="0.25">
      <c r="B1195" s="802"/>
      <c r="C1195" s="802"/>
      <c r="D1195" s="803"/>
      <c r="E1195" s="803"/>
      <c r="F1195" s="803"/>
      <c r="G1195" s="803"/>
      <c r="H1195" s="803"/>
      <c r="I1195" s="803"/>
      <c r="J1195" s="803"/>
      <c r="K1195" s="803"/>
      <c r="L1195" s="804"/>
    </row>
    <row r="1196" spans="2:12" x14ac:dyDescent="0.25">
      <c r="B1196" s="802"/>
      <c r="C1196" s="802"/>
      <c r="D1196" s="803"/>
      <c r="E1196" s="803"/>
      <c r="F1196" s="803"/>
      <c r="G1196" s="803"/>
      <c r="H1196" s="803"/>
      <c r="I1196" s="803"/>
      <c r="J1196" s="803"/>
      <c r="K1196" s="803"/>
      <c r="L1196" s="804"/>
    </row>
    <row r="1197" spans="2:12" x14ac:dyDescent="0.25">
      <c r="B1197" s="802"/>
      <c r="C1197" s="802"/>
      <c r="D1197" s="803"/>
      <c r="E1197" s="803"/>
      <c r="F1197" s="803"/>
      <c r="G1197" s="803"/>
      <c r="H1197" s="803"/>
      <c r="I1197" s="803"/>
      <c r="J1197" s="803"/>
      <c r="K1197" s="803"/>
      <c r="L1197" s="804"/>
    </row>
    <row r="1198" spans="2:12" x14ac:dyDescent="0.25">
      <c r="B1198" s="802"/>
      <c r="C1198" s="802"/>
      <c r="D1198" s="803"/>
      <c r="E1198" s="803"/>
      <c r="F1198" s="803"/>
      <c r="G1198" s="803"/>
      <c r="H1198" s="803"/>
      <c r="I1198" s="803"/>
      <c r="J1198" s="803"/>
      <c r="K1198" s="803"/>
      <c r="L1198" s="804"/>
    </row>
    <row r="1199" spans="2:12" x14ac:dyDescent="0.25">
      <c r="B1199" s="802"/>
      <c r="C1199" s="802"/>
      <c r="D1199" s="803"/>
      <c r="E1199" s="803"/>
      <c r="F1199" s="803"/>
      <c r="G1199" s="803"/>
      <c r="H1199" s="803"/>
      <c r="I1199" s="803"/>
      <c r="J1199" s="803"/>
      <c r="K1199" s="803"/>
      <c r="L1199" s="804"/>
    </row>
    <row r="1200" spans="2:12" x14ac:dyDescent="0.25">
      <c r="B1200" s="802"/>
      <c r="C1200" s="802"/>
      <c r="D1200" s="803"/>
      <c r="E1200" s="803"/>
      <c r="F1200" s="803"/>
      <c r="G1200" s="803"/>
      <c r="H1200" s="803"/>
      <c r="I1200" s="803"/>
      <c r="J1200" s="803"/>
      <c r="K1200" s="803"/>
      <c r="L1200" s="804"/>
    </row>
    <row r="1201" spans="2:12" x14ac:dyDescent="0.25">
      <c r="B1201" s="802"/>
      <c r="C1201" s="802"/>
      <c r="D1201" s="803"/>
      <c r="E1201" s="803"/>
      <c r="F1201" s="803"/>
      <c r="G1201" s="803"/>
      <c r="H1201" s="803"/>
      <c r="I1201" s="803"/>
      <c r="J1201" s="803"/>
      <c r="K1201" s="803"/>
      <c r="L1201" s="804"/>
    </row>
    <row r="1202" spans="2:12" x14ac:dyDescent="0.25">
      <c r="B1202" s="802"/>
      <c r="C1202" s="802"/>
      <c r="D1202" s="803"/>
      <c r="E1202" s="803"/>
      <c r="F1202" s="803"/>
      <c r="G1202" s="803"/>
      <c r="H1202" s="803"/>
      <c r="I1202" s="803"/>
      <c r="J1202" s="803"/>
      <c r="K1202" s="803"/>
      <c r="L1202" s="804"/>
    </row>
    <row r="1203" spans="2:12" x14ac:dyDescent="0.25">
      <c r="B1203" s="802"/>
      <c r="C1203" s="802"/>
      <c r="D1203" s="803"/>
      <c r="E1203" s="803"/>
      <c r="F1203" s="803"/>
      <c r="G1203" s="803"/>
      <c r="H1203" s="803"/>
      <c r="I1203" s="803"/>
      <c r="J1203" s="803"/>
      <c r="K1203" s="803"/>
      <c r="L1203" s="804"/>
    </row>
    <row r="1204" spans="2:12" x14ac:dyDescent="0.25">
      <c r="B1204" s="802"/>
      <c r="C1204" s="802"/>
      <c r="D1204" s="803"/>
      <c r="E1204" s="803"/>
      <c r="F1204" s="803"/>
      <c r="G1204" s="803"/>
      <c r="H1204" s="803"/>
      <c r="I1204" s="803"/>
      <c r="J1204" s="803"/>
      <c r="K1204" s="803"/>
      <c r="L1204" s="804"/>
    </row>
    <row r="1205" spans="2:12" x14ac:dyDescent="0.25">
      <c r="B1205" s="802"/>
      <c r="C1205" s="802"/>
      <c r="D1205" s="803"/>
      <c r="E1205" s="803"/>
      <c r="F1205" s="803"/>
      <c r="G1205" s="803"/>
      <c r="H1205" s="803"/>
      <c r="I1205" s="803"/>
      <c r="J1205" s="803"/>
      <c r="K1205" s="803"/>
      <c r="L1205" s="804"/>
    </row>
    <row r="1206" spans="2:12" x14ac:dyDescent="0.25">
      <c r="B1206" s="802"/>
      <c r="C1206" s="802"/>
      <c r="D1206" s="803"/>
      <c r="E1206" s="803"/>
      <c r="F1206" s="803"/>
      <c r="G1206" s="803"/>
      <c r="H1206" s="803"/>
      <c r="I1206" s="803"/>
      <c r="J1206" s="803"/>
      <c r="K1206" s="803"/>
      <c r="L1206" s="804"/>
    </row>
    <row r="1207" spans="2:12" x14ac:dyDescent="0.25">
      <c r="B1207" s="802"/>
      <c r="C1207" s="802"/>
      <c r="D1207" s="803"/>
      <c r="E1207" s="803"/>
      <c r="F1207" s="803"/>
      <c r="G1207" s="803"/>
      <c r="H1207" s="803"/>
      <c r="I1207" s="803"/>
      <c r="J1207" s="803"/>
      <c r="K1207" s="803"/>
      <c r="L1207" s="804"/>
    </row>
    <row r="1208" spans="2:12" x14ac:dyDescent="0.25">
      <c r="B1208" s="802"/>
      <c r="C1208" s="802"/>
      <c r="D1208" s="803"/>
      <c r="E1208" s="803"/>
      <c r="F1208" s="803"/>
      <c r="G1208" s="803"/>
      <c r="H1208" s="803"/>
      <c r="I1208" s="803"/>
      <c r="J1208" s="803"/>
      <c r="K1208" s="803"/>
      <c r="L1208" s="804"/>
    </row>
    <row r="1209" spans="2:12" x14ac:dyDescent="0.25">
      <c r="B1209" s="802"/>
      <c r="C1209" s="802"/>
      <c r="D1209" s="803"/>
      <c r="E1209" s="803"/>
      <c r="F1209" s="803"/>
      <c r="G1209" s="803"/>
      <c r="H1209" s="803"/>
      <c r="I1209" s="803"/>
      <c r="J1209" s="803"/>
      <c r="K1209" s="803"/>
      <c r="L1209" s="804"/>
    </row>
    <row r="1210" spans="2:12" x14ac:dyDescent="0.25">
      <c r="B1210" s="802"/>
      <c r="C1210" s="802"/>
      <c r="D1210" s="803"/>
      <c r="E1210" s="803"/>
      <c r="F1210" s="803"/>
      <c r="G1210" s="803"/>
      <c r="H1210" s="803"/>
      <c r="I1210" s="803"/>
      <c r="J1210" s="803"/>
      <c r="K1210" s="803"/>
      <c r="L1210" s="804"/>
    </row>
    <row r="1211" spans="2:12" x14ac:dyDescent="0.25">
      <c r="B1211" s="802"/>
      <c r="C1211" s="802"/>
      <c r="D1211" s="803"/>
      <c r="E1211" s="803"/>
      <c r="F1211" s="803"/>
      <c r="G1211" s="803"/>
      <c r="H1211" s="803"/>
      <c r="I1211" s="803"/>
      <c r="J1211" s="803"/>
      <c r="K1211" s="803"/>
      <c r="L1211" s="804"/>
    </row>
    <row r="1212" spans="2:12" x14ac:dyDescent="0.25">
      <c r="B1212" s="802"/>
      <c r="C1212" s="802"/>
      <c r="D1212" s="803"/>
      <c r="E1212" s="803"/>
      <c r="F1212" s="803"/>
      <c r="G1212" s="803"/>
      <c r="H1212" s="803"/>
      <c r="I1212" s="803"/>
      <c r="J1212" s="803"/>
      <c r="K1212" s="803"/>
      <c r="L1212" s="804"/>
    </row>
    <row r="1213" spans="2:12" x14ac:dyDescent="0.25">
      <c r="B1213" s="802"/>
      <c r="C1213" s="802"/>
      <c r="D1213" s="803"/>
      <c r="E1213" s="803"/>
      <c r="F1213" s="803"/>
      <c r="G1213" s="803"/>
      <c r="H1213" s="803"/>
      <c r="I1213" s="803"/>
      <c r="J1213" s="803"/>
      <c r="K1213" s="803"/>
      <c r="L1213" s="804"/>
    </row>
    <row r="1214" spans="2:12" x14ac:dyDescent="0.25">
      <c r="B1214" s="802"/>
      <c r="C1214" s="802"/>
      <c r="D1214" s="803"/>
      <c r="E1214" s="803"/>
      <c r="F1214" s="803"/>
      <c r="G1214" s="803"/>
      <c r="H1214" s="803"/>
      <c r="I1214" s="803"/>
      <c r="J1214" s="803"/>
      <c r="K1214" s="803"/>
      <c r="L1214" s="804"/>
    </row>
    <row r="1215" spans="2:12" x14ac:dyDescent="0.25">
      <c r="B1215" s="802"/>
      <c r="C1215" s="802"/>
      <c r="D1215" s="803"/>
      <c r="E1215" s="803"/>
      <c r="F1215" s="803"/>
      <c r="G1215" s="803"/>
      <c r="H1215" s="803"/>
      <c r="I1215" s="803"/>
      <c r="J1215" s="803"/>
      <c r="K1215" s="803"/>
      <c r="L1215" s="804"/>
    </row>
    <row r="1216" spans="2:12" x14ac:dyDescent="0.25">
      <c r="B1216" s="802"/>
      <c r="C1216" s="802"/>
      <c r="D1216" s="803"/>
      <c r="E1216" s="803"/>
      <c r="F1216" s="803"/>
      <c r="G1216" s="803"/>
      <c r="H1216" s="803"/>
      <c r="I1216" s="803"/>
      <c r="J1216" s="803"/>
      <c r="K1216" s="803"/>
      <c r="L1216" s="804"/>
    </row>
    <row r="1217" spans="2:12" x14ac:dyDescent="0.25">
      <c r="B1217" s="802"/>
      <c r="C1217" s="802"/>
      <c r="D1217" s="803"/>
      <c r="E1217" s="803"/>
      <c r="F1217" s="803"/>
      <c r="G1217" s="803"/>
      <c r="H1217" s="803"/>
      <c r="I1217" s="803"/>
      <c r="J1217" s="803"/>
      <c r="K1217" s="803"/>
      <c r="L1217" s="804"/>
    </row>
    <row r="1218" spans="2:12" x14ac:dyDescent="0.25">
      <c r="B1218" s="802"/>
      <c r="C1218" s="802"/>
      <c r="D1218" s="803"/>
      <c r="E1218" s="803"/>
      <c r="F1218" s="803"/>
      <c r="G1218" s="803"/>
      <c r="H1218" s="803"/>
      <c r="I1218" s="803"/>
      <c r="J1218" s="803"/>
      <c r="K1218" s="803"/>
      <c r="L1218" s="804"/>
    </row>
    <row r="1219" spans="2:12" x14ac:dyDescent="0.25">
      <c r="B1219" s="802"/>
      <c r="C1219" s="802"/>
      <c r="D1219" s="803"/>
      <c r="E1219" s="803"/>
      <c r="F1219" s="803"/>
      <c r="G1219" s="803"/>
      <c r="H1219" s="803"/>
      <c r="I1219" s="803"/>
      <c r="J1219" s="803"/>
      <c r="K1219" s="803"/>
      <c r="L1219" s="804"/>
    </row>
    <row r="1220" spans="2:12" x14ac:dyDescent="0.25">
      <c r="B1220" s="802"/>
      <c r="C1220" s="802"/>
      <c r="D1220" s="803"/>
      <c r="E1220" s="803"/>
      <c r="F1220" s="803"/>
      <c r="G1220" s="803"/>
      <c r="H1220" s="803"/>
      <c r="I1220" s="803"/>
      <c r="J1220" s="803"/>
      <c r="K1220" s="803"/>
      <c r="L1220" s="804"/>
    </row>
    <row r="1221" spans="2:12" x14ac:dyDescent="0.25">
      <c r="B1221" s="802"/>
      <c r="C1221" s="802"/>
      <c r="D1221" s="803"/>
      <c r="E1221" s="803"/>
      <c r="F1221" s="803"/>
      <c r="G1221" s="803"/>
      <c r="H1221" s="803"/>
      <c r="I1221" s="803"/>
      <c r="J1221" s="803"/>
      <c r="K1221" s="803"/>
      <c r="L1221" s="804"/>
    </row>
    <row r="1222" spans="2:12" x14ac:dyDescent="0.25">
      <c r="B1222" s="802"/>
      <c r="C1222" s="802"/>
      <c r="D1222" s="803"/>
      <c r="E1222" s="803"/>
      <c r="F1222" s="803"/>
      <c r="G1222" s="803"/>
      <c r="H1222" s="803"/>
      <c r="I1222" s="803"/>
      <c r="J1222" s="803"/>
      <c r="K1222" s="803"/>
      <c r="L1222" s="804"/>
    </row>
    <row r="1223" spans="2:12" x14ac:dyDescent="0.25">
      <c r="B1223" s="802"/>
      <c r="C1223" s="802"/>
      <c r="D1223" s="803"/>
      <c r="E1223" s="803"/>
      <c r="F1223" s="803"/>
      <c r="G1223" s="803"/>
      <c r="H1223" s="803"/>
      <c r="I1223" s="803"/>
      <c r="J1223" s="803"/>
      <c r="K1223" s="803"/>
      <c r="L1223" s="804"/>
    </row>
    <row r="1224" spans="2:12" x14ac:dyDescent="0.25">
      <c r="B1224" s="802"/>
      <c r="C1224" s="802"/>
      <c r="D1224" s="803"/>
      <c r="E1224" s="803"/>
      <c r="F1224" s="803"/>
      <c r="G1224" s="803"/>
      <c r="H1224" s="803"/>
      <c r="I1224" s="803"/>
      <c r="J1224" s="803"/>
      <c r="K1224" s="803"/>
      <c r="L1224" s="804"/>
    </row>
    <row r="1225" spans="2:12" x14ac:dyDescent="0.25">
      <c r="B1225" s="802"/>
      <c r="C1225" s="802"/>
      <c r="D1225" s="803"/>
      <c r="E1225" s="803"/>
      <c r="F1225" s="803"/>
      <c r="G1225" s="803"/>
      <c r="H1225" s="803"/>
      <c r="I1225" s="803"/>
      <c r="J1225" s="803"/>
      <c r="K1225" s="803"/>
      <c r="L1225" s="804"/>
    </row>
    <row r="1226" spans="2:12" x14ac:dyDescent="0.25">
      <c r="B1226" s="802"/>
      <c r="C1226" s="802"/>
      <c r="D1226" s="803"/>
      <c r="E1226" s="803"/>
      <c r="F1226" s="803"/>
      <c r="G1226" s="803"/>
      <c r="H1226" s="803"/>
      <c r="I1226" s="803"/>
      <c r="J1226" s="803"/>
      <c r="K1226" s="803"/>
      <c r="L1226" s="804"/>
    </row>
    <row r="1227" spans="2:12" x14ac:dyDescent="0.25">
      <c r="B1227" s="802"/>
      <c r="C1227" s="802"/>
      <c r="D1227" s="803"/>
      <c r="E1227" s="803"/>
      <c r="F1227" s="803"/>
      <c r="G1227" s="803"/>
      <c r="H1227" s="803"/>
      <c r="I1227" s="803"/>
      <c r="J1227" s="803"/>
      <c r="K1227" s="803"/>
      <c r="L1227" s="804"/>
    </row>
    <row r="1228" spans="2:12" x14ac:dyDescent="0.25">
      <c r="B1228" s="802"/>
      <c r="C1228" s="802"/>
      <c r="D1228" s="803"/>
      <c r="E1228" s="803"/>
      <c r="F1228" s="803"/>
      <c r="G1228" s="803"/>
      <c r="H1228" s="803"/>
      <c r="I1228" s="803"/>
      <c r="J1228" s="803"/>
      <c r="K1228" s="803"/>
      <c r="L1228" s="804"/>
    </row>
    <row r="1229" spans="2:12" x14ac:dyDescent="0.25">
      <c r="B1229" s="802"/>
      <c r="C1229" s="802"/>
      <c r="D1229" s="803"/>
      <c r="E1229" s="803"/>
      <c r="F1229" s="803"/>
      <c r="G1229" s="803"/>
      <c r="H1229" s="803"/>
      <c r="I1229" s="803"/>
      <c r="J1229" s="803"/>
      <c r="K1229" s="803"/>
      <c r="L1229" s="804"/>
    </row>
    <row r="1230" spans="2:12" x14ac:dyDescent="0.25">
      <c r="B1230" s="802"/>
      <c r="C1230" s="802"/>
      <c r="D1230" s="803"/>
      <c r="E1230" s="803"/>
      <c r="F1230" s="803"/>
      <c r="G1230" s="803"/>
      <c r="H1230" s="803"/>
      <c r="I1230" s="803"/>
      <c r="J1230" s="803"/>
      <c r="K1230" s="803"/>
      <c r="L1230" s="804"/>
    </row>
    <row r="1231" spans="2:12" x14ac:dyDescent="0.25">
      <c r="B1231" s="802"/>
      <c r="C1231" s="802"/>
      <c r="D1231" s="803"/>
      <c r="E1231" s="803"/>
      <c r="F1231" s="803"/>
      <c r="G1231" s="803"/>
      <c r="H1231" s="803"/>
      <c r="I1231" s="803"/>
      <c r="J1231" s="803"/>
      <c r="K1231" s="803"/>
      <c r="L1231" s="804"/>
    </row>
    <row r="1232" spans="2:12" x14ac:dyDescent="0.25">
      <c r="B1232" s="802"/>
      <c r="C1232" s="802"/>
      <c r="D1232" s="803"/>
      <c r="E1232" s="803"/>
      <c r="F1232" s="803"/>
      <c r="G1232" s="803"/>
      <c r="H1232" s="803"/>
      <c r="I1232" s="803"/>
      <c r="J1232" s="803"/>
      <c r="K1232" s="803"/>
      <c r="L1232" s="804"/>
    </row>
    <row r="1233" spans="2:12" x14ac:dyDescent="0.25">
      <c r="B1233" s="802"/>
      <c r="C1233" s="802"/>
      <c r="D1233" s="803"/>
      <c r="E1233" s="803"/>
      <c r="F1233" s="803"/>
      <c r="G1233" s="803"/>
      <c r="H1233" s="803"/>
      <c r="I1233" s="803"/>
      <c r="J1233" s="803"/>
      <c r="K1233" s="803"/>
      <c r="L1233" s="804"/>
    </row>
    <row r="1234" spans="2:12" x14ac:dyDescent="0.25">
      <c r="B1234" s="802"/>
      <c r="C1234" s="802"/>
      <c r="D1234" s="803"/>
      <c r="E1234" s="803"/>
      <c r="F1234" s="803"/>
      <c r="G1234" s="803"/>
      <c r="H1234" s="803"/>
      <c r="I1234" s="803"/>
      <c r="J1234" s="803"/>
      <c r="K1234" s="803"/>
      <c r="L1234" s="804"/>
    </row>
    <row r="1235" spans="2:12" x14ac:dyDescent="0.25">
      <c r="B1235" s="802"/>
      <c r="C1235" s="802"/>
      <c r="D1235" s="803"/>
      <c r="E1235" s="803"/>
      <c r="F1235" s="803"/>
      <c r="G1235" s="803"/>
      <c r="H1235" s="803"/>
      <c r="I1235" s="803"/>
      <c r="J1235" s="803"/>
      <c r="K1235" s="803"/>
      <c r="L1235" s="804"/>
    </row>
    <row r="1236" spans="2:12" x14ac:dyDescent="0.25">
      <c r="B1236" s="802"/>
      <c r="C1236" s="802"/>
      <c r="D1236" s="803"/>
      <c r="E1236" s="803"/>
      <c r="F1236" s="803"/>
      <c r="G1236" s="803"/>
      <c r="H1236" s="803"/>
      <c r="I1236" s="803"/>
      <c r="J1236" s="803"/>
      <c r="K1236" s="803"/>
      <c r="L1236" s="804"/>
    </row>
    <row r="1237" spans="2:12" x14ac:dyDescent="0.25">
      <c r="B1237" s="802"/>
      <c r="C1237" s="802"/>
      <c r="D1237" s="803"/>
      <c r="E1237" s="803"/>
      <c r="F1237" s="803"/>
      <c r="G1237" s="803"/>
      <c r="H1237" s="803"/>
      <c r="I1237" s="803"/>
      <c r="J1237" s="803"/>
      <c r="K1237" s="803"/>
      <c r="L1237" s="804"/>
    </row>
    <row r="1238" spans="2:12" x14ac:dyDescent="0.25">
      <c r="B1238" s="802"/>
      <c r="C1238" s="802"/>
      <c r="D1238" s="803"/>
      <c r="E1238" s="803"/>
      <c r="F1238" s="803"/>
      <c r="G1238" s="803"/>
      <c r="H1238" s="803"/>
      <c r="I1238" s="803"/>
      <c r="J1238" s="803"/>
      <c r="K1238" s="803"/>
      <c r="L1238" s="804"/>
    </row>
    <row r="1239" spans="2:12" x14ac:dyDescent="0.25">
      <c r="B1239" s="802"/>
      <c r="C1239" s="802"/>
      <c r="D1239" s="803"/>
      <c r="E1239" s="803"/>
      <c r="F1239" s="803"/>
      <c r="G1239" s="803"/>
      <c r="H1239" s="803"/>
      <c r="I1239" s="803"/>
      <c r="J1239" s="803"/>
      <c r="K1239" s="803"/>
      <c r="L1239" s="804"/>
    </row>
    <row r="1240" spans="2:12" x14ac:dyDescent="0.25">
      <c r="B1240" s="802"/>
      <c r="C1240" s="802"/>
      <c r="D1240" s="803"/>
      <c r="E1240" s="803"/>
      <c r="F1240" s="803"/>
      <c r="G1240" s="803"/>
      <c r="H1240" s="803"/>
      <c r="I1240" s="803"/>
      <c r="J1240" s="803"/>
      <c r="K1240" s="803"/>
      <c r="L1240" s="804"/>
    </row>
    <row r="1241" spans="2:12" x14ac:dyDescent="0.25">
      <c r="B1241" s="802"/>
      <c r="C1241" s="802"/>
      <c r="D1241" s="803"/>
      <c r="E1241" s="803"/>
      <c r="F1241" s="803"/>
      <c r="G1241" s="803"/>
      <c r="H1241" s="803"/>
      <c r="I1241" s="803"/>
      <c r="J1241" s="803"/>
      <c r="K1241" s="803"/>
      <c r="L1241" s="804"/>
    </row>
    <row r="1242" spans="2:12" x14ac:dyDescent="0.25">
      <c r="B1242" s="802"/>
      <c r="C1242" s="802"/>
      <c r="D1242" s="803"/>
      <c r="E1242" s="803"/>
      <c r="F1242" s="803"/>
      <c r="G1242" s="803"/>
      <c r="H1242" s="803"/>
      <c r="I1242" s="803"/>
      <c r="J1242" s="803"/>
      <c r="K1242" s="803"/>
      <c r="L1242" s="804"/>
    </row>
    <row r="1243" spans="2:12" x14ac:dyDescent="0.25">
      <c r="B1243" s="802"/>
      <c r="C1243" s="802"/>
      <c r="D1243" s="803"/>
      <c r="E1243" s="803"/>
      <c r="F1243" s="803"/>
      <c r="G1243" s="803"/>
      <c r="H1243" s="803"/>
      <c r="I1243" s="803"/>
      <c r="J1243" s="803"/>
      <c r="K1243" s="803"/>
      <c r="L1243" s="804"/>
    </row>
    <row r="1244" spans="2:12" x14ac:dyDescent="0.25">
      <c r="B1244" s="802"/>
      <c r="C1244" s="802"/>
      <c r="D1244" s="803"/>
      <c r="E1244" s="803"/>
      <c r="F1244" s="803"/>
      <c r="G1244" s="803"/>
      <c r="H1244" s="803"/>
      <c r="I1244" s="803"/>
      <c r="J1244" s="803"/>
      <c r="K1244" s="803"/>
      <c r="L1244" s="804"/>
    </row>
    <row r="1245" spans="2:12" x14ac:dyDescent="0.25">
      <c r="B1245" s="802"/>
      <c r="C1245" s="802"/>
      <c r="D1245" s="803"/>
      <c r="E1245" s="803"/>
      <c r="F1245" s="803"/>
      <c r="G1245" s="803"/>
      <c r="H1245" s="803"/>
      <c r="I1245" s="803"/>
      <c r="J1245" s="803"/>
      <c r="K1245" s="803"/>
      <c r="L1245" s="804"/>
    </row>
    <row r="1246" spans="2:12" x14ac:dyDescent="0.25">
      <c r="B1246" s="802"/>
      <c r="C1246" s="802"/>
      <c r="D1246" s="803"/>
      <c r="E1246" s="803"/>
      <c r="F1246" s="803"/>
      <c r="G1246" s="803"/>
      <c r="H1246" s="803"/>
      <c r="I1246" s="803"/>
      <c r="J1246" s="803"/>
      <c r="K1246" s="803"/>
      <c r="L1246" s="804"/>
    </row>
    <row r="1247" spans="2:12" x14ac:dyDescent="0.25">
      <c r="B1247" s="802"/>
      <c r="C1247" s="802"/>
      <c r="D1247" s="803"/>
      <c r="E1247" s="803"/>
      <c r="F1247" s="803"/>
      <c r="G1247" s="803"/>
      <c r="H1247" s="803"/>
      <c r="I1247" s="803"/>
      <c r="J1247" s="803"/>
      <c r="K1247" s="803"/>
      <c r="L1247" s="804"/>
    </row>
    <row r="1248" spans="2:12" x14ac:dyDescent="0.25">
      <c r="B1248" s="802"/>
      <c r="C1248" s="802"/>
      <c r="D1248" s="803"/>
      <c r="E1248" s="803"/>
      <c r="F1248" s="803"/>
      <c r="G1248" s="803"/>
      <c r="H1248" s="803"/>
      <c r="I1248" s="803"/>
      <c r="J1248" s="803"/>
      <c r="K1248" s="803"/>
      <c r="L1248" s="804"/>
    </row>
    <row r="1249" spans="2:12" x14ac:dyDescent="0.25">
      <c r="B1249" s="802"/>
      <c r="C1249" s="802"/>
      <c r="D1249" s="803"/>
      <c r="E1249" s="803"/>
      <c r="F1249" s="803"/>
      <c r="G1249" s="803"/>
      <c r="H1249" s="803"/>
      <c r="I1249" s="803"/>
      <c r="J1249" s="803"/>
      <c r="K1249" s="803"/>
      <c r="L1249" s="804"/>
    </row>
    <row r="1250" spans="2:12" x14ac:dyDescent="0.25">
      <c r="B1250" s="802"/>
      <c r="C1250" s="802"/>
      <c r="D1250" s="803"/>
      <c r="E1250" s="803"/>
      <c r="F1250" s="803"/>
      <c r="G1250" s="803"/>
      <c r="H1250" s="803"/>
      <c r="I1250" s="803"/>
      <c r="J1250" s="803"/>
      <c r="K1250" s="803"/>
      <c r="L1250" s="804"/>
    </row>
    <row r="1251" spans="2:12" x14ac:dyDescent="0.25">
      <c r="B1251" s="802"/>
      <c r="C1251" s="802"/>
      <c r="D1251" s="803"/>
      <c r="E1251" s="803"/>
      <c r="F1251" s="803"/>
      <c r="G1251" s="803"/>
      <c r="H1251" s="803"/>
      <c r="I1251" s="803"/>
      <c r="J1251" s="803"/>
      <c r="K1251" s="803"/>
      <c r="L1251" s="804"/>
    </row>
    <row r="1252" spans="2:12" x14ac:dyDescent="0.25">
      <c r="B1252" s="802"/>
      <c r="C1252" s="802"/>
      <c r="D1252" s="803"/>
      <c r="E1252" s="803"/>
      <c r="F1252" s="803"/>
      <c r="G1252" s="803"/>
      <c r="H1252" s="803"/>
      <c r="I1252" s="803"/>
      <c r="J1252" s="803"/>
      <c r="K1252" s="803"/>
      <c r="L1252" s="804"/>
    </row>
    <row r="1253" spans="2:12" x14ac:dyDescent="0.25">
      <c r="B1253" s="802"/>
      <c r="C1253" s="802"/>
      <c r="D1253" s="803"/>
      <c r="E1253" s="803"/>
      <c r="F1253" s="803"/>
      <c r="G1253" s="803"/>
      <c r="H1253" s="803"/>
      <c r="I1253" s="803"/>
      <c r="J1253" s="803"/>
      <c r="K1253" s="803"/>
      <c r="L1253" s="804"/>
    </row>
    <row r="1254" spans="2:12" x14ac:dyDescent="0.25">
      <c r="B1254" s="802"/>
      <c r="C1254" s="802"/>
      <c r="D1254" s="803"/>
      <c r="E1254" s="803"/>
      <c r="F1254" s="803"/>
      <c r="G1254" s="803"/>
      <c r="H1254" s="803"/>
      <c r="I1254" s="803"/>
      <c r="J1254" s="803"/>
      <c r="K1254" s="803"/>
      <c r="L1254" s="804"/>
    </row>
    <row r="1255" spans="2:12" x14ac:dyDescent="0.25">
      <c r="B1255" s="802"/>
      <c r="C1255" s="802"/>
      <c r="D1255" s="803"/>
      <c r="E1255" s="803"/>
      <c r="F1255" s="803"/>
      <c r="G1255" s="803"/>
      <c r="H1255" s="803"/>
      <c r="I1255" s="803"/>
      <c r="J1255" s="803"/>
      <c r="K1255" s="803"/>
      <c r="L1255" s="804"/>
    </row>
    <row r="1256" spans="2:12" x14ac:dyDescent="0.25">
      <c r="B1256" s="802"/>
      <c r="C1256" s="802"/>
      <c r="D1256" s="803"/>
      <c r="E1256" s="803"/>
      <c r="F1256" s="803"/>
      <c r="G1256" s="803"/>
      <c r="H1256" s="803"/>
      <c r="I1256" s="803"/>
      <c r="J1256" s="803"/>
      <c r="K1256" s="803"/>
      <c r="L1256" s="804"/>
    </row>
    <row r="1257" spans="2:12" x14ac:dyDescent="0.25">
      <c r="B1257" s="802"/>
      <c r="C1257" s="802"/>
      <c r="D1257" s="803"/>
      <c r="E1257" s="803"/>
      <c r="F1257" s="803"/>
      <c r="G1257" s="803"/>
      <c r="H1257" s="803"/>
      <c r="I1257" s="803"/>
      <c r="J1257" s="803"/>
      <c r="K1257" s="803"/>
      <c r="L1257" s="804"/>
    </row>
    <row r="1258" spans="2:12" x14ac:dyDescent="0.25">
      <c r="B1258" s="802"/>
      <c r="C1258" s="802"/>
      <c r="D1258" s="803"/>
      <c r="E1258" s="803"/>
      <c r="F1258" s="803"/>
      <c r="G1258" s="803"/>
      <c r="H1258" s="803"/>
      <c r="I1258" s="803"/>
      <c r="J1258" s="803"/>
      <c r="K1258" s="803"/>
      <c r="L1258" s="804"/>
    </row>
    <row r="1259" spans="2:12" x14ac:dyDescent="0.25">
      <c r="B1259" s="802"/>
      <c r="C1259" s="802"/>
      <c r="D1259" s="803"/>
      <c r="E1259" s="803"/>
      <c r="F1259" s="803"/>
      <c r="G1259" s="803"/>
      <c r="H1259" s="803"/>
      <c r="I1259" s="803"/>
      <c r="J1259" s="803"/>
      <c r="K1259" s="803"/>
      <c r="L1259" s="804"/>
    </row>
    <row r="1260" spans="2:12" x14ac:dyDescent="0.25">
      <c r="B1260" s="802"/>
      <c r="C1260" s="802"/>
      <c r="D1260" s="803"/>
      <c r="E1260" s="803"/>
      <c r="F1260" s="803"/>
      <c r="G1260" s="803"/>
      <c r="H1260" s="803"/>
      <c r="I1260" s="803"/>
      <c r="J1260" s="803"/>
      <c r="K1260" s="803"/>
      <c r="L1260" s="804"/>
    </row>
    <row r="1261" spans="2:12" x14ac:dyDescent="0.25">
      <c r="B1261" s="802"/>
      <c r="C1261" s="802"/>
      <c r="D1261" s="803"/>
      <c r="E1261" s="803"/>
      <c r="F1261" s="803"/>
      <c r="G1261" s="803"/>
      <c r="H1261" s="803"/>
      <c r="I1261" s="803"/>
      <c r="J1261" s="803"/>
      <c r="K1261" s="803"/>
      <c r="L1261" s="804"/>
    </row>
    <row r="1262" spans="2:12" x14ac:dyDescent="0.25">
      <c r="B1262" s="802"/>
      <c r="C1262" s="802"/>
      <c r="D1262" s="803"/>
      <c r="E1262" s="803"/>
      <c r="F1262" s="803"/>
      <c r="G1262" s="803"/>
      <c r="H1262" s="803"/>
      <c r="I1262" s="803"/>
      <c r="J1262" s="803"/>
      <c r="K1262" s="803"/>
      <c r="L1262" s="804"/>
    </row>
    <row r="1263" spans="2:12" x14ac:dyDescent="0.25">
      <c r="B1263" s="802"/>
      <c r="C1263" s="802"/>
      <c r="D1263" s="803"/>
      <c r="E1263" s="803"/>
      <c r="F1263" s="803"/>
      <c r="G1263" s="803"/>
      <c r="H1263" s="803"/>
      <c r="I1263" s="803"/>
      <c r="J1263" s="803"/>
      <c r="K1263" s="803"/>
      <c r="L1263" s="804"/>
    </row>
    <row r="1264" spans="2:12" x14ac:dyDescent="0.25">
      <c r="B1264" s="802"/>
      <c r="C1264" s="802"/>
      <c r="D1264" s="803"/>
      <c r="E1264" s="803"/>
      <c r="F1264" s="803"/>
      <c r="G1264" s="803"/>
      <c r="H1264" s="803"/>
      <c r="I1264" s="803"/>
      <c r="J1264" s="803"/>
      <c r="K1264" s="803"/>
      <c r="L1264" s="804"/>
    </row>
    <row r="1265" spans="2:12" x14ac:dyDescent="0.25">
      <c r="B1265" s="802"/>
      <c r="C1265" s="802"/>
      <c r="D1265" s="803"/>
      <c r="E1265" s="803"/>
      <c r="F1265" s="803"/>
      <c r="G1265" s="803"/>
      <c r="H1265" s="803"/>
      <c r="I1265" s="803"/>
      <c r="J1265" s="803"/>
      <c r="K1265" s="803"/>
      <c r="L1265" s="804"/>
    </row>
    <row r="1266" spans="2:12" x14ac:dyDescent="0.25">
      <c r="B1266" s="802"/>
      <c r="C1266" s="802"/>
      <c r="D1266" s="803"/>
      <c r="E1266" s="803"/>
      <c r="F1266" s="803"/>
      <c r="G1266" s="803"/>
      <c r="H1266" s="803"/>
      <c r="I1266" s="803"/>
      <c r="J1266" s="803"/>
      <c r="K1266" s="803"/>
      <c r="L1266" s="804"/>
    </row>
    <row r="1267" spans="2:12" x14ac:dyDescent="0.25">
      <c r="B1267" s="802"/>
      <c r="C1267" s="802"/>
      <c r="D1267" s="803"/>
      <c r="E1267" s="803"/>
      <c r="F1267" s="803"/>
      <c r="G1267" s="803"/>
      <c r="H1267" s="803"/>
      <c r="I1267" s="803"/>
      <c r="J1267" s="803"/>
      <c r="K1267" s="803"/>
      <c r="L1267" s="804"/>
    </row>
    <row r="1268" spans="2:12" x14ac:dyDescent="0.25">
      <c r="B1268" s="802"/>
      <c r="C1268" s="802"/>
      <c r="D1268" s="803"/>
      <c r="E1268" s="803"/>
      <c r="F1268" s="803"/>
      <c r="G1268" s="803"/>
      <c r="H1268" s="803"/>
      <c r="I1268" s="803"/>
      <c r="J1268" s="803"/>
      <c r="K1268" s="803"/>
      <c r="L1268" s="804"/>
    </row>
    <row r="1269" spans="2:12" x14ac:dyDescent="0.25">
      <c r="B1269" s="802"/>
      <c r="C1269" s="802"/>
      <c r="D1269" s="803"/>
      <c r="E1269" s="803"/>
      <c r="F1269" s="803"/>
      <c r="G1269" s="803"/>
      <c r="H1269" s="803"/>
      <c r="I1269" s="803"/>
      <c r="J1269" s="803"/>
      <c r="K1269" s="803"/>
      <c r="L1269" s="804"/>
    </row>
    <row r="1270" spans="2:12" x14ac:dyDescent="0.25">
      <c r="B1270" s="802"/>
      <c r="C1270" s="802"/>
      <c r="D1270" s="803"/>
      <c r="E1270" s="803"/>
      <c r="F1270" s="803"/>
      <c r="G1270" s="803"/>
      <c r="H1270" s="803"/>
      <c r="I1270" s="803"/>
      <c r="J1270" s="803"/>
      <c r="K1270" s="803"/>
      <c r="L1270" s="804"/>
    </row>
    <row r="1271" spans="2:12" x14ac:dyDescent="0.25">
      <c r="B1271" s="802"/>
      <c r="C1271" s="802"/>
      <c r="D1271" s="803"/>
      <c r="E1271" s="803"/>
      <c r="F1271" s="803"/>
      <c r="G1271" s="803"/>
      <c r="H1271" s="803"/>
      <c r="I1271" s="803"/>
      <c r="J1271" s="803"/>
      <c r="K1271" s="803"/>
      <c r="L1271" s="804"/>
    </row>
    <row r="1272" spans="2:12" x14ac:dyDescent="0.25">
      <c r="B1272" s="802"/>
      <c r="C1272" s="802"/>
      <c r="D1272" s="803"/>
      <c r="E1272" s="803"/>
      <c r="F1272" s="803"/>
      <c r="G1272" s="803"/>
      <c r="H1272" s="803"/>
      <c r="I1272" s="803"/>
      <c r="J1272" s="803"/>
      <c r="K1272" s="803"/>
      <c r="L1272" s="804"/>
    </row>
    <row r="1273" spans="2:12" x14ac:dyDescent="0.25">
      <c r="B1273" s="802"/>
      <c r="C1273" s="802"/>
      <c r="D1273" s="803"/>
      <c r="E1273" s="803"/>
      <c r="F1273" s="803"/>
      <c r="G1273" s="803"/>
      <c r="H1273" s="803"/>
      <c r="I1273" s="803"/>
      <c r="J1273" s="803"/>
      <c r="K1273" s="803"/>
      <c r="L1273" s="804"/>
    </row>
    <row r="1274" spans="2:12" x14ac:dyDescent="0.25">
      <c r="B1274" s="802"/>
      <c r="C1274" s="802"/>
      <c r="D1274" s="803"/>
      <c r="E1274" s="803"/>
      <c r="F1274" s="803"/>
      <c r="G1274" s="803"/>
      <c r="H1274" s="803"/>
      <c r="I1274" s="803"/>
      <c r="J1274" s="803"/>
      <c r="K1274" s="803"/>
      <c r="L1274" s="804"/>
    </row>
    <row r="1275" spans="2:12" x14ac:dyDescent="0.25">
      <c r="B1275" s="802"/>
      <c r="C1275" s="802"/>
      <c r="D1275" s="803"/>
      <c r="E1275" s="803"/>
      <c r="F1275" s="803"/>
      <c r="G1275" s="803"/>
      <c r="H1275" s="803"/>
      <c r="I1275" s="803"/>
      <c r="J1275" s="803"/>
      <c r="K1275" s="803"/>
      <c r="L1275" s="804"/>
    </row>
    <row r="1276" spans="2:12" x14ac:dyDescent="0.25">
      <c r="B1276" s="802"/>
      <c r="C1276" s="802"/>
      <c r="D1276" s="803"/>
      <c r="E1276" s="803"/>
      <c r="F1276" s="803"/>
      <c r="G1276" s="803"/>
      <c r="H1276" s="803"/>
      <c r="I1276" s="803"/>
      <c r="J1276" s="803"/>
      <c r="K1276" s="803"/>
      <c r="L1276" s="804"/>
    </row>
    <row r="1277" spans="2:12" x14ac:dyDescent="0.25">
      <c r="B1277" s="802"/>
      <c r="C1277" s="802"/>
      <c r="D1277" s="803"/>
      <c r="E1277" s="803"/>
      <c r="F1277" s="803"/>
      <c r="G1277" s="803"/>
      <c r="H1277" s="803"/>
      <c r="I1277" s="803"/>
      <c r="J1277" s="803"/>
      <c r="K1277" s="803"/>
      <c r="L1277" s="804"/>
    </row>
    <row r="1278" spans="2:12" x14ac:dyDescent="0.25">
      <c r="B1278" s="802"/>
      <c r="C1278" s="802"/>
      <c r="D1278" s="803"/>
      <c r="E1278" s="803"/>
      <c r="F1278" s="803"/>
      <c r="G1278" s="803"/>
      <c r="H1278" s="803"/>
      <c r="I1278" s="803"/>
      <c r="J1278" s="803"/>
      <c r="K1278" s="803"/>
      <c r="L1278" s="804"/>
    </row>
    <row r="1279" spans="2:12" x14ac:dyDescent="0.25">
      <c r="B1279" s="802"/>
      <c r="C1279" s="802"/>
      <c r="D1279" s="803"/>
      <c r="E1279" s="803"/>
      <c r="F1279" s="803"/>
      <c r="G1279" s="803"/>
      <c r="H1279" s="803"/>
      <c r="I1279" s="803"/>
      <c r="J1279" s="803"/>
      <c r="K1279" s="803"/>
      <c r="L1279" s="804"/>
    </row>
    <row r="1280" spans="2:12" x14ac:dyDescent="0.25">
      <c r="B1280" s="802"/>
      <c r="C1280" s="802"/>
      <c r="D1280" s="803"/>
      <c r="E1280" s="803"/>
      <c r="F1280" s="803"/>
      <c r="G1280" s="803"/>
      <c r="H1280" s="803"/>
      <c r="I1280" s="803"/>
      <c r="J1280" s="803"/>
      <c r="K1280" s="803"/>
      <c r="L1280" s="804"/>
    </row>
    <row r="1281" spans="2:12" x14ac:dyDescent="0.25">
      <c r="B1281" s="802"/>
      <c r="C1281" s="802"/>
      <c r="D1281" s="803"/>
      <c r="E1281" s="803"/>
      <c r="F1281" s="803"/>
      <c r="G1281" s="803"/>
      <c r="H1281" s="803"/>
      <c r="I1281" s="803"/>
      <c r="J1281" s="803"/>
      <c r="K1281" s="803"/>
      <c r="L1281" s="804"/>
    </row>
    <row r="1282" spans="2:12" x14ac:dyDescent="0.25">
      <c r="B1282" s="802"/>
      <c r="C1282" s="802"/>
      <c r="D1282" s="803"/>
      <c r="E1282" s="803"/>
      <c r="F1282" s="803"/>
      <c r="G1282" s="803"/>
      <c r="H1282" s="803"/>
      <c r="I1282" s="803"/>
      <c r="J1282" s="803"/>
      <c r="K1282" s="803"/>
      <c r="L1282" s="804"/>
    </row>
    <row r="1283" spans="2:12" x14ac:dyDescent="0.25">
      <c r="B1283" s="802"/>
      <c r="C1283" s="802"/>
      <c r="D1283" s="803"/>
      <c r="E1283" s="803"/>
      <c r="F1283" s="803"/>
      <c r="G1283" s="803"/>
      <c r="H1283" s="803"/>
      <c r="I1283" s="803"/>
      <c r="J1283" s="803"/>
      <c r="K1283" s="803"/>
      <c r="L1283" s="804"/>
    </row>
    <row r="1284" spans="2:12" x14ac:dyDescent="0.25">
      <c r="B1284" s="802"/>
      <c r="C1284" s="802"/>
      <c r="D1284" s="803"/>
      <c r="E1284" s="803"/>
      <c r="F1284" s="803"/>
      <c r="G1284" s="803"/>
      <c r="H1284" s="803"/>
      <c r="I1284" s="803"/>
      <c r="J1284" s="803"/>
      <c r="K1284" s="803"/>
      <c r="L1284" s="804"/>
    </row>
    <row r="1285" spans="2:12" x14ac:dyDescent="0.25">
      <c r="B1285" s="802"/>
      <c r="C1285" s="802"/>
      <c r="D1285" s="803"/>
      <c r="E1285" s="803"/>
      <c r="F1285" s="803"/>
      <c r="G1285" s="803"/>
      <c r="H1285" s="803"/>
      <c r="I1285" s="803"/>
      <c r="J1285" s="803"/>
      <c r="K1285" s="803"/>
      <c r="L1285" s="804"/>
    </row>
    <row r="1286" spans="2:12" x14ac:dyDescent="0.25">
      <c r="B1286" s="802"/>
      <c r="C1286" s="802"/>
      <c r="D1286" s="803"/>
      <c r="E1286" s="803"/>
      <c r="F1286" s="803"/>
      <c r="G1286" s="803"/>
      <c r="H1286" s="803"/>
      <c r="I1286" s="803"/>
      <c r="J1286" s="803"/>
      <c r="K1286" s="803"/>
      <c r="L1286" s="804"/>
    </row>
    <row r="1287" spans="2:12" x14ac:dyDescent="0.25">
      <c r="B1287" s="802"/>
      <c r="C1287" s="802"/>
      <c r="D1287" s="803"/>
      <c r="E1287" s="803"/>
      <c r="F1287" s="803"/>
      <c r="G1287" s="803"/>
      <c r="H1287" s="803"/>
      <c r="I1287" s="803"/>
      <c r="J1287" s="803"/>
      <c r="K1287" s="803"/>
      <c r="L1287" s="804"/>
    </row>
    <row r="1288" spans="2:12" x14ac:dyDescent="0.25">
      <c r="B1288" s="802"/>
      <c r="C1288" s="802"/>
      <c r="D1288" s="803"/>
      <c r="E1288" s="803"/>
      <c r="F1288" s="803"/>
      <c r="G1288" s="803"/>
      <c r="H1288" s="803"/>
      <c r="I1288" s="803"/>
      <c r="J1288" s="803"/>
      <c r="K1288" s="803"/>
      <c r="L1288" s="804"/>
    </row>
    <row r="1289" spans="2:12" x14ac:dyDescent="0.25">
      <c r="B1289" s="802"/>
      <c r="C1289" s="802"/>
      <c r="D1289" s="803"/>
      <c r="E1289" s="803"/>
      <c r="F1289" s="803"/>
      <c r="G1289" s="803"/>
      <c r="H1289" s="803"/>
      <c r="I1289" s="803"/>
      <c r="J1289" s="803"/>
      <c r="K1289" s="803"/>
      <c r="L1289" s="804"/>
    </row>
    <row r="1290" spans="2:12" x14ac:dyDescent="0.25">
      <c r="B1290" s="802"/>
      <c r="C1290" s="802"/>
      <c r="D1290" s="803"/>
      <c r="E1290" s="803"/>
      <c r="F1290" s="803"/>
      <c r="G1290" s="803"/>
      <c r="H1290" s="803"/>
      <c r="I1290" s="803"/>
      <c r="J1290" s="803"/>
      <c r="K1290" s="803"/>
      <c r="L1290" s="804"/>
    </row>
    <row r="1291" spans="2:12" x14ac:dyDescent="0.25">
      <c r="B1291" s="802"/>
      <c r="C1291" s="802"/>
      <c r="D1291" s="803"/>
      <c r="E1291" s="803"/>
      <c r="F1291" s="803"/>
      <c r="G1291" s="803"/>
      <c r="H1291" s="803"/>
      <c r="I1291" s="803"/>
      <c r="J1291" s="803"/>
      <c r="K1291" s="803"/>
      <c r="L1291" s="804"/>
    </row>
    <row r="1292" spans="2:12" x14ac:dyDescent="0.25">
      <c r="B1292" s="802"/>
      <c r="C1292" s="802"/>
      <c r="D1292" s="803"/>
      <c r="E1292" s="803"/>
      <c r="F1292" s="803"/>
      <c r="G1292" s="803"/>
      <c r="H1292" s="803"/>
      <c r="I1292" s="803"/>
      <c r="J1292" s="803"/>
      <c r="K1292" s="803"/>
      <c r="L1292" s="804"/>
    </row>
    <row r="1293" spans="2:12" x14ac:dyDescent="0.25">
      <c r="B1293" s="802"/>
      <c r="C1293" s="802"/>
      <c r="D1293" s="803"/>
      <c r="E1293" s="803"/>
      <c r="F1293" s="803"/>
      <c r="G1293" s="803"/>
      <c r="H1293" s="803"/>
      <c r="I1293" s="803"/>
      <c r="J1293" s="803"/>
      <c r="K1293" s="803"/>
      <c r="L1293" s="804"/>
    </row>
    <row r="1294" spans="2:12" x14ac:dyDescent="0.25">
      <c r="B1294" s="802"/>
      <c r="C1294" s="802"/>
      <c r="D1294" s="803"/>
      <c r="E1294" s="803"/>
      <c r="F1294" s="803"/>
      <c r="G1294" s="803"/>
      <c r="H1294" s="803"/>
      <c r="I1294" s="803"/>
      <c r="J1294" s="803"/>
      <c r="K1294" s="803"/>
      <c r="L1294" s="804"/>
    </row>
    <row r="1295" spans="2:12" x14ac:dyDescent="0.25">
      <c r="B1295" s="802"/>
      <c r="C1295" s="802"/>
      <c r="D1295" s="803"/>
      <c r="E1295" s="803"/>
      <c r="F1295" s="803"/>
      <c r="G1295" s="803"/>
      <c r="H1295" s="803"/>
      <c r="I1295" s="803"/>
      <c r="J1295" s="803"/>
      <c r="K1295" s="803"/>
      <c r="L1295" s="804"/>
    </row>
    <row r="1296" spans="2:12" x14ac:dyDescent="0.25">
      <c r="B1296" s="802"/>
      <c r="C1296" s="802"/>
      <c r="D1296" s="803"/>
      <c r="E1296" s="803"/>
      <c r="F1296" s="803"/>
      <c r="G1296" s="803"/>
      <c r="H1296" s="803"/>
      <c r="I1296" s="803"/>
      <c r="J1296" s="803"/>
      <c r="K1296" s="803"/>
      <c r="L1296" s="804"/>
    </row>
    <row r="1297" spans="2:12" x14ac:dyDescent="0.25">
      <c r="B1297" s="802"/>
      <c r="C1297" s="802"/>
      <c r="D1297" s="803"/>
      <c r="E1297" s="803"/>
      <c r="F1297" s="803"/>
      <c r="G1297" s="803"/>
      <c r="H1297" s="803"/>
      <c r="I1297" s="803"/>
      <c r="J1297" s="803"/>
      <c r="K1297" s="803"/>
      <c r="L1297" s="804"/>
    </row>
    <row r="1298" spans="2:12" x14ac:dyDescent="0.25">
      <c r="B1298" s="802"/>
      <c r="C1298" s="802"/>
      <c r="D1298" s="803"/>
      <c r="E1298" s="803"/>
      <c r="F1298" s="803"/>
      <c r="G1298" s="803"/>
      <c r="H1298" s="803"/>
      <c r="I1298" s="803"/>
      <c r="J1298" s="803"/>
      <c r="K1298" s="803"/>
      <c r="L1298" s="804"/>
    </row>
    <row r="1299" spans="2:12" x14ac:dyDescent="0.25">
      <c r="B1299" s="802"/>
      <c r="C1299" s="802"/>
      <c r="D1299" s="803"/>
      <c r="E1299" s="803"/>
      <c r="F1299" s="803"/>
      <c r="G1299" s="803"/>
      <c r="H1299" s="803"/>
      <c r="I1299" s="803"/>
      <c r="J1299" s="803"/>
      <c r="K1299" s="803"/>
      <c r="L1299" s="804"/>
    </row>
    <row r="1300" spans="2:12" x14ac:dyDescent="0.25">
      <c r="B1300" s="802"/>
      <c r="C1300" s="802"/>
      <c r="D1300" s="803"/>
      <c r="E1300" s="803"/>
      <c r="F1300" s="803"/>
      <c r="G1300" s="803"/>
      <c r="H1300" s="803"/>
      <c r="I1300" s="803"/>
      <c r="J1300" s="803"/>
      <c r="K1300" s="803"/>
      <c r="L1300" s="804"/>
    </row>
    <row r="1301" spans="2:12" x14ac:dyDescent="0.25">
      <c r="B1301" s="802"/>
      <c r="C1301" s="802"/>
      <c r="D1301" s="803"/>
      <c r="E1301" s="803"/>
      <c r="F1301" s="803"/>
      <c r="G1301" s="803"/>
      <c r="H1301" s="803"/>
      <c r="I1301" s="803"/>
      <c r="J1301" s="803"/>
      <c r="K1301" s="803"/>
      <c r="L1301" s="804"/>
    </row>
    <row r="1302" spans="2:12" x14ac:dyDescent="0.25">
      <c r="B1302" s="802"/>
      <c r="C1302" s="802"/>
      <c r="D1302" s="803"/>
      <c r="F1302" s="803"/>
      <c r="G1302" s="803"/>
      <c r="H1302" s="803"/>
      <c r="I1302" s="803"/>
      <c r="J1302" s="803"/>
      <c r="K1302" s="803"/>
      <c r="L1302" s="804"/>
    </row>
    <row r="1303" spans="2:12" x14ac:dyDescent="0.25">
      <c r="G1303" s="803"/>
      <c r="H1303" s="803"/>
      <c r="I1303" s="803"/>
      <c r="J1303" s="803"/>
      <c r="K1303" s="803"/>
      <c r="L1303" s="804"/>
    </row>
    <row r="1304" spans="2:12" x14ac:dyDescent="0.25">
      <c r="G1304" s="803"/>
      <c r="H1304" s="803"/>
      <c r="I1304" s="803"/>
      <c r="J1304" s="803"/>
      <c r="K1304" s="803"/>
      <c r="L1304" s="804"/>
    </row>
    <row r="1305" spans="2:12" x14ac:dyDescent="0.25">
      <c r="G1305" s="803"/>
      <c r="H1305" s="803"/>
      <c r="I1305" s="803"/>
      <c r="J1305" s="803"/>
      <c r="K1305" s="803"/>
      <c r="L1305" s="804"/>
    </row>
    <row r="1306" spans="2:12" x14ac:dyDescent="0.25">
      <c r="G1306" s="803"/>
      <c r="H1306" s="803"/>
      <c r="I1306" s="803"/>
      <c r="J1306" s="803"/>
      <c r="K1306" s="803"/>
      <c r="L1306" s="804"/>
    </row>
    <row r="1307" spans="2:12" x14ac:dyDescent="0.25">
      <c r="G1307" s="803"/>
      <c r="H1307" s="803"/>
      <c r="I1307" s="803"/>
      <c r="J1307" s="803"/>
      <c r="K1307" s="803"/>
      <c r="L1307" s="804"/>
    </row>
    <row r="1308" spans="2:12" x14ac:dyDescent="0.25">
      <c r="G1308" s="803"/>
      <c r="H1308" s="803"/>
      <c r="I1308" s="803"/>
      <c r="J1308" s="803"/>
      <c r="K1308" s="803"/>
      <c r="L1308" s="804"/>
    </row>
    <row r="1309" spans="2:12" x14ac:dyDescent="0.25">
      <c r="G1309" s="803"/>
      <c r="H1309" s="803"/>
      <c r="I1309" s="803"/>
      <c r="J1309" s="803"/>
      <c r="K1309" s="803"/>
      <c r="L1309" s="804"/>
    </row>
    <row r="1310" spans="2:12" x14ac:dyDescent="0.25">
      <c r="G1310" s="803"/>
      <c r="H1310" s="803"/>
      <c r="I1310" s="803"/>
      <c r="J1310" s="803"/>
      <c r="K1310" s="803"/>
      <c r="L1310" s="804"/>
    </row>
    <row r="1311" spans="2:12" x14ac:dyDescent="0.25">
      <c r="G1311" s="803"/>
      <c r="H1311" s="803"/>
      <c r="I1311" s="803"/>
      <c r="J1311" s="803"/>
      <c r="K1311" s="803"/>
      <c r="L1311" s="804"/>
    </row>
    <row r="1312" spans="2:12" x14ac:dyDescent="0.25">
      <c r="G1312" s="803"/>
      <c r="H1312" s="803"/>
      <c r="I1312" s="803"/>
      <c r="J1312" s="803"/>
      <c r="K1312" s="803"/>
      <c r="L1312" s="804"/>
    </row>
    <row r="1313" spans="7:12" x14ac:dyDescent="0.25">
      <c r="G1313" s="803"/>
      <c r="H1313" s="803"/>
      <c r="I1313" s="803"/>
      <c r="J1313" s="803"/>
      <c r="K1313" s="803"/>
      <c r="L1313" s="804"/>
    </row>
  </sheetData>
  <mergeCells count="8">
    <mergeCell ref="B68:C69"/>
    <mergeCell ref="B72:C72"/>
    <mergeCell ref="F15:F26"/>
    <mergeCell ref="F5:F9"/>
    <mergeCell ref="B3:D3"/>
    <mergeCell ref="H30:M61"/>
    <mergeCell ref="B27:D27"/>
    <mergeCell ref="I14:I15"/>
  </mergeCells>
  <hyperlinks>
    <hyperlink ref="H29"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G2" sqref="G2"/>
    </sheetView>
  </sheetViews>
  <sheetFormatPr defaultRowHeight="14.25" x14ac:dyDescent="0.2"/>
  <cols>
    <col min="2" max="2" width="13.25" customWidth="1"/>
    <col min="3" max="3" width="12.5" customWidth="1"/>
    <col min="4" max="4" width="13" style="6" customWidth="1"/>
    <col min="5" max="5" width="14.625" style="6" customWidth="1"/>
    <col min="6" max="6" width="4.625" style="6" customWidth="1"/>
    <col min="7" max="7" width="58.25" customWidth="1"/>
    <col min="8" max="8" width="25.875" customWidth="1"/>
  </cols>
  <sheetData>
    <row r="1" spans="1:15" x14ac:dyDescent="0.2">
      <c r="A1" s="34"/>
      <c r="B1" s="34"/>
      <c r="C1" s="34"/>
      <c r="D1" s="34"/>
      <c r="E1" s="34"/>
      <c r="F1" s="34"/>
      <c r="G1" s="34"/>
      <c r="H1" s="34"/>
      <c r="I1" s="34"/>
      <c r="J1" s="34"/>
      <c r="K1" s="34"/>
      <c r="L1" s="34"/>
      <c r="M1" s="34"/>
      <c r="N1" s="34"/>
      <c r="O1" s="34"/>
    </row>
    <row r="2" spans="1:15" s="6" customFormat="1" ht="33.75" customHeight="1" x14ac:dyDescent="0.2">
      <c r="A2" s="34"/>
      <c r="B2" s="1105" t="str">
        <f>S.General.RulemakingTitle</f>
        <v>Caption</v>
      </c>
      <c r="C2" s="1105"/>
      <c r="D2" s="1105"/>
      <c r="E2" s="1105"/>
      <c r="F2" s="34"/>
      <c r="G2" s="900">
        <f ca="1">TODAY()</f>
        <v>42009</v>
      </c>
      <c r="H2" s="34"/>
      <c r="I2" s="34"/>
      <c r="J2" s="34"/>
      <c r="K2" s="34"/>
      <c r="L2" s="34"/>
      <c r="M2" s="34"/>
      <c r="N2" s="34"/>
      <c r="O2" s="34"/>
    </row>
    <row r="3" spans="1:15" s="6" customFormat="1" ht="33.75" customHeight="1" x14ac:dyDescent="0.25">
      <c r="A3" s="34"/>
      <c r="B3" s="564" t="s">
        <v>88</v>
      </c>
      <c r="C3" s="560"/>
      <c r="D3" s="560"/>
      <c r="E3" s="34"/>
      <c r="F3" s="34"/>
      <c r="G3" s="338"/>
      <c r="H3" s="34"/>
      <c r="I3" s="34"/>
      <c r="J3" s="34"/>
      <c r="K3" s="34"/>
      <c r="L3" s="34"/>
      <c r="M3" s="34"/>
      <c r="N3" s="34"/>
      <c r="O3" s="34"/>
    </row>
    <row r="4" spans="1:15" ht="18.75" thickBot="1" x14ac:dyDescent="0.3">
      <c r="A4" s="34"/>
      <c r="B4" s="10"/>
      <c r="C4" s="557"/>
      <c r="D4" s="557"/>
      <c r="E4" s="1102" t="s">
        <v>47</v>
      </c>
      <c r="F4" s="34"/>
      <c r="G4" s="287" t="s">
        <v>89</v>
      </c>
      <c r="H4" s="34"/>
      <c r="I4" s="34"/>
      <c r="J4" s="34"/>
      <c r="K4" s="34"/>
      <c r="L4" s="34"/>
      <c r="M4" s="34"/>
      <c r="N4" s="34"/>
      <c r="O4" s="34"/>
    </row>
    <row r="5" spans="1:15" s="6" customFormat="1" ht="18.75" thickBot="1" x14ac:dyDescent="0.3">
      <c r="A5" s="34"/>
      <c r="B5" s="565" t="s">
        <v>366</v>
      </c>
      <c r="C5" s="565" t="s">
        <v>315</v>
      </c>
      <c r="D5" s="565" t="s">
        <v>316</v>
      </c>
      <c r="E5" s="1103"/>
      <c r="F5" s="34"/>
      <c r="G5" s="558"/>
      <c r="H5" s="34"/>
      <c r="I5" s="34"/>
      <c r="J5" s="34"/>
      <c r="K5" s="34"/>
      <c r="L5" s="34"/>
      <c r="M5" s="34"/>
      <c r="N5" s="34"/>
      <c r="O5" s="34"/>
    </row>
    <row r="6" spans="1:15" ht="15" thickTop="1" x14ac:dyDescent="0.2">
      <c r="A6" s="34"/>
      <c r="B6" s="285" t="str">
        <f>S.Hearing.1stCity</f>
        <v>Portland</v>
      </c>
      <c r="C6" s="561">
        <f>S.Hearing.1stDate</f>
        <v>42201</v>
      </c>
      <c r="D6" s="563" t="str">
        <f>S.Hearing.1stTime</f>
        <v>6 p.m.</v>
      </c>
      <c r="E6" s="563" t="str">
        <f>S.Hearing.1stTime</f>
        <v>6 p.m.</v>
      </c>
      <c r="F6" s="34"/>
      <c r="G6" s="322"/>
      <c r="H6" s="34"/>
      <c r="I6" s="34"/>
      <c r="J6" s="34"/>
      <c r="K6" s="34"/>
      <c r="L6" s="34"/>
      <c r="M6" s="34"/>
      <c r="N6" s="34"/>
      <c r="O6" s="34"/>
    </row>
    <row r="7" spans="1:15" x14ac:dyDescent="0.2">
      <c r="A7" s="34"/>
      <c r="B7" s="285" t="str">
        <f>IF(S.Hearing.2ndInvolve="N","-blank -",S.Hearing.2ndCity)</f>
        <v>-blank -</v>
      </c>
      <c r="C7" s="562" t="str">
        <f>IF(S.Hearing.2ndInvolve="N","-blank -",S.Hearing.2ndDate)</f>
        <v>-blank -</v>
      </c>
      <c r="D7" s="562" t="str">
        <f>IF(S.Hearing.2ndInvolve="N","-blank -",S.Hearing.2ndTime)</f>
        <v>-blank -</v>
      </c>
      <c r="E7" s="562" t="str">
        <f>IF(S.Hearing.2ndInvolve="N","-blank -","DEQ Staff")</f>
        <v>-blank -</v>
      </c>
      <c r="F7" s="34"/>
      <c r="G7" s="322"/>
      <c r="H7" s="34"/>
      <c r="I7" s="34"/>
      <c r="J7" s="34"/>
      <c r="K7" s="34"/>
      <c r="L7" s="34"/>
      <c r="M7" s="34"/>
      <c r="N7" s="34"/>
      <c r="O7" s="34"/>
    </row>
    <row r="8" spans="1:15" x14ac:dyDescent="0.2">
      <c r="A8" s="34"/>
      <c r="B8" s="285" t="str">
        <f>IF(S.Hearing.3rdInvolve="N","-blank -",S.Hearing.3rdCity)</f>
        <v>-blank -</v>
      </c>
      <c r="C8" s="562" t="str">
        <f>IF(S.Hearing.3rdInvolve="N","-blank -",S.Hearing.3rdDate)</f>
        <v>-blank -</v>
      </c>
      <c r="D8" s="562" t="str">
        <f>IF(S.Hearing.3rdInvolve="N","-blank -",S.Hearing.3rdTime)</f>
        <v>-blank -</v>
      </c>
      <c r="E8" s="562" t="str">
        <f>IF(S.Hearing.3rdInvolve="N","-blank -","DEQ staff")</f>
        <v>-blank -</v>
      </c>
      <c r="F8" s="34"/>
      <c r="G8" s="322"/>
      <c r="H8" s="34"/>
      <c r="I8" s="34"/>
      <c r="J8" s="34"/>
      <c r="K8" s="34"/>
      <c r="L8" s="34"/>
      <c r="M8" s="34"/>
      <c r="N8" s="34"/>
      <c r="O8" s="34"/>
    </row>
    <row r="9" spans="1:15" x14ac:dyDescent="0.2">
      <c r="A9" s="34"/>
      <c r="B9" s="285" t="str">
        <f>IF(S.Hearing.4thInvolve="N","-blank -",S.Hearing.4thCity)</f>
        <v>-blank -</v>
      </c>
      <c r="C9" s="562" t="str">
        <f>IF(S.Hearing.4thInvolve="N","-blank -",S.Hearing.4thDate)</f>
        <v>-blank -</v>
      </c>
      <c r="D9" s="562" t="str">
        <f>IF(S.Hearing.4thInvolve="N","-blank -",S.Hearing.4thTime)</f>
        <v>-blank -</v>
      </c>
      <c r="E9" s="562" t="str">
        <f>IF(S.Hearing.4thInvolve="N","-blank -","DEQ staff")</f>
        <v>-blank -</v>
      </c>
      <c r="F9" s="34"/>
      <c r="G9" s="322"/>
      <c r="H9" s="34"/>
      <c r="I9" s="34"/>
      <c r="J9" s="34"/>
      <c r="K9" s="34"/>
      <c r="L9" s="34"/>
      <c r="M9" s="34"/>
      <c r="N9" s="34"/>
      <c r="O9" s="34"/>
    </row>
    <row r="10" spans="1:15" x14ac:dyDescent="0.2">
      <c r="A10" s="34"/>
      <c r="B10" s="285" t="str">
        <f>IF(S.Hearing.5thInvolve="N","-blank -",S.Hearing.5thCity)</f>
        <v>-blank -</v>
      </c>
      <c r="C10" s="562" t="str">
        <f>IF(S.Hearing.5thInvolve="N","-blank -",S.Hearing.5thDate)</f>
        <v>-blank -</v>
      </c>
      <c r="D10" s="562" t="str">
        <f>IF(S.Hearing.5thInvolve="N","-blank -",S.Hearing.5thTime)</f>
        <v>-blank -</v>
      </c>
      <c r="E10" s="562" t="str">
        <f>IF(S.Hearing.5thInvolve="N","-blank -","DEQ Staff")</f>
        <v>-blank -</v>
      </c>
      <c r="F10" s="34"/>
      <c r="G10" s="322"/>
      <c r="H10" s="34"/>
      <c r="I10" s="34"/>
      <c r="J10" s="34"/>
      <c r="K10" s="34"/>
      <c r="L10" s="34"/>
      <c r="M10" s="34"/>
      <c r="N10" s="34"/>
      <c r="O10" s="34"/>
    </row>
    <row r="11" spans="1:15" x14ac:dyDescent="0.2">
      <c r="A11" s="34"/>
      <c r="B11" s="285" t="str">
        <f>IF(S.Hearing.6thInvolve="N","-blank -",S.Hearing.6thCity)</f>
        <v>-blank -</v>
      </c>
      <c r="C11" s="562" t="str">
        <f>IF(S.Hearing.6thInvolve="N","-blank -",S.Hearing.6thDate)</f>
        <v>-blank -</v>
      </c>
      <c r="D11" s="562" t="str">
        <f>IF(S.Hearing.6thInvolve="N","-blank -",S.Hearing.6thTime)</f>
        <v>-blank -</v>
      </c>
      <c r="E11" s="562" t="str">
        <f>IF(S.Hearing.6thInvolve="N","-blank -","DEQ Staff")</f>
        <v>-blank -</v>
      </c>
      <c r="F11" s="34"/>
      <c r="G11" s="322"/>
      <c r="H11" s="34"/>
      <c r="I11" s="34"/>
      <c r="J11" s="34"/>
      <c r="K11" s="34"/>
      <c r="L11" s="34"/>
      <c r="M11" s="34"/>
      <c r="N11" s="34"/>
      <c r="O11" s="34"/>
    </row>
    <row r="12" spans="1:15" x14ac:dyDescent="0.2">
      <c r="A12" s="34"/>
      <c r="B12" s="285" t="str">
        <f>IF(S.Hearing.7thInvolve="N","-blank -",S.Hearing.7thCity)</f>
        <v>-blank -</v>
      </c>
      <c r="C12" s="562" t="str">
        <f>IF(S.Hearing.7thInvolve="N","-blank -",S.Hearing.7thDate)</f>
        <v>-blank -</v>
      </c>
      <c r="D12" s="562" t="str">
        <f>IF(S.Hearing.7thInvolve="N","-blank -",S.Hearing.7thTime)</f>
        <v>-blank -</v>
      </c>
      <c r="E12" s="562" t="str">
        <f>IF(S.Hearing.7thInvolve="N","-blank -","DEQ staff")</f>
        <v>-blank -</v>
      </c>
      <c r="F12" s="34"/>
      <c r="G12" s="322"/>
      <c r="H12" s="34"/>
      <c r="I12" s="34"/>
      <c r="J12" s="34"/>
      <c r="K12" s="34"/>
      <c r="L12" s="34"/>
      <c r="M12" s="34"/>
      <c r="N12" s="34"/>
      <c r="O12" s="34"/>
    </row>
    <row r="13" spans="1:15" x14ac:dyDescent="0.2">
      <c r="A13" s="34"/>
      <c r="B13" s="285" t="str">
        <f>IF(S.Hearing.8thtInvolve="N","-blank -",S.Hearing.8thCity)</f>
        <v>-blank -</v>
      </c>
      <c r="C13" s="562" t="str">
        <f>IF(S.Hearing.8thtInvolve="N","-blank -",S.Hearing.8thDate)</f>
        <v>-blank -</v>
      </c>
      <c r="D13" s="562" t="str">
        <f>IF(S.Hearing.8thtInvolve="N","-blank -",S.Hearing.8thTime)</f>
        <v>-blank -</v>
      </c>
      <c r="E13" s="562" t="str">
        <f>IF(S.Hearing.8thtInvolve="N","-blank -","DEQ Staff")</f>
        <v>-blank -</v>
      </c>
      <c r="F13" s="34"/>
      <c r="G13" s="322"/>
      <c r="H13" s="34"/>
      <c r="I13" s="34"/>
      <c r="J13" s="34"/>
      <c r="K13" s="34"/>
      <c r="L13" s="34"/>
      <c r="M13" s="34"/>
      <c r="N13" s="34"/>
      <c r="O13" s="34"/>
    </row>
    <row r="14" spans="1:15" x14ac:dyDescent="0.2">
      <c r="A14" s="34"/>
      <c r="B14" s="285"/>
      <c r="C14" s="285"/>
      <c r="D14" s="285"/>
      <c r="E14" s="34"/>
      <c r="F14" s="34"/>
      <c r="G14" s="288"/>
      <c r="H14" s="34"/>
      <c r="I14" s="34"/>
      <c r="J14" s="34"/>
      <c r="K14" s="34"/>
      <c r="L14" s="34"/>
      <c r="M14" s="34"/>
      <c r="N14" s="34"/>
      <c r="O14" s="34"/>
    </row>
    <row r="15" spans="1:15" x14ac:dyDescent="0.2">
      <c r="A15" s="34"/>
      <c r="B15" s="285"/>
      <c r="C15" s="285"/>
      <c r="D15" s="285"/>
      <c r="E15" s="34"/>
      <c r="F15" s="34"/>
      <c r="G15" s="288"/>
      <c r="H15" s="34"/>
      <c r="I15" s="34"/>
      <c r="J15" s="34"/>
      <c r="K15" s="34"/>
      <c r="L15" s="34"/>
      <c r="M15" s="34"/>
      <c r="N15" s="34"/>
      <c r="O15" s="34"/>
    </row>
    <row r="16" spans="1:15" x14ac:dyDescent="0.2">
      <c r="A16" s="34"/>
      <c r="B16" s="285"/>
      <c r="C16" s="285"/>
      <c r="D16" s="285"/>
      <c r="E16" s="34"/>
      <c r="F16" s="34"/>
      <c r="G16" s="288"/>
      <c r="H16" s="34"/>
      <c r="I16" s="34"/>
      <c r="J16" s="34"/>
      <c r="K16" s="34"/>
      <c r="L16" s="34"/>
      <c r="M16" s="34"/>
      <c r="N16" s="34"/>
      <c r="O16" s="34"/>
    </row>
    <row r="17" spans="1:15" ht="18.75" thickBot="1" x14ac:dyDescent="0.3">
      <c r="A17" s="34"/>
      <c r="B17" s="1104" t="s">
        <v>87</v>
      </c>
      <c r="C17" s="1104"/>
      <c r="D17" s="558"/>
      <c r="E17" s="34"/>
      <c r="F17" s="34"/>
      <c r="G17" s="288"/>
      <c r="H17" s="34"/>
      <c r="I17" s="34"/>
      <c r="J17" s="34"/>
      <c r="K17" s="34"/>
      <c r="L17" s="34"/>
      <c r="M17" s="34"/>
      <c r="N17" s="34"/>
      <c r="O17" s="34"/>
    </row>
    <row r="18" spans="1:15" x14ac:dyDescent="0.2">
      <c r="A18" s="34"/>
      <c r="B18" s="285" t="str">
        <f>S.Notice.AD.PubID1</f>
        <v>NOTICE.AD1Oregonian</v>
      </c>
      <c r="C18" s="561">
        <f>S.Notice.AD.PubDate1</f>
        <v>42171</v>
      </c>
      <c r="D18" s="286"/>
      <c r="E18" s="34"/>
      <c r="F18" s="34"/>
      <c r="G18" s="322"/>
      <c r="H18" s="34"/>
      <c r="I18" s="34"/>
      <c r="J18" s="34"/>
      <c r="K18" s="34"/>
      <c r="L18" s="34"/>
      <c r="M18" s="34"/>
      <c r="N18" s="34"/>
      <c r="O18" s="34"/>
    </row>
    <row r="19" spans="1:15" x14ac:dyDescent="0.2">
      <c r="A19" s="34"/>
      <c r="B19" s="285" t="str">
        <f>S.Notice.AD.PubID2</f>
        <v>NOTICE.AD2None</v>
      </c>
      <c r="C19" s="561">
        <f>S.Notice.AD.PubDate2</f>
        <v>42171</v>
      </c>
      <c r="D19" s="286"/>
      <c r="E19" s="34"/>
      <c r="F19" s="34"/>
      <c r="G19" s="322"/>
      <c r="H19" s="34"/>
      <c r="I19" s="34"/>
      <c r="J19" s="34"/>
      <c r="K19" s="34"/>
      <c r="L19" s="34"/>
      <c r="M19" s="34"/>
      <c r="N19" s="34"/>
      <c r="O19" s="34"/>
    </row>
    <row r="20" spans="1:15" x14ac:dyDescent="0.2">
      <c r="A20" s="34"/>
      <c r="B20" s="285" t="str">
        <f>S.Notice.AD.PubID3</f>
        <v>NOTICE.AD3None</v>
      </c>
      <c r="C20" s="561">
        <f>S.Notice.AD.PubDate3</f>
        <v>42171</v>
      </c>
      <c r="D20" s="286"/>
      <c r="E20" s="34"/>
      <c r="F20" s="34"/>
      <c r="G20" s="322"/>
      <c r="H20" s="34"/>
      <c r="I20" s="34"/>
      <c r="J20" s="34"/>
      <c r="K20" s="34"/>
      <c r="L20" s="34"/>
      <c r="M20" s="34"/>
      <c r="N20" s="34"/>
      <c r="O20" s="34"/>
    </row>
    <row r="21" spans="1:15" x14ac:dyDescent="0.2">
      <c r="A21" s="34"/>
      <c r="B21" s="285" t="str">
        <f>S.Notice.AD.PubID4</f>
        <v>NOTICE.AD4None</v>
      </c>
      <c r="C21" s="561">
        <f>S.Notice.AD.PubDate4</f>
        <v>42171</v>
      </c>
      <c r="D21" s="286"/>
      <c r="E21" s="34"/>
      <c r="F21" s="34"/>
      <c r="G21" s="322"/>
      <c r="H21" s="34"/>
      <c r="I21" s="34"/>
      <c r="J21" s="34"/>
      <c r="K21" s="34"/>
      <c r="L21" s="34"/>
      <c r="M21" s="34"/>
      <c r="N21" s="34"/>
      <c r="O21" s="34"/>
    </row>
    <row r="22" spans="1:15" x14ac:dyDescent="0.2">
      <c r="A22" s="34"/>
      <c r="B22" s="285" t="str">
        <f>S.Notice.AD.PubID5</f>
        <v>NOTICE.AD5None</v>
      </c>
      <c r="C22" s="561">
        <f>S.Notice.AD.PubDate5</f>
        <v>42171</v>
      </c>
      <c r="D22" s="286"/>
      <c r="E22" s="34"/>
      <c r="F22" s="34"/>
      <c r="G22" s="322"/>
      <c r="H22" s="34"/>
      <c r="I22" s="34"/>
      <c r="J22" s="34"/>
      <c r="K22" s="34"/>
      <c r="L22" s="34"/>
      <c r="M22" s="34"/>
      <c r="N22" s="34"/>
      <c r="O22" s="34"/>
    </row>
    <row r="23" spans="1:15" x14ac:dyDescent="0.2">
      <c r="A23" s="34"/>
      <c r="B23" s="285" t="str">
        <f>S.Notice.AD.PubID6</f>
        <v>NOTICE.AD6None</v>
      </c>
      <c r="C23" s="561">
        <f>S.Notice.AD.PubDate6</f>
        <v>42171</v>
      </c>
      <c r="D23" s="286"/>
      <c r="E23" s="34"/>
      <c r="F23" s="34"/>
      <c r="G23" s="322"/>
      <c r="H23" s="34"/>
      <c r="I23" s="34"/>
      <c r="J23" s="34"/>
      <c r="K23" s="34"/>
      <c r="L23" s="34"/>
      <c r="M23" s="34"/>
      <c r="N23" s="34"/>
      <c r="O23" s="34"/>
    </row>
    <row r="24" spans="1:15" x14ac:dyDescent="0.2">
      <c r="A24" s="34"/>
      <c r="B24" s="285" t="str">
        <f>S.Notice.AD.PubID7</f>
        <v>NOTICE.AD7None</v>
      </c>
      <c r="C24" s="561">
        <f>S.Notice.AD.PubDate7</f>
        <v>42171</v>
      </c>
      <c r="D24" s="286"/>
      <c r="E24" s="34"/>
      <c r="F24" s="34"/>
      <c r="G24" s="322"/>
      <c r="H24" s="34"/>
      <c r="I24" s="34"/>
      <c r="J24" s="34"/>
      <c r="K24" s="34"/>
      <c r="L24" s="34"/>
      <c r="M24" s="34"/>
      <c r="N24" s="34"/>
      <c r="O24" s="34"/>
    </row>
    <row r="25" spans="1:15" x14ac:dyDescent="0.2">
      <c r="A25" s="34"/>
      <c r="B25" s="285" t="str">
        <f>S.Notice.AD.PubID8</f>
        <v>NOTICE.AD8None</v>
      </c>
      <c r="C25" s="561">
        <f>S.Notice.AD.PubDate8</f>
        <v>42171</v>
      </c>
      <c r="D25" s="286"/>
      <c r="E25" s="34"/>
      <c r="F25" s="34"/>
      <c r="G25" s="322"/>
      <c r="H25" s="34"/>
      <c r="I25" s="34"/>
      <c r="J25" s="34"/>
      <c r="K25" s="34"/>
      <c r="L25" s="34"/>
      <c r="M25" s="34"/>
      <c r="N25" s="34"/>
      <c r="O25" s="34"/>
    </row>
    <row r="26" spans="1:15" x14ac:dyDescent="0.2">
      <c r="A26" s="34"/>
      <c r="B26" s="34"/>
      <c r="C26" s="34"/>
      <c r="D26" s="34"/>
      <c r="E26" s="34"/>
      <c r="F26" s="34"/>
      <c r="G26" s="34"/>
      <c r="H26" s="34"/>
      <c r="I26" s="34"/>
      <c r="J26" s="34"/>
      <c r="K26" s="34"/>
      <c r="L26" s="34"/>
      <c r="M26" s="34"/>
      <c r="N26" s="34"/>
      <c r="O26" s="34"/>
    </row>
    <row r="27" spans="1:15" x14ac:dyDescent="0.2">
      <c r="A27" s="34"/>
      <c r="B27" s="34"/>
      <c r="C27" s="34"/>
      <c r="D27" s="34"/>
      <c r="E27" s="34"/>
      <c r="F27" s="34"/>
      <c r="G27" s="34"/>
      <c r="H27" s="34"/>
      <c r="I27" s="34"/>
      <c r="J27" s="34"/>
      <c r="K27" s="34"/>
      <c r="L27" s="34"/>
      <c r="M27" s="34"/>
      <c r="N27" s="34"/>
      <c r="O27" s="34"/>
    </row>
    <row r="28" spans="1:15" x14ac:dyDescent="0.2">
      <c r="A28" s="34"/>
      <c r="B28" s="34"/>
      <c r="C28" s="34"/>
      <c r="D28" s="34"/>
      <c r="E28" s="34"/>
      <c r="F28" s="34"/>
      <c r="G28" s="34"/>
      <c r="H28" s="34"/>
      <c r="I28" s="34"/>
      <c r="J28" s="34"/>
      <c r="K28" s="34"/>
      <c r="L28" s="34"/>
      <c r="M28" s="34"/>
      <c r="N28" s="34"/>
      <c r="O28" s="34"/>
    </row>
    <row r="29" spans="1:15" x14ac:dyDescent="0.2">
      <c r="A29" s="34"/>
      <c r="B29" s="34"/>
      <c r="C29" s="34"/>
      <c r="D29" s="34"/>
      <c r="E29" s="34"/>
      <c r="F29" s="34"/>
      <c r="G29" s="34"/>
      <c r="H29" s="34"/>
      <c r="I29" s="34"/>
      <c r="J29" s="34"/>
      <c r="K29" s="34"/>
      <c r="L29" s="34"/>
      <c r="M29" s="34"/>
      <c r="N29" s="34"/>
      <c r="O29" s="34"/>
    </row>
    <row r="30" spans="1:15" x14ac:dyDescent="0.2">
      <c r="A30" s="34"/>
      <c r="B30" s="34"/>
      <c r="C30" s="34"/>
      <c r="D30" s="34"/>
      <c r="E30" s="34"/>
      <c r="F30" s="34"/>
      <c r="G30" s="34"/>
      <c r="H30" s="34"/>
      <c r="I30" s="34"/>
      <c r="J30" s="34"/>
      <c r="K30" s="34"/>
      <c r="L30" s="34"/>
      <c r="M30" s="34"/>
      <c r="N30" s="34"/>
      <c r="O30" s="34"/>
    </row>
    <row r="31" spans="1:15" x14ac:dyDescent="0.2">
      <c r="A31" s="34"/>
      <c r="B31" s="34"/>
      <c r="C31" s="34"/>
      <c r="D31" s="34"/>
      <c r="E31" s="34"/>
      <c r="F31" s="34"/>
      <c r="G31" s="34"/>
      <c r="H31" s="34"/>
      <c r="I31" s="34"/>
      <c r="J31" s="34"/>
      <c r="K31" s="34"/>
      <c r="L31" s="34"/>
      <c r="M31" s="34"/>
      <c r="N31" s="34"/>
      <c r="O31" s="34"/>
    </row>
    <row r="32" spans="1:15" x14ac:dyDescent="0.2">
      <c r="A32" s="34"/>
      <c r="B32" s="34"/>
      <c r="C32" s="34"/>
      <c r="D32" s="34"/>
      <c r="E32" s="34"/>
      <c r="F32" s="34"/>
      <c r="G32" s="34"/>
      <c r="H32" s="34"/>
      <c r="I32" s="34"/>
      <c r="J32" s="34"/>
      <c r="K32" s="34"/>
      <c r="L32" s="34"/>
      <c r="M32" s="34"/>
      <c r="N32" s="34"/>
      <c r="O32" s="34"/>
    </row>
    <row r="33" spans="1:15" x14ac:dyDescent="0.2">
      <c r="A33" s="34"/>
      <c r="B33" s="34"/>
      <c r="C33" s="34"/>
      <c r="D33" s="34"/>
      <c r="E33" s="34"/>
      <c r="F33" s="34"/>
      <c r="G33" s="34"/>
      <c r="H33" s="34"/>
      <c r="I33" s="34"/>
      <c r="J33" s="34"/>
      <c r="K33" s="34"/>
      <c r="L33" s="34"/>
      <c r="M33" s="34"/>
      <c r="N33" s="34"/>
      <c r="O33" s="34"/>
    </row>
    <row r="34" spans="1:15" x14ac:dyDescent="0.2">
      <c r="A34" s="34"/>
      <c r="B34" s="34"/>
      <c r="C34" s="34"/>
      <c r="D34" s="34"/>
      <c r="E34" s="34"/>
      <c r="F34" s="34"/>
      <c r="G34" s="34"/>
      <c r="H34" s="34"/>
      <c r="I34" s="34"/>
      <c r="J34" s="34"/>
      <c r="K34" s="34"/>
      <c r="L34" s="34"/>
      <c r="M34" s="34"/>
      <c r="N34" s="34"/>
      <c r="O34" s="34"/>
    </row>
    <row r="35" spans="1:15" x14ac:dyDescent="0.2">
      <c r="A35" s="34"/>
      <c r="B35" s="34"/>
      <c r="C35" s="34"/>
      <c r="D35" s="34"/>
      <c r="E35" s="34"/>
      <c r="F35" s="34"/>
      <c r="G35" s="34"/>
      <c r="H35" s="34"/>
      <c r="I35" s="34"/>
      <c r="J35" s="34"/>
      <c r="K35" s="34"/>
      <c r="L35" s="34"/>
      <c r="M35" s="34"/>
      <c r="N35" s="34"/>
      <c r="O35" s="34"/>
    </row>
    <row r="36" spans="1:15" x14ac:dyDescent="0.2">
      <c r="A36" s="34"/>
      <c r="B36" s="34"/>
      <c r="C36" s="34"/>
      <c r="D36" s="34"/>
      <c r="E36" s="34"/>
      <c r="F36" s="34"/>
      <c r="G36" s="34"/>
      <c r="H36" s="34"/>
      <c r="I36" s="34"/>
      <c r="J36" s="34"/>
      <c r="K36" s="34"/>
      <c r="L36" s="34"/>
      <c r="M36" s="34"/>
      <c r="N36" s="34"/>
      <c r="O36" s="34"/>
    </row>
    <row r="37" spans="1:15" x14ac:dyDescent="0.2">
      <c r="A37" s="34"/>
      <c r="B37" s="34"/>
      <c r="C37" s="34"/>
      <c r="D37" s="34"/>
      <c r="E37" s="34"/>
      <c r="F37" s="34"/>
      <c r="G37" s="34"/>
      <c r="H37" s="34"/>
      <c r="I37" s="34"/>
      <c r="J37" s="34"/>
      <c r="K37" s="34"/>
      <c r="L37" s="34"/>
      <c r="M37" s="34"/>
      <c r="N37" s="34"/>
      <c r="O37" s="34"/>
    </row>
    <row r="38" spans="1:15" x14ac:dyDescent="0.2">
      <c r="A38" s="34"/>
      <c r="B38" s="34"/>
      <c r="C38" s="34"/>
      <c r="D38" s="34"/>
      <c r="E38" s="34"/>
      <c r="F38" s="34"/>
      <c r="G38" s="34"/>
      <c r="H38" s="34"/>
      <c r="I38" s="34"/>
      <c r="J38" s="34"/>
      <c r="K38" s="34"/>
      <c r="L38" s="34"/>
      <c r="M38" s="34"/>
      <c r="N38" s="34"/>
      <c r="O38" s="34"/>
    </row>
    <row r="39" spans="1:15" x14ac:dyDescent="0.2">
      <c r="A39" s="34"/>
      <c r="B39" s="34"/>
      <c r="C39" s="34"/>
      <c r="D39" s="34"/>
      <c r="E39" s="34"/>
      <c r="F39" s="34"/>
      <c r="G39" s="34"/>
      <c r="H39" s="34"/>
      <c r="I39" s="34"/>
      <c r="J39" s="34"/>
      <c r="K39" s="34"/>
      <c r="L39" s="34"/>
      <c r="M39" s="34"/>
      <c r="N39" s="34"/>
      <c r="O39" s="34"/>
    </row>
    <row r="40" spans="1:15" x14ac:dyDescent="0.2">
      <c r="A40" s="34"/>
      <c r="B40" s="34"/>
      <c r="C40" s="34"/>
      <c r="D40" s="34"/>
      <c r="E40" s="34"/>
      <c r="F40" s="34"/>
      <c r="G40" s="34"/>
      <c r="H40" s="34"/>
      <c r="I40" s="34"/>
      <c r="J40" s="34"/>
      <c r="K40" s="34"/>
      <c r="L40" s="34"/>
      <c r="M40" s="34"/>
      <c r="N40" s="34"/>
      <c r="O40" s="34"/>
    </row>
    <row r="41" spans="1:15" x14ac:dyDescent="0.2">
      <c r="A41" s="34"/>
      <c r="B41" s="34"/>
      <c r="C41" s="34"/>
      <c r="D41" s="34"/>
      <c r="E41" s="34"/>
      <c r="F41" s="34"/>
      <c r="G41" s="34"/>
      <c r="H41" s="34"/>
      <c r="I41" s="34"/>
      <c r="J41" s="34"/>
      <c r="K41" s="34"/>
      <c r="L41" s="34"/>
      <c r="M41" s="34"/>
      <c r="N41" s="34"/>
      <c r="O41" s="34"/>
    </row>
    <row r="42" spans="1:15" x14ac:dyDescent="0.2">
      <c r="A42" s="34"/>
      <c r="B42" s="34"/>
      <c r="C42" s="34"/>
      <c r="D42" s="34"/>
      <c r="E42" s="34"/>
      <c r="F42" s="34"/>
      <c r="G42" s="34"/>
      <c r="H42" s="34"/>
      <c r="I42" s="34"/>
      <c r="J42" s="34"/>
      <c r="K42" s="34"/>
      <c r="L42" s="34"/>
      <c r="M42" s="34"/>
      <c r="N42" s="34"/>
      <c r="O42" s="34"/>
    </row>
    <row r="43" spans="1:15" x14ac:dyDescent="0.2">
      <c r="A43" s="34"/>
      <c r="B43" s="34"/>
      <c r="C43" s="34"/>
      <c r="D43" s="34"/>
      <c r="E43" s="34"/>
      <c r="F43" s="34"/>
      <c r="G43" s="34"/>
      <c r="H43" s="34"/>
      <c r="I43" s="34"/>
      <c r="J43" s="34"/>
      <c r="K43" s="34"/>
      <c r="L43" s="34"/>
      <c r="M43" s="34"/>
      <c r="N43" s="34"/>
      <c r="O43" s="34"/>
    </row>
    <row r="44" spans="1:15" x14ac:dyDescent="0.2">
      <c r="A44" s="34"/>
      <c r="B44" s="34"/>
      <c r="C44" s="34"/>
      <c r="D44" s="34"/>
      <c r="E44" s="34"/>
      <c r="F44" s="34"/>
      <c r="G44" s="34"/>
      <c r="H44" s="34"/>
      <c r="I44" s="34"/>
      <c r="J44" s="34"/>
      <c r="K44" s="34"/>
      <c r="L44" s="34"/>
      <c r="M44" s="34"/>
      <c r="N44" s="34"/>
      <c r="O44" s="34"/>
    </row>
    <row r="45" spans="1:15" x14ac:dyDescent="0.2">
      <c r="A45" s="34"/>
      <c r="B45" s="34"/>
      <c r="C45" s="34"/>
      <c r="D45" s="34"/>
      <c r="E45" s="34"/>
      <c r="F45" s="34"/>
      <c r="G45" s="34"/>
      <c r="H45" s="34"/>
      <c r="I45" s="34"/>
      <c r="J45" s="34"/>
      <c r="K45" s="34"/>
      <c r="L45" s="34"/>
      <c r="M45" s="34"/>
      <c r="N45" s="34"/>
      <c r="O45" s="34"/>
    </row>
    <row r="46" spans="1:15" x14ac:dyDescent="0.2">
      <c r="A46" s="34"/>
      <c r="B46" s="34"/>
      <c r="C46" s="34"/>
      <c r="D46" s="34"/>
      <c r="E46" s="34"/>
      <c r="F46" s="34"/>
      <c r="G46" s="34"/>
      <c r="H46" s="34"/>
      <c r="I46" s="34"/>
      <c r="J46" s="34"/>
      <c r="K46" s="34"/>
      <c r="L46" s="34"/>
      <c r="M46" s="34"/>
      <c r="N46" s="34"/>
      <c r="O46" s="34"/>
    </row>
    <row r="47" spans="1:15" x14ac:dyDescent="0.2">
      <c r="A47" s="34"/>
      <c r="B47" s="34"/>
      <c r="C47" s="34"/>
      <c r="D47" s="34"/>
      <c r="E47" s="34"/>
      <c r="F47" s="34"/>
      <c r="G47" s="34"/>
      <c r="H47" s="34"/>
      <c r="I47" s="34"/>
      <c r="J47" s="34"/>
      <c r="K47" s="34"/>
      <c r="L47" s="34"/>
      <c r="M47" s="34"/>
      <c r="N47" s="34"/>
      <c r="O47" s="34"/>
    </row>
    <row r="48" spans="1:15" x14ac:dyDescent="0.2">
      <c r="A48" s="34"/>
      <c r="B48" s="34"/>
      <c r="C48" s="34"/>
      <c r="D48" s="34"/>
      <c r="E48" s="34"/>
      <c r="F48" s="34"/>
      <c r="G48" s="34"/>
      <c r="H48" s="34"/>
      <c r="I48" s="34"/>
      <c r="J48" s="34"/>
      <c r="K48" s="34"/>
      <c r="L48" s="34"/>
      <c r="M48" s="34"/>
      <c r="N48" s="34"/>
      <c r="O48" s="34"/>
    </row>
    <row r="49" spans="1:15" x14ac:dyDescent="0.2">
      <c r="A49" s="34"/>
      <c r="B49" s="34"/>
      <c r="C49" s="34"/>
      <c r="D49" s="34"/>
      <c r="E49" s="34"/>
      <c r="F49" s="34"/>
      <c r="G49" s="34"/>
      <c r="H49" s="34"/>
      <c r="I49" s="34"/>
      <c r="J49" s="34"/>
      <c r="K49" s="34"/>
      <c r="L49" s="34"/>
      <c r="M49" s="34"/>
      <c r="N49" s="34"/>
      <c r="O49" s="34"/>
    </row>
    <row r="50" spans="1:15" x14ac:dyDescent="0.2">
      <c r="A50" s="34"/>
      <c r="B50" s="34"/>
      <c r="C50" s="34"/>
      <c r="D50" s="34"/>
      <c r="E50" s="34"/>
      <c r="F50" s="34"/>
      <c r="G50" s="34"/>
      <c r="H50" s="34"/>
      <c r="I50" s="34"/>
      <c r="J50" s="34"/>
      <c r="K50" s="34"/>
      <c r="L50" s="34"/>
      <c r="M50" s="34"/>
      <c r="N50" s="34"/>
      <c r="O50" s="34"/>
    </row>
    <row r="51" spans="1:15" x14ac:dyDescent="0.2">
      <c r="A51" s="34"/>
      <c r="B51" s="34"/>
      <c r="C51" s="34"/>
      <c r="D51" s="34"/>
      <c r="E51" s="34"/>
      <c r="F51" s="34"/>
      <c r="G51" s="34"/>
      <c r="H51" s="34"/>
      <c r="I51" s="34"/>
      <c r="J51" s="34"/>
      <c r="K51" s="34"/>
      <c r="L51" s="34"/>
      <c r="M51" s="34"/>
      <c r="N51" s="34"/>
      <c r="O51" s="34"/>
    </row>
    <row r="52" spans="1:15" x14ac:dyDescent="0.2">
      <c r="A52" s="34"/>
      <c r="B52" s="34"/>
      <c r="C52" s="34"/>
      <c r="D52" s="34"/>
      <c r="E52" s="34"/>
      <c r="F52" s="34"/>
      <c r="G52" s="34"/>
      <c r="H52" s="34"/>
      <c r="I52" s="34"/>
      <c r="J52" s="34"/>
      <c r="K52" s="34"/>
      <c r="L52" s="34"/>
      <c r="M52" s="34"/>
      <c r="N52" s="34"/>
      <c r="O52" s="34"/>
    </row>
    <row r="53" spans="1:15" x14ac:dyDescent="0.2">
      <c r="A53" s="34"/>
      <c r="B53" s="34"/>
      <c r="C53" s="34"/>
      <c r="D53" s="34"/>
      <c r="E53" s="34"/>
      <c r="F53" s="34"/>
      <c r="G53" s="34"/>
      <c r="H53" s="34"/>
      <c r="I53" s="34"/>
      <c r="J53" s="34"/>
      <c r="K53" s="34"/>
      <c r="L53" s="34"/>
      <c r="M53" s="34"/>
      <c r="N53" s="34"/>
      <c r="O53" s="34"/>
    </row>
    <row r="54" spans="1:15" x14ac:dyDescent="0.2">
      <c r="A54" s="34"/>
      <c r="B54" s="34"/>
      <c r="C54" s="34"/>
      <c r="D54" s="34"/>
      <c r="E54" s="34"/>
      <c r="F54" s="34"/>
      <c r="G54" s="34"/>
      <c r="H54" s="34"/>
      <c r="I54" s="34"/>
      <c r="J54" s="34"/>
      <c r="K54" s="34"/>
      <c r="L54" s="34"/>
      <c r="M54" s="34"/>
      <c r="N54" s="34"/>
      <c r="O54" s="34"/>
    </row>
    <row r="55" spans="1:15" x14ac:dyDescent="0.2">
      <c r="A55" s="34"/>
      <c r="B55" s="34"/>
      <c r="C55" s="34"/>
      <c r="D55" s="34"/>
      <c r="E55" s="34"/>
      <c r="F55" s="34"/>
      <c r="G55" s="34"/>
      <c r="H55" s="34"/>
      <c r="I55" s="34"/>
      <c r="J55" s="34"/>
      <c r="K55" s="34"/>
      <c r="L55" s="34"/>
      <c r="M55" s="34"/>
      <c r="N55" s="34"/>
      <c r="O55" s="34"/>
    </row>
    <row r="56" spans="1:15" x14ac:dyDescent="0.2">
      <c r="A56" s="34"/>
      <c r="B56" s="34"/>
      <c r="C56" s="34"/>
      <c r="D56" s="34"/>
      <c r="E56" s="34"/>
      <c r="F56" s="34"/>
      <c r="G56" s="34"/>
      <c r="H56" s="34"/>
      <c r="I56" s="34"/>
      <c r="J56" s="34"/>
      <c r="K56" s="34"/>
      <c r="L56" s="34"/>
      <c r="M56" s="34"/>
      <c r="N56" s="34"/>
      <c r="O56" s="34"/>
    </row>
    <row r="57" spans="1:15" x14ac:dyDescent="0.2">
      <c r="A57" s="34"/>
      <c r="B57" s="34"/>
      <c r="C57" s="34"/>
      <c r="D57" s="34"/>
      <c r="E57" s="34"/>
      <c r="F57" s="34"/>
      <c r="G57" s="34"/>
      <c r="H57" s="34"/>
      <c r="I57" s="34"/>
      <c r="J57" s="34"/>
      <c r="K57" s="34"/>
      <c r="L57" s="34"/>
      <c r="M57" s="34"/>
      <c r="N57" s="34"/>
      <c r="O57" s="34"/>
    </row>
    <row r="58" spans="1:15" x14ac:dyDescent="0.2">
      <c r="A58" s="34"/>
      <c r="B58" s="34"/>
      <c r="C58" s="34"/>
      <c r="D58" s="34"/>
      <c r="E58" s="34"/>
      <c r="F58" s="34"/>
      <c r="G58" s="34"/>
      <c r="H58" s="34"/>
      <c r="I58" s="34"/>
      <c r="J58" s="34"/>
      <c r="K58" s="34"/>
      <c r="L58" s="34"/>
      <c r="M58" s="34"/>
      <c r="N58" s="34"/>
      <c r="O58" s="34"/>
    </row>
    <row r="59" spans="1:15" x14ac:dyDescent="0.2">
      <c r="A59" s="34"/>
      <c r="B59" s="34"/>
      <c r="C59" s="34"/>
      <c r="D59" s="34"/>
      <c r="E59" s="34"/>
      <c r="F59" s="34"/>
      <c r="G59" s="34"/>
      <c r="H59" s="34"/>
      <c r="I59" s="34"/>
      <c r="J59" s="34"/>
      <c r="K59" s="34"/>
      <c r="L59" s="34"/>
      <c r="M59" s="34"/>
      <c r="N59" s="34"/>
      <c r="O59" s="34"/>
    </row>
    <row r="60" spans="1:15" x14ac:dyDescent="0.2">
      <c r="A60" s="34"/>
      <c r="B60" s="34"/>
      <c r="C60" s="34"/>
      <c r="D60" s="34"/>
      <c r="E60" s="34"/>
      <c r="F60" s="34"/>
      <c r="G60" s="34"/>
      <c r="H60" s="34"/>
      <c r="I60" s="34"/>
      <c r="J60" s="34"/>
      <c r="K60" s="34"/>
      <c r="L60" s="34"/>
      <c r="M60" s="34"/>
      <c r="N60" s="34"/>
      <c r="O60" s="34"/>
    </row>
    <row r="61" spans="1:15" x14ac:dyDescent="0.2">
      <c r="A61" s="34"/>
      <c r="B61" s="34"/>
      <c r="C61" s="34"/>
      <c r="D61" s="34"/>
      <c r="E61" s="34"/>
      <c r="F61" s="34"/>
      <c r="G61" s="34"/>
      <c r="H61" s="34"/>
      <c r="I61" s="34"/>
      <c r="J61" s="34"/>
      <c r="K61" s="34"/>
      <c r="L61" s="34"/>
      <c r="M61" s="34"/>
      <c r="N61" s="34"/>
      <c r="O61" s="34"/>
    </row>
    <row r="62" spans="1:15" x14ac:dyDescent="0.2">
      <c r="A62" s="34"/>
      <c r="B62" s="34"/>
      <c r="C62" s="34"/>
      <c r="D62" s="34"/>
      <c r="E62" s="34"/>
      <c r="F62" s="34"/>
      <c r="G62" s="34"/>
      <c r="H62" s="34"/>
      <c r="I62" s="34"/>
      <c r="J62" s="34"/>
      <c r="K62" s="34"/>
      <c r="L62" s="34"/>
      <c r="M62" s="34"/>
      <c r="N62" s="34"/>
      <c r="O62" s="34"/>
    </row>
    <row r="63" spans="1:15" x14ac:dyDescent="0.2">
      <c r="A63" s="34"/>
      <c r="B63" s="34"/>
      <c r="C63" s="34"/>
      <c r="D63" s="34"/>
      <c r="E63" s="34"/>
      <c r="F63" s="34"/>
      <c r="G63" s="34"/>
      <c r="H63" s="34"/>
      <c r="I63" s="34"/>
      <c r="J63" s="34"/>
      <c r="K63" s="34"/>
      <c r="L63" s="34"/>
      <c r="M63" s="34"/>
      <c r="N63" s="34"/>
      <c r="O63" s="34"/>
    </row>
    <row r="64" spans="1:15" x14ac:dyDescent="0.2">
      <c r="A64" s="34"/>
      <c r="B64" s="34"/>
      <c r="C64" s="34"/>
      <c r="D64" s="34"/>
      <c r="E64" s="34"/>
      <c r="F64" s="34"/>
      <c r="G64" s="34"/>
      <c r="H64" s="34"/>
      <c r="I64" s="34"/>
      <c r="J64" s="34"/>
      <c r="K64" s="34"/>
      <c r="L64" s="34"/>
      <c r="M64" s="34"/>
      <c r="N64" s="34"/>
      <c r="O64" s="34"/>
    </row>
    <row r="65" spans="1:15" x14ac:dyDescent="0.2">
      <c r="A65" s="34"/>
      <c r="B65" s="34"/>
      <c r="C65" s="34"/>
      <c r="D65" s="34"/>
      <c r="E65" s="34"/>
      <c r="F65" s="34"/>
      <c r="G65" s="34"/>
      <c r="H65" s="34"/>
      <c r="I65" s="34"/>
      <c r="J65" s="34"/>
      <c r="K65" s="34"/>
      <c r="L65" s="34"/>
      <c r="M65" s="34"/>
      <c r="N65" s="34"/>
      <c r="O65" s="34"/>
    </row>
    <row r="66" spans="1:15" x14ac:dyDescent="0.2">
      <c r="A66" s="34"/>
      <c r="B66" s="34"/>
      <c r="C66" s="34"/>
      <c r="D66" s="34"/>
      <c r="E66" s="34"/>
      <c r="F66" s="34"/>
      <c r="G66" s="34"/>
      <c r="H66" s="34"/>
      <c r="I66" s="34"/>
      <c r="J66" s="34"/>
      <c r="K66" s="34"/>
      <c r="L66" s="34"/>
      <c r="M66" s="34"/>
      <c r="N66" s="34"/>
      <c r="O66" s="34"/>
    </row>
    <row r="67" spans="1:15" x14ac:dyDescent="0.2">
      <c r="A67" s="34"/>
      <c r="B67" s="34"/>
      <c r="C67" s="34"/>
      <c r="D67" s="34"/>
      <c r="E67" s="34"/>
      <c r="F67" s="34"/>
      <c r="G67" s="34"/>
      <c r="H67" s="34"/>
      <c r="I67" s="34"/>
      <c r="J67" s="34"/>
      <c r="K67" s="34"/>
      <c r="L67" s="34"/>
      <c r="M67" s="34"/>
      <c r="N67" s="34"/>
      <c r="O67" s="34"/>
    </row>
    <row r="68" spans="1:15" x14ac:dyDescent="0.2">
      <c r="A68" s="34"/>
      <c r="B68" s="34"/>
      <c r="C68" s="34"/>
      <c r="D68" s="34"/>
      <c r="E68" s="34"/>
      <c r="F68" s="34"/>
      <c r="G68" s="34"/>
      <c r="H68" s="34"/>
      <c r="I68" s="34"/>
      <c r="J68" s="34"/>
      <c r="K68" s="34"/>
      <c r="L68" s="34"/>
      <c r="M68" s="34"/>
      <c r="N68" s="34"/>
      <c r="O68" s="34"/>
    </row>
    <row r="69" spans="1:15" x14ac:dyDescent="0.2">
      <c r="A69" s="34"/>
      <c r="B69" s="34"/>
      <c r="C69" s="34"/>
      <c r="D69" s="34"/>
    </row>
  </sheetData>
  <mergeCells count="3">
    <mergeCell ref="E4:E5"/>
    <mergeCell ref="B17:C17"/>
    <mergeCell ref="B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122"/>
  <sheetViews>
    <sheetView zoomScale="120" zoomScaleNormal="120" workbookViewId="0">
      <selection activeCell="B1" sqref="B1"/>
    </sheetView>
  </sheetViews>
  <sheetFormatPr defaultRowHeight="14.25" x14ac:dyDescent="0.2"/>
  <cols>
    <col min="1" max="1" width="1.125" customWidth="1"/>
    <col min="2" max="2" width="49" style="8" customWidth="1"/>
    <col min="3" max="3" width="3.25" style="962" customWidth="1"/>
    <col min="4" max="4" width="3" style="962" customWidth="1"/>
    <col min="5" max="5" width="29.125" customWidth="1"/>
    <col min="6" max="6" width="9" customWidth="1"/>
    <col min="7" max="7" width="23.875" style="6" customWidth="1"/>
    <col min="8" max="8" width="24.125" style="798" customWidth="1"/>
    <col min="9" max="20" width="24.125" customWidth="1"/>
    <col min="34" max="34" width="13.75" bestFit="1" customWidth="1"/>
  </cols>
  <sheetData>
    <row r="1" spans="1:14" s="12" customFormat="1" ht="14.25" customHeight="1" x14ac:dyDescent="0.2">
      <c r="A1" s="454"/>
      <c r="B1" s="581"/>
      <c r="C1" s="454"/>
      <c r="D1" s="454"/>
      <c r="E1" s="1029" t="s">
        <v>751</v>
      </c>
      <c r="F1" s="1030"/>
      <c r="G1" s="1032">
        <v>41971</v>
      </c>
      <c r="H1" s="454"/>
      <c r="I1" s="454"/>
      <c r="J1" s="454"/>
      <c r="K1" s="454"/>
      <c r="L1" s="454"/>
      <c r="M1" s="454"/>
      <c r="N1" s="454"/>
    </row>
    <row r="2" spans="1:14" s="960" customFormat="1" x14ac:dyDescent="0.2">
      <c r="B2" s="968"/>
      <c r="C2" s="968"/>
      <c r="D2" s="968"/>
      <c r="E2" s="890" t="s">
        <v>633</v>
      </c>
      <c r="F2" s="34"/>
      <c r="G2" s="886" t="str">
        <f xml:space="preserve"> S.General.LastCellSchedule</f>
        <v>$H$861</v>
      </c>
      <c r="H2" s="34"/>
      <c r="I2" s="34"/>
      <c r="J2" s="34"/>
      <c r="K2" s="34"/>
      <c r="L2" s="34"/>
      <c r="M2" s="34"/>
      <c r="N2" s="34"/>
    </row>
    <row r="3" spans="1:14" s="12" customFormat="1" x14ac:dyDescent="0.2">
      <c r="A3" s="454"/>
      <c r="B3" s="581"/>
      <c r="C3" s="454"/>
      <c r="D3" s="454"/>
      <c r="E3" s="581"/>
      <c r="F3" s="454"/>
      <c r="G3" s="454"/>
      <c r="H3" s="454"/>
      <c r="I3" s="454"/>
      <c r="J3" s="454"/>
      <c r="K3" s="454"/>
      <c r="L3" s="454"/>
      <c r="M3" s="454"/>
      <c r="N3" s="454"/>
    </row>
    <row r="4" spans="1:14" s="960" customFormat="1" ht="27.75" customHeight="1" x14ac:dyDescent="0.3">
      <c r="A4" s="34"/>
      <c r="B4" s="970" t="s">
        <v>707</v>
      </c>
      <c r="C4" s="970"/>
      <c r="D4" s="970"/>
      <c r="E4" s="34"/>
      <c r="F4" s="34"/>
      <c r="G4" s="34"/>
      <c r="H4" s="34"/>
      <c r="I4" s="34"/>
      <c r="J4" s="34"/>
      <c r="K4" s="34"/>
      <c r="L4" s="34"/>
      <c r="M4" s="34"/>
      <c r="N4" s="34"/>
    </row>
    <row r="5" spans="1:14" s="960" customFormat="1" ht="85.5" customHeight="1" x14ac:dyDescent="0.25">
      <c r="A5" s="34"/>
      <c r="B5" s="1012" t="s">
        <v>725</v>
      </c>
      <c r="C5" s="976"/>
      <c r="D5" s="968"/>
      <c r="E5" s="1019" t="s">
        <v>723</v>
      </c>
      <c r="F5" s="34"/>
      <c r="G5" s="34"/>
      <c r="H5" s="34"/>
      <c r="I5" s="34"/>
      <c r="J5" s="34"/>
      <c r="K5" s="34"/>
      <c r="L5" s="34"/>
      <c r="M5" s="34"/>
      <c r="N5" s="34"/>
    </row>
    <row r="6" spans="1:14" s="960" customFormat="1" ht="9" customHeight="1" x14ac:dyDescent="0.25">
      <c r="A6" s="34"/>
      <c r="B6" s="976"/>
      <c r="C6" s="976"/>
      <c r="D6" s="968"/>
      <c r="E6" s="1019"/>
      <c r="F6" s="34"/>
      <c r="G6" s="34"/>
      <c r="H6" s="34"/>
      <c r="I6" s="34"/>
      <c r="J6" s="34"/>
      <c r="K6" s="34"/>
      <c r="L6" s="34"/>
      <c r="M6" s="34"/>
      <c r="N6" s="34"/>
    </row>
    <row r="7" spans="1:14" s="960" customFormat="1" x14ac:dyDescent="0.2">
      <c r="A7" s="34"/>
      <c r="B7" s="1022" t="s">
        <v>728</v>
      </c>
      <c r="C7" s="976"/>
      <c r="D7" s="968"/>
      <c r="E7" s="1020" t="s">
        <v>724</v>
      </c>
      <c r="F7" s="34"/>
      <c r="G7" s="34"/>
      <c r="H7" s="34"/>
      <c r="I7" s="34"/>
      <c r="J7" s="34"/>
      <c r="K7" s="34"/>
      <c r="L7" s="34"/>
      <c r="M7" s="34"/>
      <c r="N7" s="34"/>
    </row>
    <row r="8" spans="1:14" s="960" customFormat="1" ht="12.75" customHeight="1" x14ac:dyDescent="0.2">
      <c r="A8" s="34"/>
      <c r="B8" s="1024" t="s">
        <v>727</v>
      </c>
      <c r="C8" s="994"/>
      <c r="D8" s="995"/>
      <c r="E8" s="1023" t="s">
        <v>730</v>
      </c>
      <c r="F8" s="85"/>
      <c r="G8" s="85"/>
      <c r="H8" s="34"/>
      <c r="I8" s="34"/>
      <c r="J8" s="34"/>
      <c r="K8" s="34"/>
      <c r="L8" s="34"/>
      <c r="M8" s="34"/>
      <c r="N8" s="34"/>
    </row>
    <row r="9" spans="1:14" s="1015" customFormat="1" ht="24" customHeight="1" thickBot="1" x14ac:dyDescent="0.25">
      <c r="A9" s="34"/>
      <c r="B9" s="1024"/>
      <c r="C9" s="994"/>
      <c r="D9" s="995"/>
      <c r="E9" s="1025" t="s">
        <v>731</v>
      </c>
      <c r="F9" s="85"/>
      <c r="G9" s="85"/>
      <c r="H9" s="34"/>
      <c r="I9" s="34"/>
      <c r="J9" s="34"/>
      <c r="K9" s="34"/>
      <c r="L9" s="34"/>
      <c r="M9" s="34"/>
      <c r="N9" s="34"/>
    </row>
    <row r="10" spans="1:14" s="960" customFormat="1" ht="15.75" customHeight="1" thickBot="1" x14ac:dyDescent="0.25">
      <c r="A10" s="34"/>
      <c r="B10" s="1022" t="s">
        <v>745</v>
      </c>
      <c r="C10" s="973" t="s">
        <v>12</v>
      </c>
      <c r="D10" s="995"/>
      <c r="E10" s="999" t="s">
        <v>726</v>
      </c>
      <c r="G10" s="1016"/>
      <c r="H10" s="1016"/>
      <c r="I10" s="34"/>
      <c r="J10" s="34"/>
      <c r="K10" s="34"/>
      <c r="L10" s="34"/>
      <c r="M10" s="34"/>
      <c r="N10" s="34"/>
    </row>
    <row r="11" spans="1:14" s="1015" customFormat="1" ht="15.75" customHeight="1" x14ac:dyDescent="0.2">
      <c r="A11" s="34"/>
      <c r="B11" s="1024" t="s">
        <v>729</v>
      </c>
      <c r="C11" s="1021"/>
      <c r="D11" s="995"/>
      <c r="E11" s="1108" t="s">
        <v>712</v>
      </c>
      <c r="F11" s="1108"/>
      <c r="G11" s="1108"/>
      <c r="H11" s="1016"/>
      <c r="I11" s="34"/>
      <c r="J11" s="34"/>
      <c r="K11" s="34"/>
      <c r="L11" s="34"/>
      <c r="M11" s="34"/>
      <c r="N11" s="34"/>
    </row>
    <row r="12" spans="1:14" s="1015" customFormat="1" ht="15.75" customHeight="1" x14ac:dyDescent="0.2">
      <c r="A12" s="34"/>
      <c r="B12" s="1026" t="s">
        <v>732</v>
      </c>
      <c r="C12" s="1001" t="str">
        <f>HYPERLINK("\\deqhq1\Rule_Resources\i\Q-Cards\PDF\2-AdvisoryCommittee.pdf","i")</f>
        <v>i</v>
      </c>
      <c r="D12" s="995"/>
      <c r="E12" s="1108"/>
      <c r="F12" s="1108"/>
      <c r="G12" s="1108"/>
      <c r="H12" s="1016"/>
      <c r="I12" s="34"/>
      <c r="J12" s="34"/>
      <c r="K12" s="34"/>
      <c r="L12" s="34"/>
      <c r="M12" s="34"/>
      <c r="N12" s="34"/>
    </row>
    <row r="13" spans="1:14" s="960" customFormat="1" ht="36.75" customHeight="1" x14ac:dyDescent="0.2">
      <c r="A13" s="34"/>
      <c r="B13" s="34"/>
      <c r="C13" s="34"/>
      <c r="D13" s="995"/>
      <c r="E13" s="1108"/>
      <c r="F13" s="1108"/>
      <c r="G13" s="1108"/>
      <c r="H13" s="1016"/>
      <c r="I13" s="34"/>
      <c r="J13" s="34"/>
      <c r="K13" s="34"/>
      <c r="L13" s="34"/>
      <c r="M13" s="34"/>
      <c r="N13" s="34"/>
    </row>
    <row r="14" spans="1:14" s="1015" customFormat="1" x14ac:dyDescent="0.2">
      <c r="A14" s="34"/>
      <c r="B14" s="1022" t="s">
        <v>746</v>
      </c>
      <c r="C14" s="1027" t="s">
        <v>706</v>
      </c>
      <c r="D14" s="995"/>
      <c r="E14" s="85" t="s">
        <v>734</v>
      </c>
      <c r="F14" s="85"/>
      <c r="G14" s="85"/>
      <c r="H14" s="34"/>
      <c r="I14" s="34"/>
      <c r="J14" s="34"/>
      <c r="K14" s="34"/>
      <c r="L14" s="34"/>
      <c r="M14" s="34"/>
      <c r="N14" s="34"/>
    </row>
    <row r="15" spans="1:14" s="1015" customFormat="1" ht="24.75" customHeight="1" x14ac:dyDescent="0.2">
      <c r="A15" s="34"/>
      <c r="B15" s="1026" t="s">
        <v>733</v>
      </c>
      <c r="C15" s="995"/>
      <c r="D15" s="995"/>
      <c r="E15" s="85"/>
      <c r="F15" s="85"/>
      <c r="G15" s="85"/>
      <c r="H15" s="34"/>
      <c r="I15" s="34"/>
      <c r="J15" s="34"/>
      <c r="K15" s="34"/>
      <c r="L15" s="34"/>
      <c r="M15" s="34"/>
      <c r="N15" s="34"/>
    </row>
    <row r="16" spans="1:14" s="1015" customFormat="1" ht="15" customHeight="1" x14ac:dyDescent="0.2">
      <c r="A16" s="34"/>
      <c r="B16" s="1022" t="s">
        <v>747</v>
      </c>
      <c r="C16" s="1006">
        <v>10</v>
      </c>
      <c r="D16" s="995"/>
      <c r="E16" s="1109" t="s">
        <v>736</v>
      </c>
      <c r="F16" s="1109"/>
      <c r="G16" s="1109"/>
      <c r="H16" s="34"/>
      <c r="I16" s="34"/>
      <c r="J16" s="34"/>
      <c r="K16" s="34"/>
      <c r="L16" s="34"/>
      <c r="M16" s="34"/>
      <c r="N16" s="34"/>
    </row>
    <row r="17" spans="1:14" s="1015" customFormat="1" ht="25.5" customHeight="1" x14ac:dyDescent="0.2">
      <c r="A17" s="34"/>
      <c r="B17" s="1026" t="s">
        <v>735</v>
      </c>
      <c r="C17" s="995"/>
      <c r="D17" s="995"/>
      <c r="E17" s="1109"/>
      <c r="F17" s="1109"/>
      <c r="G17" s="1109"/>
      <c r="H17" s="34"/>
      <c r="I17" s="34"/>
      <c r="J17" s="34"/>
      <c r="K17" s="34"/>
      <c r="L17" s="34"/>
      <c r="M17" s="34"/>
      <c r="N17" s="34"/>
    </row>
    <row r="18" spans="1:14" s="1015" customFormat="1" x14ac:dyDescent="0.2">
      <c r="A18" s="34"/>
      <c r="B18" s="1022" t="s">
        <v>748</v>
      </c>
      <c r="C18" s="995"/>
      <c r="D18" s="995"/>
      <c r="E18" s="1112" t="s">
        <v>740</v>
      </c>
      <c r="F18" s="1112"/>
      <c r="G18" s="1112"/>
      <c r="H18" s="34"/>
      <c r="I18" s="34"/>
      <c r="J18" s="34"/>
      <c r="K18" s="34"/>
      <c r="L18" s="34"/>
      <c r="M18" s="34"/>
      <c r="N18" s="34"/>
    </row>
    <row r="19" spans="1:14" s="1015" customFormat="1" ht="20.25" customHeight="1" x14ac:dyDescent="0.2">
      <c r="A19" s="34"/>
      <c r="B19" s="1026" t="s">
        <v>739</v>
      </c>
      <c r="C19" s="995"/>
      <c r="D19" s="995"/>
      <c r="E19" s="1112"/>
      <c r="F19" s="1112"/>
      <c r="G19" s="1112"/>
      <c r="H19" s="34"/>
      <c r="I19" s="34"/>
      <c r="J19" s="34"/>
      <c r="K19" s="34"/>
      <c r="L19" s="34"/>
      <c r="M19" s="34"/>
      <c r="N19" s="34"/>
    </row>
    <row r="20" spans="1:14" s="960" customFormat="1" x14ac:dyDescent="0.2">
      <c r="A20" s="34"/>
      <c r="B20" s="1022" t="s">
        <v>749</v>
      </c>
      <c r="C20" s="995"/>
      <c r="D20" s="995"/>
      <c r="E20" s="1028" t="s">
        <v>741</v>
      </c>
      <c r="F20" s="85"/>
      <c r="G20" s="85"/>
      <c r="H20" s="34"/>
      <c r="I20" s="34"/>
      <c r="J20" s="34"/>
      <c r="K20" s="34"/>
      <c r="L20" s="34"/>
      <c r="M20" s="34"/>
      <c r="N20" s="34"/>
    </row>
    <row r="21" spans="1:14" s="1015" customFormat="1" ht="49.5" customHeight="1" x14ac:dyDescent="0.2">
      <c r="A21" s="34"/>
      <c r="B21" s="1026" t="s">
        <v>737</v>
      </c>
      <c r="C21" s="995"/>
      <c r="D21" s="995"/>
      <c r="E21" s="1107" t="s">
        <v>742</v>
      </c>
      <c r="F21" s="1107"/>
      <c r="G21" s="1107"/>
      <c r="H21" s="34"/>
      <c r="I21" s="34"/>
      <c r="J21" s="34"/>
      <c r="K21" s="34"/>
      <c r="L21" s="34"/>
      <c r="M21" s="34"/>
      <c r="N21" s="34"/>
    </row>
    <row r="22" spans="1:14" s="960" customFormat="1" x14ac:dyDescent="0.2">
      <c r="A22" s="34"/>
      <c r="B22" s="1031" t="s">
        <v>750</v>
      </c>
      <c r="C22" s="995"/>
      <c r="D22" s="995"/>
      <c r="E22" s="1106" t="s">
        <v>743</v>
      </c>
      <c r="F22" s="1106"/>
      <c r="G22" s="1106"/>
      <c r="H22" s="34"/>
      <c r="I22" s="34"/>
      <c r="J22" s="34"/>
      <c r="K22" s="34"/>
      <c r="L22" s="34"/>
      <c r="M22" s="34"/>
      <c r="N22" s="34"/>
    </row>
    <row r="23" spans="1:14" s="1015" customFormat="1" ht="29.25" customHeight="1" x14ac:dyDescent="0.2">
      <c r="A23" s="34"/>
      <c r="B23" s="1026" t="s">
        <v>738</v>
      </c>
      <c r="C23" s="995"/>
      <c r="D23" s="995"/>
      <c r="E23" s="1107" t="s">
        <v>744</v>
      </c>
      <c r="F23" s="1107"/>
      <c r="G23" s="1107"/>
      <c r="H23" s="34"/>
      <c r="I23" s="34"/>
      <c r="J23" s="34"/>
      <c r="K23" s="34"/>
      <c r="L23" s="34"/>
      <c r="M23" s="34"/>
      <c r="N23" s="34"/>
    </row>
    <row r="24" spans="1:14" s="960" customFormat="1" ht="20.25" customHeight="1" x14ac:dyDescent="0.2">
      <c r="A24" s="34"/>
      <c r="B24" s="967" t="s">
        <v>721</v>
      </c>
      <c r="C24" s="995"/>
      <c r="D24" s="995"/>
      <c r="E24" s="85"/>
      <c r="F24" s="85"/>
      <c r="G24" s="85"/>
      <c r="H24" s="34"/>
      <c r="I24" s="34"/>
      <c r="J24" s="34"/>
      <c r="K24" s="34"/>
      <c r="L24" s="34"/>
      <c r="M24" s="34"/>
      <c r="N24" s="34"/>
    </row>
    <row r="25" spans="1:14" s="960" customFormat="1" ht="52.5" customHeight="1" x14ac:dyDescent="0.2">
      <c r="A25" s="34"/>
      <c r="B25" s="996" t="s">
        <v>722</v>
      </c>
      <c r="C25" s="995"/>
      <c r="D25" s="995"/>
      <c r="E25" s="85"/>
      <c r="F25" s="85"/>
      <c r="G25" s="85"/>
      <c r="H25" s="34"/>
      <c r="I25" s="34"/>
      <c r="J25" s="34"/>
      <c r="K25" s="34"/>
      <c r="L25" s="34"/>
      <c r="M25" s="34"/>
      <c r="N25" s="34"/>
    </row>
    <row r="26" spans="1:14" s="858" customFormat="1" ht="27.75" customHeight="1" x14ac:dyDescent="0.3">
      <c r="A26" s="34"/>
      <c r="B26" s="970" t="s">
        <v>650</v>
      </c>
      <c r="C26" s="970"/>
      <c r="D26" s="970"/>
      <c r="E26" s="85"/>
      <c r="F26" s="85"/>
      <c r="G26" s="85"/>
      <c r="H26" s="34"/>
      <c r="I26" s="34"/>
      <c r="J26" s="34"/>
      <c r="K26" s="34"/>
      <c r="L26" s="34"/>
      <c r="M26" s="34"/>
      <c r="N26" s="34"/>
    </row>
    <row r="27" spans="1:14" s="244" customFormat="1" ht="46.5" customHeight="1" x14ac:dyDescent="0.2">
      <c r="A27" s="470"/>
      <c r="B27" s="1112" t="s">
        <v>651</v>
      </c>
      <c r="C27" s="1112"/>
      <c r="D27" s="1112"/>
      <c r="E27" s="1112"/>
      <c r="F27" s="241"/>
      <c r="G27" s="241"/>
      <c r="H27" s="470" t="s">
        <v>0</v>
      </c>
      <c r="I27" s="34"/>
      <c r="J27" s="34"/>
      <c r="K27" s="34"/>
      <c r="L27" s="34"/>
      <c r="M27" s="34"/>
      <c r="N27" s="34"/>
    </row>
    <row r="28" spans="1:14" s="244" customFormat="1" ht="19.5" customHeight="1" x14ac:dyDescent="0.2">
      <c r="A28" s="470"/>
      <c r="B28" s="996" t="s">
        <v>634</v>
      </c>
      <c r="C28" s="996"/>
      <c r="D28" s="996"/>
      <c r="E28" s="996"/>
      <c r="F28" s="997"/>
      <c r="G28" s="998"/>
      <c r="H28" s="470"/>
      <c r="I28" s="34"/>
      <c r="J28" s="34"/>
      <c r="K28" s="34"/>
      <c r="L28" s="34"/>
      <c r="M28" s="34"/>
      <c r="N28" s="34"/>
    </row>
    <row r="29" spans="1:14" s="244" customFormat="1" ht="16.5" customHeight="1" x14ac:dyDescent="0.2">
      <c r="A29" s="470"/>
      <c r="B29" s="965" t="s">
        <v>635</v>
      </c>
      <c r="C29" s="965"/>
      <c r="D29" s="965"/>
      <c r="E29" s="965"/>
      <c r="F29" s="886"/>
      <c r="G29" s="890"/>
      <c r="H29" s="470"/>
      <c r="I29" s="34"/>
      <c r="J29" s="34"/>
      <c r="K29" s="34"/>
      <c r="L29" s="34"/>
      <c r="M29" s="34"/>
      <c r="N29" s="34"/>
    </row>
    <row r="30" spans="1:14" s="244" customFormat="1" ht="51.75" customHeight="1" x14ac:dyDescent="0.2">
      <c r="A30" s="470"/>
      <c r="B30" s="965" t="s">
        <v>636</v>
      </c>
      <c r="C30" s="965"/>
      <c r="D30" s="965"/>
      <c r="E30" s="965"/>
      <c r="F30" s="886"/>
      <c r="G30" s="887"/>
      <c r="H30" s="470"/>
      <c r="I30" s="34"/>
      <c r="J30" s="34"/>
      <c r="K30" s="34"/>
      <c r="L30" s="34"/>
      <c r="M30" s="34"/>
      <c r="N30" s="34"/>
    </row>
    <row r="31" spans="1:14" ht="21.75" customHeight="1" x14ac:dyDescent="0.25">
      <c r="A31" s="34"/>
      <c r="B31" s="898" t="s">
        <v>0</v>
      </c>
      <c r="C31" s="898"/>
      <c r="D31" s="898"/>
      <c r="E31" s="800" t="s">
        <v>20</v>
      </c>
      <c r="F31" s="800" t="s">
        <v>427</v>
      </c>
      <c r="G31" s="800" t="s">
        <v>23</v>
      </c>
      <c r="H31" s="868"/>
      <c r="I31" s="34"/>
      <c r="J31" s="34"/>
      <c r="K31" s="34"/>
      <c r="L31" s="34"/>
      <c r="M31" s="34"/>
      <c r="N31" s="34"/>
    </row>
    <row r="32" spans="1:14" s="798" customFormat="1" ht="17.25" customHeight="1" x14ac:dyDescent="0.25">
      <c r="A32" s="34"/>
      <c r="B32" s="880" t="s">
        <v>628</v>
      </c>
      <c r="C32" s="880"/>
      <c r="D32" s="880"/>
      <c r="E32" s="34"/>
      <c r="F32" s="868"/>
      <c r="H32" s="86"/>
      <c r="I32" s="34"/>
      <c r="J32" s="34"/>
      <c r="K32" s="34"/>
      <c r="L32" s="34"/>
      <c r="M32" s="34"/>
      <c r="N32" s="34"/>
    </row>
    <row r="33" spans="1:34" s="798" customFormat="1" ht="15.2" customHeight="1" thickBot="1" x14ac:dyDescent="0.25">
      <c r="A33" s="34"/>
      <c r="B33" s="1114" t="s">
        <v>709</v>
      </c>
      <c r="C33" s="966"/>
      <c r="D33" s="972" t="s">
        <v>708</v>
      </c>
      <c r="E33" s="884" t="s">
        <v>627</v>
      </c>
      <c r="F33" s="34"/>
      <c r="G33" s="86" t="s">
        <v>626</v>
      </c>
      <c r="H33" s="734"/>
      <c r="I33" s="34"/>
      <c r="J33" s="34"/>
      <c r="K33" s="34"/>
      <c r="L33" s="34"/>
      <c r="M33" s="34"/>
      <c r="N33" s="34"/>
      <c r="O33" s="34"/>
      <c r="P33" s="34"/>
      <c r="Q33" s="34"/>
      <c r="R33" s="34"/>
      <c r="S33" s="34"/>
      <c r="T33" s="34"/>
      <c r="U33" s="34"/>
      <c r="V33" s="34"/>
      <c r="W33" s="34"/>
      <c r="X33" s="34"/>
      <c r="Y33" s="34"/>
    </row>
    <row r="34" spans="1:34" s="798" customFormat="1" ht="15.2" customHeight="1" thickBot="1" x14ac:dyDescent="0.25">
      <c r="A34" s="34"/>
      <c r="B34" s="1114"/>
      <c r="C34" s="966"/>
      <c r="D34" s="973" t="s">
        <v>12</v>
      </c>
      <c r="E34" s="881" t="s">
        <v>639</v>
      </c>
      <c r="F34" s="889" t="s">
        <v>426</v>
      </c>
      <c r="G34" s="899">
        <v>1</v>
      </c>
      <c r="H34" s="879"/>
      <c r="I34" s="34"/>
      <c r="J34" s="34"/>
      <c r="K34" s="34"/>
      <c r="L34" s="34"/>
      <c r="M34" s="34"/>
      <c r="N34" s="34"/>
      <c r="O34" s="34"/>
      <c r="P34" s="34"/>
      <c r="Q34" s="34"/>
      <c r="R34" s="34"/>
      <c r="S34" s="34"/>
      <c r="T34" s="34"/>
      <c r="U34" s="34"/>
      <c r="V34" s="34"/>
      <c r="W34" s="34"/>
      <c r="X34" s="34"/>
      <c r="Y34" s="34"/>
    </row>
    <row r="35" spans="1:34" s="798" customFormat="1" ht="15.2" customHeight="1" x14ac:dyDescent="0.2">
      <c r="A35" s="34"/>
      <c r="B35" s="1114"/>
      <c r="C35" s="966"/>
      <c r="D35" s="966"/>
      <c r="E35" s="1113" t="str">
        <f>"Apply to $B6:"&amp; S.General.LastCellSchedule</f>
        <v>Apply to $B6:$H$861</v>
      </c>
      <c r="F35" s="888" t="s">
        <v>425</v>
      </c>
      <c r="G35" s="899">
        <v>0</v>
      </c>
      <c r="H35" s="879"/>
      <c r="I35" s="34"/>
      <c r="J35" s="34"/>
      <c r="K35" s="34"/>
      <c r="L35" s="34"/>
      <c r="M35" s="34"/>
      <c r="N35" s="34"/>
      <c r="O35" s="34"/>
      <c r="P35" s="34"/>
      <c r="Q35" s="34"/>
      <c r="R35" s="34"/>
      <c r="S35" s="34"/>
      <c r="T35" s="34"/>
      <c r="U35" s="34"/>
      <c r="V35" s="34"/>
      <c r="W35" s="34"/>
      <c r="X35" s="34"/>
      <c r="Y35" s="34"/>
    </row>
    <row r="36" spans="1:34" s="960" customFormat="1" ht="39.75" customHeight="1" x14ac:dyDescent="0.2">
      <c r="A36" s="34"/>
      <c r="B36" s="1114"/>
      <c r="C36" s="966"/>
      <c r="D36" s="972" t="s">
        <v>710</v>
      </c>
      <c r="E36" s="1113"/>
      <c r="F36" s="971"/>
      <c r="G36" s="899"/>
      <c r="H36" s="879"/>
      <c r="I36" s="34"/>
      <c r="J36" s="34"/>
      <c r="K36" s="34"/>
      <c r="L36" s="34"/>
      <c r="M36" s="34"/>
      <c r="N36" s="34"/>
      <c r="O36" s="34"/>
      <c r="P36" s="34"/>
      <c r="Q36" s="34"/>
      <c r="R36" s="34"/>
      <c r="S36" s="34"/>
      <c r="T36" s="34"/>
      <c r="U36" s="34"/>
      <c r="V36" s="34"/>
      <c r="W36" s="34"/>
      <c r="X36" s="34"/>
      <c r="Y36" s="34"/>
    </row>
    <row r="37" spans="1:34" s="731" customFormat="1" ht="15" customHeight="1" x14ac:dyDescent="0.2">
      <c r="A37" s="34"/>
      <c r="B37" s="1114"/>
      <c r="C37" s="966"/>
      <c r="D37" s="974">
        <v>1</v>
      </c>
      <c r="E37" s="1113"/>
      <c r="G37" s="34"/>
      <c r="H37" s="34"/>
      <c r="I37" s="34"/>
      <c r="J37" s="34"/>
      <c r="K37" s="34"/>
      <c r="L37" s="34"/>
      <c r="M37" s="34"/>
      <c r="N37" s="34"/>
      <c r="O37" s="34"/>
      <c r="P37" s="34"/>
      <c r="Q37" s="34"/>
      <c r="R37" s="34"/>
      <c r="S37" s="34"/>
      <c r="T37" s="34"/>
      <c r="U37" s="34"/>
      <c r="V37" s="34"/>
      <c r="W37" s="34"/>
      <c r="X37" s="34"/>
      <c r="Y37" s="34"/>
    </row>
    <row r="38" spans="1:34" s="960" customFormat="1" x14ac:dyDescent="0.2">
      <c r="A38" s="34"/>
      <c r="B38" s="34"/>
      <c r="C38" s="34"/>
      <c r="D38" s="34"/>
      <c r="E38" s="34"/>
      <c r="F38" s="84"/>
      <c r="G38" s="87"/>
      <c r="H38" s="87"/>
      <c r="I38" s="34"/>
      <c r="J38" s="34"/>
      <c r="K38" s="34"/>
      <c r="L38" s="34"/>
      <c r="M38" s="34"/>
      <c r="N38" s="34"/>
      <c r="O38" s="34"/>
      <c r="P38" s="34"/>
      <c r="Q38" s="34"/>
      <c r="R38" s="34"/>
      <c r="S38" s="34"/>
      <c r="T38" s="34"/>
      <c r="U38" s="34"/>
      <c r="V38" s="34"/>
      <c r="W38" s="34"/>
      <c r="X38" s="34"/>
      <c r="Y38" s="34"/>
    </row>
    <row r="39" spans="1:34" ht="18" x14ac:dyDescent="0.25">
      <c r="A39" s="34"/>
      <c r="B39" s="1115" t="s">
        <v>22</v>
      </c>
      <c r="C39" s="1115"/>
      <c r="D39" s="1115"/>
      <c r="E39" s="1115"/>
      <c r="F39" s="34"/>
      <c r="G39" s="34"/>
      <c r="H39" s="34"/>
      <c r="I39" s="34"/>
      <c r="J39" s="34"/>
      <c r="K39" s="34"/>
      <c r="L39" s="34"/>
      <c r="M39" s="34"/>
      <c r="N39" s="34"/>
      <c r="O39" s="34"/>
      <c r="P39" s="34"/>
      <c r="Q39" s="34"/>
      <c r="R39" s="34"/>
      <c r="S39" s="34"/>
      <c r="T39" s="34"/>
      <c r="U39" s="34"/>
      <c r="V39" s="34"/>
      <c r="W39" s="34"/>
      <c r="X39" s="34"/>
      <c r="Y39" s="34"/>
    </row>
    <row r="40" spans="1:34" ht="18" customHeight="1" x14ac:dyDescent="0.2">
      <c r="A40" s="34"/>
      <c r="B40" s="1114" t="s">
        <v>632</v>
      </c>
      <c r="C40" s="966"/>
      <c r="D40" s="966"/>
      <c r="E40" s="885" t="s">
        <v>630</v>
      </c>
      <c r="F40" s="34"/>
      <c r="G40" s="34"/>
      <c r="H40" s="86"/>
      <c r="I40" s="34"/>
      <c r="J40" s="34"/>
      <c r="K40" s="34"/>
      <c r="L40" s="34"/>
      <c r="M40" s="34"/>
      <c r="N40" s="34"/>
      <c r="O40" s="34"/>
      <c r="P40" s="34"/>
      <c r="Q40" s="34"/>
      <c r="R40" s="34"/>
      <c r="S40" s="34"/>
      <c r="T40" s="34"/>
      <c r="U40" s="34"/>
      <c r="V40" s="34"/>
      <c r="W40" s="34"/>
      <c r="X40" s="34"/>
      <c r="Y40" s="34"/>
    </row>
    <row r="41" spans="1:34" ht="18" customHeight="1" x14ac:dyDescent="0.2">
      <c r="A41" s="34"/>
      <c r="B41" s="1114"/>
      <c r="C41" s="966"/>
      <c r="D41" s="966"/>
      <c r="E41" s="881" t="s">
        <v>637</v>
      </c>
      <c r="F41" s="897" t="s">
        <v>629</v>
      </c>
      <c r="G41" s="86" t="s">
        <v>631</v>
      </c>
      <c r="H41" s="86"/>
      <c r="I41" s="34"/>
      <c r="J41" s="34"/>
      <c r="K41" s="34"/>
      <c r="L41" s="34"/>
      <c r="M41" s="34"/>
      <c r="N41" s="34"/>
      <c r="O41" s="34"/>
      <c r="P41" s="34"/>
      <c r="Q41" s="34"/>
      <c r="R41" s="34"/>
      <c r="S41" s="34"/>
      <c r="T41" s="34"/>
      <c r="U41" s="34"/>
      <c r="V41" s="34"/>
      <c r="W41" s="34"/>
      <c r="X41" s="34"/>
      <c r="Y41" s="34"/>
      <c r="AH41" t="e">
        <f>Documentation!E22SAMPLE   =VLOOKUP(S.EQC.Meeting,S.VL_EQCActivities,2,FALSE)</f>
        <v>#NAME?</v>
      </c>
    </row>
    <row r="42" spans="1:34" s="731" customFormat="1" x14ac:dyDescent="0.2">
      <c r="A42" s="34"/>
      <c r="B42" s="1114"/>
      <c r="C42" s="966"/>
      <c r="D42" s="966"/>
      <c r="E42" s="1113" t="str">
        <f>"Apply to $G6:"&amp;S.General.Last.G.Cell</f>
        <v>Apply to $G6:$G$861</v>
      </c>
      <c r="F42" s="34"/>
      <c r="G42" s="34"/>
      <c r="H42" s="86"/>
      <c r="I42" s="34"/>
      <c r="J42" s="34"/>
      <c r="K42" s="34"/>
      <c r="L42" s="34"/>
      <c r="M42" s="34"/>
      <c r="N42" s="34"/>
      <c r="O42" s="34"/>
      <c r="P42" s="34"/>
      <c r="Q42" s="34"/>
      <c r="R42" s="34"/>
      <c r="S42" s="34"/>
      <c r="T42" s="34"/>
      <c r="U42" s="34"/>
      <c r="V42" s="34"/>
      <c r="W42" s="34"/>
      <c r="X42" s="34"/>
      <c r="Y42" s="34"/>
    </row>
    <row r="43" spans="1:34" x14ac:dyDescent="0.2">
      <c r="A43" s="34"/>
      <c r="B43" s="1114"/>
      <c r="C43" s="966"/>
      <c r="D43" s="966"/>
      <c r="E43" s="1113"/>
      <c r="F43" s="891"/>
      <c r="G43" s="34"/>
      <c r="H43" s="34"/>
      <c r="I43" s="34"/>
      <c r="J43" s="34"/>
      <c r="K43" s="34"/>
      <c r="L43" s="34"/>
      <c r="M43" s="34"/>
      <c r="N43" s="34"/>
      <c r="O43" s="34"/>
      <c r="P43" s="34"/>
      <c r="Q43" s="34"/>
      <c r="R43" s="34"/>
      <c r="S43" s="34"/>
      <c r="T43" s="34"/>
      <c r="U43" s="34"/>
      <c r="V43" s="34"/>
      <c r="W43" s="34"/>
      <c r="X43" s="34"/>
      <c r="Y43" s="34"/>
    </row>
    <row r="44" spans="1:34" ht="17.25" customHeight="1" x14ac:dyDescent="0.2">
      <c r="A44" s="34"/>
      <c r="B44" s="1114"/>
      <c r="C44" s="966"/>
      <c r="D44" s="966"/>
      <c r="E44" s="881" t="s">
        <v>638</v>
      </c>
      <c r="F44" s="896" t="s">
        <v>629</v>
      </c>
      <c r="G44" s="86" t="s">
        <v>428</v>
      </c>
      <c r="H44" s="34"/>
      <c r="I44" s="34"/>
      <c r="J44" s="34"/>
      <c r="K44" s="34"/>
      <c r="L44" s="34"/>
      <c r="M44" s="34"/>
      <c r="N44" s="34"/>
      <c r="O44" s="34"/>
      <c r="P44" s="34"/>
      <c r="Q44" s="34"/>
      <c r="R44" s="34"/>
      <c r="S44" s="34"/>
      <c r="T44" s="34"/>
      <c r="U44" s="34"/>
      <c r="V44" s="34"/>
      <c r="W44" s="34"/>
      <c r="X44" s="34"/>
      <c r="Y44" s="34"/>
    </row>
    <row r="45" spans="1:34" x14ac:dyDescent="0.2">
      <c r="A45" s="34"/>
      <c r="B45" s="1114"/>
      <c r="C45" s="966"/>
      <c r="D45" s="966"/>
      <c r="E45" s="1113" t="str">
        <f>"Apply to $H12:"&amp;S.General.LastCellSchedule</f>
        <v>Apply to $H12:$H$861</v>
      </c>
      <c r="F45" s="34"/>
      <c r="G45" s="34"/>
      <c r="H45" s="34"/>
      <c r="I45" s="34"/>
      <c r="J45" s="34"/>
      <c r="K45" s="34"/>
      <c r="L45" s="34"/>
      <c r="M45" s="34"/>
      <c r="N45" s="34"/>
      <c r="O45" s="34"/>
      <c r="P45" s="34"/>
      <c r="Q45" s="34"/>
      <c r="R45" s="34"/>
      <c r="S45" s="34"/>
      <c r="T45" s="34"/>
      <c r="U45" s="34"/>
      <c r="V45" s="34"/>
      <c r="W45" s="34"/>
      <c r="X45" s="34"/>
      <c r="Y45" s="34"/>
    </row>
    <row r="46" spans="1:34" x14ac:dyDescent="0.2">
      <c r="A46" s="34"/>
      <c r="B46" s="34"/>
      <c r="C46" s="34"/>
      <c r="D46" s="34"/>
      <c r="E46" s="1113"/>
      <c r="F46" s="34"/>
      <c r="G46" s="34"/>
      <c r="H46" s="892"/>
      <c r="I46" s="34"/>
      <c r="J46" s="34"/>
      <c r="K46" s="34"/>
      <c r="L46" s="34"/>
      <c r="M46" s="34"/>
      <c r="N46" s="34"/>
      <c r="O46" s="34"/>
      <c r="P46" s="34"/>
      <c r="Q46" s="34"/>
      <c r="R46" s="34"/>
      <c r="S46" s="34"/>
      <c r="T46" s="34"/>
      <c r="U46" s="34"/>
      <c r="V46" s="34"/>
      <c r="W46" s="34"/>
      <c r="X46" s="34"/>
      <c r="Y46" s="34"/>
    </row>
    <row r="47" spans="1:34" ht="18" x14ac:dyDescent="0.25">
      <c r="A47" s="34"/>
      <c r="B47" s="801" t="s">
        <v>644</v>
      </c>
      <c r="C47" s="801"/>
      <c r="D47" s="801"/>
      <c r="E47" s="894"/>
      <c r="F47" s="893" t="s">
        <v>640</v>
      </c>
      <c r="G47" s="34"/>
      <c r="H47" s="34"/>
      <c r="I47" s="34"/>
      <c r="J47" s="34"/>
      <c r="K47" s="34"/>
      <c r="L47" s="34"/>
      <c r="M47" s="34"/>
      <c r="N47" s="34"/>
      <c r="O47" s="34"/>
      <c r="P47" s="34"/>
      <c r="Q47" s="34"/>
      <c r="R47" s="34"/>
      <c r="S47" s="34"/>
      <c r="T47" s="34"/>
      <c r="U47" s="34"/>
      <c r="V47" s="34"/>
      <c r="W47" s="34"/>
      <c r="X47" s="34"/>
      <c r="Y47" s="34"/>
    </row>
    <row r="48" spans="1:34" x14ac:dyDescent="0.2">
      <c r="A48" s="34"/>
      <c r="B48" s="1111" t="s">
        <v>649</v>
      </c>
      <c r="C48" s="965"/>
      <c r="D48" s="965"/>
      <c r="E48" s="895" t="s">
        <v>645</v>
      </c>
      <c r="F48" s="34"/>
      <c r="G48" s="86" t="s">
        <v>711</v>
      </c>
      <c r="H48" s="34"/>
      <c r="I48" s="34"/>
      <c r="J48" s="34"/>
      <c r="K48" s="34"/>
      <c r="L48" s="34"/>
      <c r="M48" s="34"/>
      <c r="N48" s="34"/>
      <c r="O48" s="34"/>
      <c r="P48" s="34"/>
      <c r="Q48" s="34"/>
      <c r="R48" s="34"/>
      <c r="S48" s="34"/>
      <c r="T48" s="34"/>
      <c r="U48" s="34"/>
      <c r="V48" s="34"/>
      <c r="W48" s="34"/>
      <c r="X48" s="34"/>
      <c r="Y48" s="34"/>
    </row>
    <row r="49" spans="1:25" x14ac:dyDescent="0.2">
      <c r="A49" s="34"/>
      <c r="B49" s="1111"/>
      <c r="C49" s="965"/>
      <c r="D49" s="965"/>
      <c r="E49" s="881" t="s">
        <v>646</v>
      </c>
      <c r="F49" s="34"/>
      <c r="G49" s="86" t="s">
        <v>641</v>
      </c>
      <c r="H49" s="34"/>
      <c r="I49" s="34"/>
      <c r="J49" s="34"/>
      <c r="K49" s="34"/>
      <c r="L49" s="34"/>
      <c r="M49" s="34"/>
      <c r="N49" s="34"/>
      <c r="O49" s="34"/>
      <c r="P49" s="34"/>
      <c r="Q49" s="34"/>
      <c r="R49" s="34"/>
      <c r="S49" s="34"/>
      <c r="T49" s="34"/>
      <c r="U49" s="34"/>
      <c r="V49" s="34"/>
      <c r="W49" s="34"/>
      <c r="X49" s="34"/>
      <c r="Y49" s="34"/>
    </row>
    <row r="50" spans="1:25" x14ac:dyDescent="0.2">
      <c r="A50" s="34"/>
      <c r="B50" s="1111"/>
      <c r="C50" s="965"/>
      <c r="D50" s="965"/>
      <c r="E50" s="881" t="s">
        <v>647</v>
      </c>
      <c r="F50" s="34"/>
      <c r="G50" s="86" t="s">
        <v>642</v>
      </c>
      <c r="H50" s="34"/>
      <c r="I50" s="34"/>
      <c r="J50" s="34"/>
      <c r="K50" s="34"/>
      <c r="L50" s="34"/>
      <c r="M50" s="34"/>
      <c r="N50" s="34"/>
      <c r="O50" s="34"/>
      <c r="P50" s="34"/>
      <c r="Q50" s="34"/>
      <c r="R50" s="34"/>
      <c r="S50" s="34"/>
      <c r="T50" s="34"/>
      <c r="U50" s="34"/>
      <c r="V50" s="34"/>
      <c r="W50" s="34"/>
      <c r="X50" s="34"/>
      <c r="Y50" s="34"/>
    </row>
    <row r="51" spans="1:25" x14ac:dyDescent="0.2">
      <c r="A51" s="34"/>
      <c r="B51" s="1111"/>
      <c r="C51" s="965"/>
      <c r="D51" s="965"/>
      <c r="E51" s="881" t="s">
        <v>648</v>
      </c>
      <c r="F51" s="34"/>
      <c r="G51" s="86" t="s">
        <v>643</v>
      </c>
      <c r="H51" s="34"/>
      <c r="I51" s="34"/>
      <c r="J51" s="34"/>
      <c r="K51" s="34"/>
      <c r="L51" s="34"/>
      <c r="M51" s="34"/>
      <c r="N51" s="34"/>
      <c r="O51" s="34"/>
      <c r="P51" s="34"/>
      <c r="Q51" s="34"/>
      <c r="R51" s="34"/>
      <c r="S51" s="34"/>
      <c r="T51" s="34"/>
      <c r="U51" s="34"/>
      <c r="V51" s="34"/>
      <c r="W51" s="34"/>
      <c r="X51" s="34"/>
      <c r="Y51" s="34"/>
    </row>
    <row r="52" spans="1:25" x14ac:dyDescent="0.2">
      <c r="A52" s="34"/>
      <c r="B52" s="34"/>
      <c r="C52" s="34"/>
      <c r="D52" s="34"/>
      <c r="E52" s="34"/>
      <c r="F52" s="34"/>
      <c r="G52" s="34"/>
      <c r="H52" s="34"/>
      <c r="I52" s="34"/>
      <c r="J52" s="34"/>
      <c r="K52" s="34"/>
      <c r="L52" s="34"/>
      <c r="M52" s="34"/>
      <c r="N52" s="34"/>
      <c r="O52" s="34"/>
      <c r="P52" s="34"/>
      <c r="Q52" s="34"/>
      <c r="R52" s="34"/>
      <c r="S52" s="34"/>
      <c r="T52" s="34"/>
      <c r="U52" s="34"/>
      <c r="V52" s="34"/>
      <c r="W52" s="34"/>
      <c r="X52" s="34"/>
      <c r="Y52" s="34"/>
    </row>
    <row r="53" spans="1:25" x14ac:dyDescent="0.2">
      <c r="A53" s="34"/>
      <c r="B53" s="34"/>
      <c r="C53" s="34"/>
      <c r="D53" s="34"/>
      <c r="E53" s="34"/>
      <c r="F53" s="34"/>
      <c r="G53" s="34"/>
      <c r="H53" s="34"/>
      <c r="I53" s="34"/>
      <c r="J53" s="34"/>
      <c r="K53" s="34"/>
      <c r="L53" s="34"/>
      <c r="M53" s="34"/>
      <c r="N53" s="34"/>
      <c r="O53" s="34"/>
      <c r="P53" s="34"/>
      <c r="Q53" s="34"/>
      <c r="R53" s="34"/>
      <c r="S53" s="34"/>
      <c r="T53" s="34"/>
      <c r="U53" s="34"/>
      <c r="V53" s="34"/>
      <c r="W53" s="34"/>
      <c r="X53" s="34"/>
      <c r="Y53" s="34"/>
    </row>
    <row r="54" spans="1:25" s="960" customFormat="1" ht="20.25" x14ac:dyDescent="0.3">
      <c r="B54" s="970" t="s">
        <v>714</v>
      </c>
      <c r="C54" s="968"/>
      <c r="D54" s="968"/>
      <c r="F54" s="34"/>
      <c r="G54" s="34"/>
      <c r="H54" s="34"/>
      <c r="I54" s="34"/>
      <c r="J54" s="34"/>
      <c r="K54" s="34"/>
      <c r="L54" s="34"/>
      <c r="M54" s="34"/>
      <c r="N54" s="34"/>
      <c r="O54" s="34"/>
      <c r="P54" s="34"/>
      <c r="Q54" s="34"/>
    </row>
    <row r="55" spans="1:25" s="960" customFormat="1" x14ac:dyDescent="0.2">
      <c r="B55" s="968"/>
      <c r="C55" s="968"/>
      <c r="D55" s="968"/>
      <c r="E55" s="34"/>
      <c r="F55" s="34"/>
      <c r="G55" s="34"/>
      <c r="H55" s="34"/>
      <c r="I55" s="34" t="s">
        <v>0</v>
      </c>
      <c r="J55" s="34"/>
      <c r="K55" s="34"/>
      <c r="L55" s="34"/>
      <c r="M55" s="34"/>
      <c r="N55" s="34"/>
      <c r="O55" s="34"/>
      <c r="P55" s="34"/>
      <c r="Q55" s="34"/>
    </row>
    <row r="56" spans="1:25" s="960" customFormat="1" ht="48.75" customHeight="1" x14ac:dyDescent="0.2">
      <c r="B56" s="1017" t="s">
        <v>716</v>
      </c>
      <c r="C56" s="1017"/>
      <c r="D56" s="1017"/>
      <c r="E56" s="1017"/>
      <c r="F56" s="1017"/>
      <c r="G56" s="1017"/>
      <c r="H56" s="34"/>
      <c r="I56" s="34" t="s">
        <v>0</v>
      </c>
      <c r="J56" s="34"/>
      <c r="K56" s="34"/>
      <c r="L56" s="34"/>
      <c r="M56" s="34"/>
      <c r="N56" s="34"/>
      <c r="O56" s="34"/>
      <c r="P56" s="34"/>
      <c r="Q56" s="34"/>
    </row>
    <row r="57" spans="1:25" s="960" customFormat="1" ht="18" customHeight="1" x14ac:dyDescent="0.25">
      <c r="A57" s="34"/>
      <c r="B57" s="34"/>
      <c r="C57" s="968"/>
      <c r="D57" s="968"/>
      <c r="E57" s="1013" t="s">
        <v>720</v>
      </c>
      <c r="F57" s="1014" t="s">
        <v>0</v>
      </c>
      <c r="G57" s="1013" t="s">
        <v>719</v>
      </c>
      <c r="H57" s="876"/>
      <c r="I57" s="876" t="s">
        <v>0</v>
      </c>
      <c r="J57" s="876"/>
      <c r="K57" s="876"/>
      <c r="L57" s="34"/>
      <c r="M57" s="34"/>
      <c r="N57" s="34"/>
      <c r="O57" s="34"/>
      <c r="P57" s="34"/>
      <c r="Q57" s="34"/>
    </row>
    <row r="58" spans="1:25" s="960" customFormat="1" ht="18.75" customHeight="1" x14ac:dyDescent="0.3">
      <c r="A58" s="34"/>
      <c r="B58" s="1110" t="s">
        <v>715</v>
      </c>
      <c r="C58" s="968"/>
      <c r="D58" s="968"/>
      <c r="E58" s="961" t="s">
        <v>68</v>
      </c>
      <c r="F58" s="34"/>
      <c r="G58" s="34"/>
      <c r="H58" s="34"/>
      <c r="I58" s="34"/>
      <c r="J58" s="34"/>
      <c r="K58" s="34"/>
      <c r="L58" s="34"/>
      <c r="M58" s="34"/>
      <c r="N58" s="34"/>
      <c r="O58" s="34"/>
      <c r="P58" s="34"/>
      <c r="Q58" s="34"/>
    </row>
    <row r="59" spans="1:25" s="12" customFormat="1" x14ac:dyDescent="0.2">
      <c r="A59" s="454"/>
      <c r="B59" s="1110"/>
      <c r="C59" s="454"/>
      <c r="D59" s="454"/>
      <c r="E59" s="581" t="s">
        <v>0</v>
      </c>
      <c r="F59" s="454"/>
      <c r="G59" s="454"/>
      <c r="H59" s="454"/>
      <c r="I59" s="454"/>
      <c r="J59" s="454"/>
      <c r="K59" s="454"/>
      <c r="L59" s="454"/>
      <c r="M59" s="454"/>
      <c r="N59" s="454"/>
      <c r="O59" s="454"/>
      <c r="P59" s="454"/>
      <c r="Q59" s="454"/>
    </row>
    <row r="60" spans="1:25" s="12" customFormat="1" ht="71.25" customHeight="1" x14ac:dyDescent="0.2">
      <c r="A60" s="454"/>
      <c r="B60" s="1110"/>
      <c r="C60" s="454"/>
      <c r="D60" s="454"/>
      <c r="E60" s="581"/>
      <c r="F60" s="454"/>
      <c r="G60" s="454"/>
      <c r="H60" s="454"/>
      <c r="I60" s="454"/>
      <c r="J60" s="454"/>
      <c r="K60" s="454"/>
      <c r="L60" s="454"/>
      <c r="M60" s="454"/>
      <c r="N60" s="454"/>
      <c r="O60" s="454"/>
      <c r="P60" s="454"/>
      <c r="Q60" s="454"/>
    </row>
    <row r="61" spans="1:25" x14ac:dyDescent="0.2">
      <c r="A61" s="34"/>
      <c r="B61" s="859"/>
      <c r="C61" s="968"/>
      <c r="D61" s="968"/>
      <c r="E61" s="34"/>
      <c r="F61" s="34"/>
      <c r="G61" s="34"/>
      <c r="H61" s="34"/>
      <c r="I61" s="34"/>
      <c r="J61" s="34"/>
      <c r="K61" s="34"/>
      <c r="L61" s="34"/>
      <c r="M61" s="34"/>
      <c r="N61" s="34"/>
      <c r="O61" s="34"/>
      <c r="P61" s="34"/>
      <c r="Q61" s="34"/>
      <c r="R61" s="34"/>
      <c r="S61" s="34"/>
      <c r="T61" s="34"/>
      <c r="U61" s="34"/>
      <c r="V61" s="34"/>
      <c r="W61" s="34"/>
      <c r="X61" s="34"/>
      <c r="Y61" s="34"/>
    </row>
    <row r="62" spans="1:25" x14ac:dyDescent="0.2">
      <c r="A62" s="34"/>
      <c r="B62" s="859"/>
      <c r="C62" s="968"/>
      <c r="D62" s="968"/>
      <c r="E62" s="34"/>
      <c r="F62" s="34"/>
      <c r="G62" s="34"/>
      <c r="H62" s="34"/>
      <c r="I62" s="34"/>
      <c r="J62" s="34"/>
      <c r="K62" s="34"/>
      <c r="L62" s="34"/>
      <c r="M62" s="34"/>
      <c r="N62" s="34"/>
      <c r="O62" s="34"/>
      <c r="P62" s="34"/>
      <c r="Q62" s="34"/>
      <c r="R62" s="34"/>
      <c r="S62" s="34"/>
      <c r="T62" s="34"/>
      <c r="U62" s="34"/>
      <c r="V62" s="34"/>
      <c r="W62" s="34"/>
      <c r="X62" s="34"/>
      <c r="Y62" s="34"/>
    </row>
    <row r="63" spans="1:25" x14ac:dyDescent="0.2">
      <c r="A63" s="34"/>
      <c r="B63" s="1018"/>
      <c r="C63" s="1018"/>
      <c r="D63" s="1018"/>
      <c r="E63" s="34"/>
      <c r="F63" s="34"/>
      <c r="G63" s="34"/>
      <c r="H63" s="34"/>
      <c r="I63" s="34"/>
      <c r="J63" s="34"/>
      <c r="K63" s="34"/>
      <c r="L63" s="34"/>
      <c r="M63" s="34"/>
      <c r="N63" s="34"/>
      <c r="O63" s="34"/>
      <c r="P63" s="34"/>
      <c r="Q63" s="34"/>
      <c r="R63" s="34"/>
      <c r="S63" s="34"/>
      <c r="T63" s="34"/>
      <c r="U63" s="34"/>
      <c r="V63" s="34"/>
      <c r="W63" s="34"/>
      <c r="X63" s="34"/>
      <c r="Y63" s="34"/>
    </row>
    <row r="64" spans="1:25" x14ac:dyDescent="0.2">
      <c r="A64" s="34"/>
      <c r="B64" s="1018"/>
      <c r="C64" s="1018"/>
      <c r="D64" s="1018"/>
      <c r="E64" s="34"/>
      <c r="F64" s="34"/>
      <c r="G64" s="34"/>
      <c r="H64" s="34"/>
      <c r="I64" s="34"/>
      <c r="J64" s="34"/>
      <c r="K64" s="34"/>
      <c r="L64" s="34"/>
      <c r="M64" s="34"/>
      <c r="N64" s="34"/>
      <c r="O64" s="34"/>
      <c r="P64" s="34"/>
      <c r="Q64" s="34"/>
    </row>
    <row r="65" spans="1:17" x14ac:dyDescent="0.2">
      <c r="A65" s="34"/>
      <c r="B65" s="1018"/>
      <c r="C65" s="1018"/>
      <c r="D65" s="1018"/>
      <c r="E65" s="34"/>
      <c r="F65" s="34"/>
      <c r="G65" s="34"/>
      <c r="H65" s="34"/>
      <c r="I65" s="34"/>
      <c r="J65" s="34"/>
      <c r="K65" s="34"/>
      <c r="L65" s="34"/>
      <c r="M65" s="34"/>
      <c r="N65" s="34"/>
      <c r="O65" s="34"/>
      <c r="P65" s="34"/>
      <c r="Q65" s="34"/>
    </row>
    <row r="66" spans="1:17" x14ac:dyDescent="0.2">
      <c r="B66" s="1018"/>
      <c r="C66" s="1018"/>
      <c r="D66" s="1018"/>
      <c r="E66" s="34"/>
      <c r="F66" s="34"/>
      <c r="G66" s="34"/>
      <c r="H66" s="34"/>
      <c r="I66" s="34"/>
      <c r="J66" s="34"/>
      <c r="K66" s="34"/>
      <c r="L66" s="34"/>
      <c r="M66" s="34"/>
      <c r="N66" s="34"/>
      <c r="O66" s="34"/>
      <c r="P66" s="34"/>
      <c r="Q66" s="34"/>
    </row>
    <row r="67" spans="1:17" x14ac:dyDescent="0.2">
      <c r="B67" s="1018"/>
      <c r="C67" s="1018"/>
      <c r="D67" s="1018"/>
      <c r="E67" s="34"/>
      <c r="F67" s="34"/>
      <c r="G67" s="34"/>
      <c r="H67" s="34"/>
      <c r="I67" s="34"/>
      <c r="J67" s="34"/>
      <c r="K67" s="34"/>
      <c r="L67" s="34"/>
      <c r="M67" s="34"/>
      <c r="N67" s="34"/>
      <c r="O67" s="34"/>
      <c r="P67" s="34"/>
      <c r="Q67" s="34"/>
    </row>
    <row r="68" spans="1:17" x14ac:dyDescent="0.2">
      <c r="B68" s="1018"/>
      <c r="C68" s="1018"/>
      <c r="D68" s="1018"/>
      <c r="E68" s="34"/>
      <c r="F68" s="34"/>
      <c r="G68" s="34"/>
      <c r="H68" s="34"/>
      <c r="I68" s="34"/>
      <c r="J68" s="34"/>
      <c r="K68" s="34"/>
      <c r="L68" s="34"/>
      <c r="M68" s="34"/>
      <c r="N68" s="34"/>
      <c r="O68" s="34"/>
      <c r="P68" s="34"/>
      <c r="Q68" s="34"/>
    </row>
    <row r="69" spans="1:17" x14ac:dyDescent="0.2">
      <c r="B69" s="1018"/>
      <c r="C69" s="1018"/>
      <c r="D69" s="1018"/>
      <c r="E69" s="34"/>
      <c r="F69" s="34"/>
      <c r="G69" s="34"/>
      <c r="H69" s="34"/>
      <c r="I69" s="34"/>
      <c r="J69" s="34"/>
      <c r="K69" s="34"/>
      <c r="L69" s="34"/>
      <c r="M69" s="34"/>
      <c r="N69" s="34"/>
      <c r="O69" s="34"/>
      <c r="P69" s="34"/>
      <c r="Q69" s="34"/>
    </row>
    <row r="70" spans="1:17" x14ac:dyDescent="0.2">
      <c r="B70" s="1018"/>
      <c r="C70" s="1018"/>
      <c r="D70" s="1018"/>
      <c r="E70" s="34"/>
      <c r="F70" s="34"/>
      <c r="G70" s="34"/>
      <c r="H70" s="34"/>
      <c r="I70" s="34"/>
      <c r="J70" s="34"/>
      <c r="K70" s="34"/>
      <c r="L70" s="34"/>
      <c r="M70" s="34"/>
      <c r="N70" s="34"/>
      <c r="O70" s="34"/>
      <c r="P70" s="34"/>
      <c r="Q70" s="34"/>
    </row>
    <row r="71" spans="1:17" x14ac:dyDescent="0.2">
      <c r="B71" s="1018"/>
      <c r="C71" s="1018"/>
      <c r="D71" s="1018"/>
      <c r="E71" s="34"/>
      <c r="F71" s="34"/>
      <c r="G71" s="34"/>
      <c r="H71" s="34"/>
      <c r="I71" s="34"/>
      <c r="J71" s="34"/>
      <c r="K71" s="34"/>
      <c r="L71" s="34"/>
      <c r="M71" s="34"/>
      <c r="N71" s="34"/>
      <c r="O71" s="34"/>
      <c r="P71" s="34"/>
      <c r="Q71" s="34"/>
    </row>
    <row r="72" spans="1:17" x14ac:dyDescent="0.2">
      <c r="B72" s="1018"/>
      <c r="C72" s="1018"/>
      <c r="D72" s="1018"/>
      <c r="E72" s="34"/>
      <c r="F72" s="34"/>
      <c r="G72" s="34"/>
      <c r="H72" s="34"/>
      <c r="I72" s="34"/>
      <c r="J72" s="34"/>
      <c r="K72" s="34"/>
      <c r="L72" s="34"/>
      <c r="M72" s="34"/>
      <c r="N72" s="34"/>
      <c r="O72" s="34"/>
      <c r="P72" s="34"/>
      <c r="Q72" s="34"/>
    </row>
    <row r="73" spans="1:17" x14ac:dyDescent="0.2">
      <c r="B73" s="1018"/>
      <c r="C73" s="1018"/>
      <c r="D73" s="1018"/>
      <c r="E73" s="34"/>
      <c r="F73" s="34"/>
      <c r="G73" s="34"/>
      <c r="H73" s="34"/>
      <c r="I73" s="34"/>
      <c r="J73" s="34"/>
      <c r="K73" s="34"/>
      <c r="L73" s="34"/>
      <c r="M73" s="34"/>
      <c r="N73" s="34"/>
      <c r="O73" s="34"/>
      <c r="P73" s="34"/>
      <c r="Q73" s="34"/>
    </row>
    <row r="74" spans="1:17" x14ac:dyDescent="0.2">
      <c r="B74" s="1018"/>
      <c r="C74" s="1018"/>
      <c r="D74" s="1018"/>
      <c r="E74" s="34"/>
      <c r="F74" s="34"/>
      <c r="G74" s="34"/>
      <c r="H74" s="34"/>
      <c r="I74" s="34"/>
      <c r="J74" s="34"/>
      <c r="K74" s="34"/>
      <c r="L74" s="34"/>
      <c r="M74" s="34"/>
      <c r="N74" s="34"/>
      <c r="O74" s="34"/>
      <c r="P74" s="34"/>
      <c r="Q74" s="34"/>
    </row>
    <row r="75" spans="1:17" x14ac:dyDescent="0.2">
      <c r="B75" s="1018"/>
      <c r="C75" s="1018"/>
      <c r="D75" s="1018"/>
      <c r="E75" s="34"/>
      <c r="F75" s="34"/>
      <c r="G75" s="34"/>
      <c r="H75" s="34"/>
      <c r="I75" s="34"/>
      <c r="J75" s="34"/>
      <c r="K75" s="34"/>
      <c r="L75" s="34"/>
      <c r="M75" s="34"/>
      <c r="N75" s="34"/>
      <c r="O75" s="34"/>
      <c r="P75" s="34"/>
      <c r="Q75" s="34"/>
    </row>
    <row r="76" spans="1:17" x14ac:dyDescent="0.2">
      <c r="B76" s="1018"/>
      <c r="C76" s="1018"/>
      <c r="D76" s="1018"/>
      <c r="E76" s="34"/>
      <c r="F76" s="34"/>
      <c r="G76" s="34"/>
      <c r="H76" s="34"/>
      <c r="I76" s="34"/>
      <c r="J76" s="34"/>
      <c r="K76" s="34"/>
      <c r="L76" s="34"/>
      <c r="M76" s="34"/>
      <c r="N76" s="34"/>
      <c r="O76" s="34"/>
      <c r="P76" s="34"/>
      <c r="Q76" s="34"/>
    </row>
    <row r="77" spans="1:17" x14ac:dyDescent="0.2">
      <c r="B77" s="1018"/>
      <c r="C77" s="1018"/>
      <c r="D77" s="1018"/>
      <c r="E77" s="34"/>
      <c r="F77" s="34"/>
      <c r="G77" s="34"/>
      <c r="H77" s="34"/>
      <c r="I77" s="34"/>
      <c r="J77" s="34"/>
      <c r="K77" s="34"/>
      <c r="L77" s="34"/>
      <c r="M77" s="34"/>
      <c r="N77" s="34"/>
      <c r="O77" s="34"/>
      <c r="P77" s="34"/>
      <c r="Q77" s="34"/>
    </row>
    <row r="78" spans="1:17" x14ac:dyDescent="0.2">
      <c r="B78" s="1018"/>
      <c r="C78" s="1018"/>
      <c r="D78" s="1018"/>
      <c r="E78" s="34"/>
      <c r="F78" s="34"/>
      <c r="G78" s="34"/>
      <c r="H78" s="34"/>
      <c r="I78" s="34"/>
      <c r="J78" s="34"/>
      <c r="K78" s="34"/>
      <c r="L78" s="34"/>
      <c r="M78" s="34"/>
      <c r="N78" s="34"/>
      <c r="O78" s="34"/>
      <c r="P78" s="34"/>
      <c r="Q78" s="34"/>
    </row>
    <row r="79" spans="1:17" x14ac:dyDescent="0.2">
      <c r="B79" s="1018"/>
      <c r="C79" s="1018"/>
      <c r="D79" s="1018"/>
      <c r="E79" s="34"/>
      <c r="F79" s="34"/>
      <c r="G79" s="34"/>
      <c r="H79" s="34"/>
      <c r="I79" s="34"/>
      <c r="J79" s="34"/>
      <c r="K79" s="34"/>
      <c r="L79" s="34"/>
      <c r="M79" s="34"/>
      <c r="N79" s="34"/>
      <c r="O79" s="34"/>
      <c r="P79" s="34"/>
      <c r="Q79" s="34"/>
    </row>
    <row r="80" spans="1:17" x14ac:dyDescent="0.2">
      <c r="B80" s="1018"/>
      <c r="C80" s="1018"/>
      <c r="D80" s="1018"/>
      <c r="E80" s="34"/>
      <c r="F80" s="34"/>
      <c r="G80" s="34"/>
      <c r="H80" s="34"/>
      <c r="I80" s="34"/>
      <c r="J80" s="34"/>
      <c r="K80" s="34"/>
      <c r="L80" s="34"/>
      <c r="M80" s="34"/>
      <c r="N80" s="34"/>
      <c r="O80" s="34"/>
      <c r="P80" s="34"/>
      <c r="Q80" s="34"/>
    </row>
    <row r="81" spans="2:17" x14ac:dyDescent="0.2">
      <c r="B81" s="1018"/>
      <c r="C81" s="1018"/>
      <c r="D81" s="1018"/>
      <c r="E81" s="34"/>
      <c r="F81" s="34"/>
      <c r="G81" s="34"/>
      <c r="H81" s="34"/>
      <c r="I81" s="34"/>
      <c r="J81" s="34"/>
      <c r="K81" s="34"/>
      <c r="L81" s="34"/>
      <c r="M81" s="34"/>
      <c r="N81" s="34"/>
      <c r="O81" s="34"/>
      <c r="P81" s="34"/>
      <c r="Q81" s="34"/>
    </row>
    <row r="82" spans="2:17" x14ac:dyDescent="0.2">
      <c r="B82" s="1018"/>
      <c r="C82" s="1018"/>
      <c r="D82" s="1018"/>
      <c r="E82" s="34"/>
      <c r="F82" s="34"/>
      <c r="G82" s="34"/>
      <c r="H82" s="34"/>
      <c r="I82" s="34"/>
      <c r="J82" s="34"/>
      <c r="K82" s="34"/>
      <c r="L82" s="34"/>
      <c r="M82" s="34"/>
      <c r="N82" s="34"/>
      <c r="O82" s="34"/>
      <c r="P82" s="34"/>
      <c r="Q82" s="34"/>
    </row>
    <row r="83" spans="2:17" x14ac:dyDescent="0.2">
      <c r="B83" s="1018"/>
      <c r="C83" s="1018"/>
      <c r="D83" s="1018"/>
      <c r="E83" s="34"/>
      <c r="F83" s="34"/>
      <c r="G83" s="34"/>
      <c r="H83" s="34"/>
      <c r="I83" s="34"/>
      <c r="J83" s="34"/>
      <c r="K83" s="34"/>
      <c r="L83" s="34"/>
      <c r="M83" s="34"/>
      <c r="N83" s="34"/>
      <c r="O83" s="34"/>
      <c r="P83" s="34"/>
      <c r="Q83" s="34"/>
    </row>
    <row r="84" spans="2:17" x14ac:dyDescent="0.2">
      <c r="B84" s="1018"/>
      <c r="C84" s="1018"/>
      <c r="D84" s="1018"/>
      <c r="E84" s="34"/>
      <c r="F84" s="34"/>
      <c r="G84" s="34"/>
      <c r="H84" s="34"/>
      <c r="I84" s="34"/>
      <c r="J84" s="34"/>
      <c r="K84" s="34"/>
      <c r="L84" s="34"/>
      <c r="M84" s="34"/>
      <c r="N84" s="34"/>
      <c r="O84" s="34"/>
      <c r="P84" s="34"/>
      <c r="Q84" s="34"/>
    </row>
    <row r="85" spans="2:17" x14ac:dyDescent="0.2">
      <c r="B85" s="1018"/>
      <c r="C85" s="1018"/>
      <c r="D85" s="1018"/>
      <c r="E85" s="34"/>
      <c r="F85" s="34"/>
      <c r="G85" s="34"/>
      <c r="H85" s="34"/>
      <c r="I85" s="34"/>
      <c r="J85" s="34"/>
      <c r="K85" s="34"/>
      <c r="L85" s="34"/>
      <c r="M85" s="34"/>
      <c r="N85" s="34"/>
      <c r="O85" s="34"/>
      <c r="P85" s="34"/>
      <c r="Q85" s="34"/>
    </row>
    <row r="86" spans="2:17" x14ac:dyDescent="0.2">
      <c r="B86" s="1018"/>
      <c r="C86" s="1018"/>
      <c r="D86" s="1018"/>
      <c r="E86" s="34"/>
      <c r="F86" s="34"/>
      <c r="G86" s="34"/>
      <c r="H86" s="34"/>
      <c r="I86" s="34"/>
      <c r="J86" s="34"/>
      <c r="K86" s="34"/>
      <c r="L86" s="34"/>
      <c r="M86" s="34"/>
      <c r="N86" s="34"/>
      <c r="O86" s="34"/>
      <c r="P86" s="34"/>
      <c r="Q86" s="34"/>
    </row>
    <row r="87" spans="2:17" x14ac:dyDescent="0.2">
      <c r="B87" s="1018"/>
      <c r="C87" s="1018"/>
      <c r="D87" s="1018"/>
      <c r="E87" s="34"/>
      <c r="F87" s="34"/>
      <c r="G87" s="34"/>
      <c r="H87" s="34"/>
      <c r="I87" s="34"/>
      <c r="J87" s="34"/>
      <c r="K87" s="34"/>
      <c r="L87" s="34"/>
      <c r="M87" s="34"/>
      <c r="N87" s="34"/>
      <c r="O87" s="34"/>
      <c r="P87" s="34"/>
      <c r="Q87" s="34"/>
    </row>
    <row r="88" spans="2:17" x14ac:dyDescent="0.2">
      <c r="B88" s="1018"/>
      <c r="C88" s="1018"/>
      <c r="D88" s="1018"/>
      <c r="E88" s="34"/>
      <c r="F88" s="34"/>
      <c r="G88" s="34"/>
      <c r="H88" s="34"/>
      <c r="I88" s="34"/>
      <c r="J88" s="34"/>
      <c r="K88" s="34"/>
      <c r="L88" s="34"/>
      <c r="M88" s="34"/>
      <c r="N88" s="34"/>
      <c r="O88" s="34"/>
      <c r="P88" s="34"/>
      <c r="Q88" s="34"/>
    </row>
    <row r="89" spans="2:17" x14ac:dyDescent="0.2">
      <c r="B89" s="1018"/>
      <c r="C89" s="1018"/>
      <c r="D89" s="1018"/>
      <c r="E89" s="34"/>
      <c r="F89" s="34"/>
      <c r="G89" s="34"/>
      <c r="H89" s="34"/>
      <c r="I89" s="34"/>
      <c r="J89" s="34"/>
      <c r="K89" s="34"/>
      <c r="L89" s="34"/>
      <c r="M89" s="34"/>
      <c r="N89" s="34"/>
      <c r="O89" s="34"/>
      <c r="P89" s="34"/>
      <c r="Q89" s="34"/>
    </row>
    <row r="90" spans="2:17" x14ac:dyDescent="0.2">
      <c r="B90" s="1018"/>
      <c r="C90" s="1018"/>
      <c r="D90" s="1018"/>
      <c r="E90" s="34"/>
      <c r="F90" s="34"/>
      <c r="G90" s="34"/>
      <c r="H90" s="34"/>
      <c r="I90" s="34"/>
      <c r="J90" s="34"/>
      <c r="K90" s="34"/>
      <c r="L90" s="34"/>
      <c r="M90" s="34"/>
      <c r="N90" s="34"/>
      <c r="O90" s="34"/>
      <c r="P90" s="34"/>
      <c r="Q90" s="34"/>
    </row>
    <row r="91" spans="2:17" x14ac:dyDescent="0.2">
      <c r="B91" s="1018"/>
      <c r="C91" s="1018"/>
      <c r="D91" s="1018"/>
      <c r="E91" s="34"/>
      <c r="F91" s="34"/>
      <c r="G91" s="34"/>
      <c r="H91" s="34"/>
      <c r="I91" s="34"/>
      <c r="J91" s="34"/>
      <c r="K91" s="34"/>
      <c r="L91" s="34"/>
      <c r="M91" s="34"/>
      <c r="N91" s="34"/>
      <c r="O91" s="34"/>
      <c r="P91" s="34"/>
      <c r="Q91" s="34"/>
    </row>
    <row r="92" spans="2:17" x14ac:dyDescent="0.2">
      <c r="B92" s="1018"/>
      <c r="C92" s="1018"/>
      <c r="D92" s="1018"/>
      <c r="E92" s="34"/>
      <c r="F92" s="34"/>
      <c r="G92" s="34"/>
      <c r="H92" s="34"/>
      <c r="I92" s="34"/>
      <c r="J92" s="34"/>
      <c r="K92" s="34"/>
      <c r="L92" s="34"/>
      <c r="M92" s="34"/>
      <c r="N92" s="34"/>
      <c r="O92" s="34"/>
      <c r="P92" s="34"/>
      <c r="Q92" s="34"/>
    </row>
    <row r="93" spans="2:17" x14ac:dyDescent="0.2">
      <c r="B93" s="1018"/>
      <c r="C93" s="1018"/>
      <c r="D93" s="1018"/>
      <c r="E93" s="34"/>
      <c r="F93" s="34"/>
      <c r="G93" s="34"/>
      <c r="H93" s="34"/>
      <c r="I93" s="34"/>
      <c r="J93" s="34"/>
      <c r="K93" s="34"/>
      <c r="L93" s="34"/>
      <c r="M93" s="34"/>
      <c r="N93" s="34"/>
      <c r="O93" s="34"/>
      <c r="P93" s="34"/>
      <c r="Q93" s="34"/>
    </row>
    <row r="94" spans="2:17" x14ac:dyDescent="0.2">
      <c r="B94" s="1018"/>
      <c r="C94" s="1018"/>
      <c r="D94" s="1018"/>
      <c r="E94" s="34"/>
      <c r="F94" s="34"/>
      <c r="G94" s="34"/>
      <c r="H94" s="34"/>
      <c r="I94" s="34"/>
      <c r="J94" s="34"/>
      <c r="K94" s="34"/>
      <c r="L94" s="34"/>
      <c r="M94" s="34"/>
      <c r="N94" s="34"/>
      <c r="O94" s="34"/>
      <c r="P94" s="34"/>
      <c r="Q94" s="34"/>
    </row>
    <row r="95" spans="2:17" x14ac:dyDescent="0.2">
      <c r="B95" s="1018"/>
      <c r="C95" s="1018"/>
      <c r="D95" s="1018"/>
      <c r="E95" s="34"/>
      <c r="F95" s="34"/>
      <c r="G95" s="34"/>
      <c r="H95" s="34"/>
      <c r="I95" s="34"/>
      <c r="J95" s="34"/>
      <c r="K95" s="34"/>
      <c r="L95" s="34"/>
      <c r="M95" s="34"/>
      <c r="N95" s="34"/>
      <c r="O95" s="34"/>
      <c r="P95" s="34"/>
      <c r="Q95" s="34"/>
    </row>
    <row r="96" spans="2:17" x14ac:dyDescent="0.2">
      <c r="B96" s="1018"/>
      <c r="C96" s="1018"/>
      <c r="D96" s="1018"/>
      <c r="E96" s="34"/>
      <c r="F96" s="34"/>
      <c r="G96" s="34"/>
      <c r="H96" s="34"/>
      <c r="I96" s="34"/>
      <c r="J96" s="34"/>
      <c r="K96" s="34"/>
      <c r="L96" s="34"/>
      <c r="M96" s="34"/>
      <c r="N96" s="34"/>
      <c r="O96" s="34"/>
      <c r="P96" s="34"/>
      <c r="Q96" s="34"/>
    </row>
    <row r="97" spans="2:17" x14ac:dyDescent="0.2">
      <c r="B97" s="1018"/>
      <c r="C97" s="1018"/>
      <c r="D97" s="1018"/>
      <c r="E97" s="34"/>
      <c r="F97" s="34"/>
      <c r="G97" s="34"/>
      <c r="H97" s="34"/>
      <c r="I97" s="34"/>
      <c r="J97" s="34"/>
      <c r="K97" s="34"/>
      <c r="L97" s="34"/>
      <c r="M97" s="34"/>
      <c r="N97" s="34"/>
      <c r="O97" s="34"/>
      <c r="P97" s="34"/>
      <c r="Q97" s="34"/>
    </row>
    <row r="98" spans="2:17" x14ac:dyDescent="0.2">
      <c r="B98" s="1018"/>
      <c r="C98" s="1018"/>
      <c r="D98" s="1018"/>
      <c r="E98" s="34"/>
      <c r="F98" s="34"/>
      <c r="G98" s="34"/>
      <c r="H98" s="34"/>
      <c r="I98" s="34"/>
      <c r="J98" s="34"/>
      <c r="K98" s="34"/>
      <c r="L98" s="34"/>
      <c r="M98" s="34"/>
      <c r="N98" s="34"/>
      <c r="O98" s="34"/>
      <c r="P98" s="34"/>
      <c r="Q98" s="34"/>
    </row>
    <row r="99" spans="2:17" x14ac:dyDescent="0.2">
      <c r="B99" s="1018"/>
      <c r="C99" s="1018"/>
      <c r="D99" s="1018"/>
      <c r="E99" s="34"/>
      <c r="F99" s="34"/>
      <c r="G99" s="34"/>
      <c r="H99" s="34"/>
      <c r="I99" s="34"/>
      <c r="J99" s="34"/>
      <c r="K99" s="34"/>
      <c r="L99" s="34"/>
      <c r="M99" s="34"/>
      <c r="N99" s="34"/>
      <c r="O99" s="34"/>
      <c r="P99" s="34"/>
      <c r="Q99" s="34"/>
    </row>
    <row r="100" spans="2:17" x14ac:dyDescent="0.2">
      <c r="B100" s="1018"/>
      <c r="C100" s="1018"/>
      <c r="D100" s="1018"/>
      <c r="E100" s="34"/>
      <c r="F100" s="34"/>
      <c r="G100" s="34"/>
      <c r="H100" s="34"/>
      <c r="I100" s="34"/>
      <c r="J100" s="34"/>
      <c r="K100" s="34"/>
      <c r="L100" s="34"/>
      <c r="M100" s="34"/>
    </row>
    <row r="101" spans="2:17" x14ac:dyDescent="0.2">
      <c r="B101" s="1018"/>
      <c r="C101" s="1018"/>
      <c r="D101" s="1018"/>
      <c r="E101" s="34"/>
      <c r="F101" s="34"/>
      <c r="G101" s="34"/>
      <c r="H101" s="34"/>
      <c r="I101" s="34"/>
      <c r="J101" s="34"/>
      <c r="K101" s="34"/>
      <c r="L101" s="34"/>
      <c r="M101" s="34"/>
    </row>
    <row r="102" spans="2:17" x14ac:dyDescent="0.2">
      <c r="B102" s="1018"/>
      <c r="C102" s="1018"/>
      <c r="D102" s="1018"/>
      <c r="E102" s="34"/>
      <c r="F102" s="34"/>
      <c r="G102" s="34"/>
      <c r="H102" s="34"/>
      <c r="I102" s="34"/>
      <c r="J102" s="34"/>
      <c r="K102" s="34"/>
      <c r="L102" s="34"/>
      <c r="M102" s="34"/>
    </row>
    <row r="103" spans="2:17" x14ac:dyDescent="0.2">
      <c r="B103" s="1018"/>
      <c r="C103" s="1018"/>
      <c r="D103" s="1018"/>
      <c r="E103" s="34"/>
      <c r="F103" s="34"/>
      <c r="G103" s="34"/>
      <c r="H103" s="34"/>
      <c r="I103" s="34"/>
      <c r="J103" s="34"/>
      <c r="K103" s="34"/>
      <c r="L103" s="34"/>
      <c r="M103" s="34"/>
    </row>
    <row r="104" spans="2:17" x14ac:dyDescent="0.2">
      <c r="B104" s="1018"/>
      <c r="C104" s="1018"/>
      <c r="D104" s="1018"/>
      <c r="E104" s="34"/>
      <c r="F104" s="34"/>
      <c r="G104" s="34"/>
      <c r="H104" s="34"/>
      <c r="I104" s="34"/>
      <c r="J104" s="34"/>
      <c r="K104" s="34"/>
      <c r="L104" s="34"/>
      <c r="M104" s="34"/>
    </row>
    <row r="105" spans="2:17" x14ac:dyDescent="0.2">
      <c r="B105" s="1018"/>
      <c r="C105" s="1018"/>
      <c r="D105" s="1018"/>
      <c r="E105" s="34"/>
      <c r="F105" s="34"/>
      <c r="G105" s="34"/>
      <c r="H105" s="34"/>
      <c r="I105" s="34"/>
      <c r="J105" s="34"/>
      <c r="K105" s="34"/>
      <c r="L105" s="34"/>
      <c r="M105" s="34"/>
    </row>
    <row r="106" spans="2:17" x14ac:dyDescent="0.2">
      <c r="B106" s="1018"/>
      <c r="C106" s="1018"/>
      <c r="D106" s="1018"/>
      <c r="E106" s="34"/>
      <c r="F106" s="34"/>
      <c r="G106" s="34"/>
      <c r="H106" s="34"/>
      <c r="I106" s="34"/>
      <c r="J106" s="34"/>
      <c r="K106" s="34"/>
      <c r="L106" s="34"/>
      <c r="M106" s="34"/>
    </row>
    <row r="107" spans="2:17" x14ac:dyDescent="0.2">
      <c r="B107" s="1018"/>
      <c r="C107" s="1018"/>
      <c r="D107" s="1018"/>
      <c r="E107" s="34"/>
      <c r="F107" s="34"/>
      <c r="G107" s="34"/>
      <c r="H107" s="34"/>
      <c r="I107" s="34"/>
      <c r="J107" s="34"/>
      <c r="K107" s="34"/>
      <c r="L107" s="34"/>
      <c r="M107" s="34"/>
    </row>
    <row r="108" spans="2:17" x14ac:dyDescent="0.2">
      <c r="B108" s="1018"/>
      <c r="C108" s="1018"/>
      <c r="D108" s="1018"/>
      <c r="E108" s="34"/>
      <c r="F108" s="34"/>
      <c r="G108" s="34"/>
      <c r="H108" s="34"/>
      <c r="I108" s="34"/>
      <c r="J108" s="34"/>
      <c r="K108" s="34"/>
      <c r="L108" s="34"/>
      <c r="M108" s="34"/>
    </row>
    <row r="109" spans="2:17" x14ac:dyDescent="0.2">
      <c r="B109" s="1018"/>
      <c r="C109" s="1018"/>
      <c r="D109" s="1018"/>
      <c r="E109" s="34"/>
      <c r="F109" s="34"/>
      <c r="G109" s="34"/>
      <c r="H109" s="34"/>
      <c r="I109" s="34"/>
      <c r="J109" s="34"/>
      <c r="K109" s="34"/>
      <c r="L109" s="34"/>
      <c r="M109" s="34"/>
    </row>
    <row r="110" spans="2:17" x14ac:dyDescent="0.2">
      <c r="B110" s="1018"/>
      <c r="C110" s="1018"/>
      <c r="D110" s="1018"/>
      <c r="E110" s="34"/>
      <c r="F110" s="34"/>
      <c r="G110" s="34"/>
      <c r="H110" s="34"/>
      <c r="I110" s="34"/>
      <c r="J110" s="34"/>
      <c r="K110" s="34"/>
      <c r="L110" s="34"/>
      <c r="M110" s="34"/>
    </row>
    <row r="111" spans="2:17" x14ac:dyDescent="0.2">
      <c r="B111" s="1018"/>
      <c r="C111" s="1018"/>
      <c r="D111" s="1018"/>
      <c r="E111" s="34"/>
      <c r="F111" s="34"/>
      <c r="G111" s="34"/>
      <c r="H111" s="34"/>
      <c r="I111" s="34"/>
      <c r="J111" s="34"/>
      <c r="K111" s="34"/>
      <c r="L111" s="34"/>
      <c r="M111" s="34"/>
    </row>
    <row r="112" spans="2:17" x14ac:dyDescent="0.2">
      <c r="B112" s="1018"/>
      <c r="C112" s="1018"/>
      <c r="D112" s="1018"/>
      <c r="E112" s="34"/>
      <c r="F112" s="34"/>
      <c r="G112" s="34"/>
      <c r="H112" s="34"/>
      <c r="I112" s="34"/>
      <c r="J112" s="34"/>
      <c r="K112" s="34"/>
      <c r="L112" s="34"/>
      <c r="M112" s="34"/>
    </row>
    <row r="113" spans="2:13" x14ac:dyDescent="0.2">
      <c r="B113" s="1018"/>
      <c r="C113" s="1018"/>
      <c r="D113" s="1018"/>
      <c r="E113" s="34"/>
      <c r="F113" s="34"/>
      <c r="G113" s="34"/>
      <c r="H113" s="34"/>
      <c r="I113" s="34"/>
      <c r="J113" s="34"/>
      <c r="K113" s="34"/>
      <c r="L113" s="34"/>
      <c r="M113" s="34"/>
    </row>
    <row r="114" spans="2:13" x14ac:dyDescent="0.2">
      <c r="B114" s="1018"/>
      <c r="C114" s="1018"/>
      <c r="D114" s="1018"/>
      <c r="E114" s="34"/>
      <c r="F114" s="34"/>
      <c r="G114" s="34"/>
      <c r="H114" s="34"/>
      <c r="I114" s="34"/>
      <c r="J114" s="34"/>
      <c r="K114" s="34"/>
      <c r="L114" s="34"/>
      <c r="M114" s="34"/>
    </row>
    <row r="115" spans="2:13" x14ac:dyDescent="0.2">
      <c r="B115" s="1018"/>
      <c r="C115" s="1018"/>
      <c r="D115" s="1018"/>
      <c r="E115" s="34"/>
      <c r="F115" s="34"/>
      <c r="G115" s="34"/>
      <c r="H115" s="34"/>
      <c r="I115" s="34"/>
      <c r="J115" s="34"/>
      <c r="K115" s="34"/>
      <c r="L115" s="34"/>
      <c r="M115" s="34"/>
    </row>
    <row r="116" spans="2:13" x14ac:dyDescent="0.2">
      <c r="B116" s="1018"/>
      <c r="C116" s="1018"/>
      <c r="D116" s="1018"/>
      <c r="E116" s="34"/>
      <c r="F116" s="34"/>
      <c r="G116" s="34"/>
      <c r="H116" s="34"/>
      <c r="I116" s="34"/>
      <c r="J116" s="34"/>
      <c r="K116" s="34"/>
      <c r="L116" s="34"/>
      <c r="M116" s="34"/>
    </row>
    <row r="117" spans="2:13" x14ac:dyDescent="0.2">
      <c r="B117" s="1018"/>
      <c r="C117" s="1018"/>
      <c r="D117" s="1018"/>
      <c r="E117" s="34"/>
      <c r="F117" s="34"/>
      <c r="G117" s="34"/>
      <c r="H117" s="34"/>
      <c r="I117" s="34"/>
      <c r="J117" s="34"/>
      <c r="K117" s="34"/>
      <c r="L117" s="34"/>
      <c r="M117" s="34"/>
    </row>
    <row r="118" spans="2:13" x14ac:dyDescent="0.2">
      <c r="B118" s="1018"/>
      <c r="C118" s="1018"/>
      <c r="D118" s="1018"/>
      <c r="E118" s="34"/>
      <c r="F118" s="34"/>
      <c r="G118" s="34"/>
      <c r="H118" s="34"/>
      <c r="I118" s="34"/>
      <c r="J118" s="34"/>
      <c r="K118" s="34"/>
      <c r="L118" s="34"/>
      <c r="M118" s="34"/>
    </row>
    <row r="119" spans="2:13" x14ac:dyDescent="0.2">
      <c r="B119" s="1018"/>
      <c r="C119" s="1018"/>
      <c r="D119" s="1018"/>
      <c r="E119" s="34"/>
      <c r="F119" s="34"/>
      <c r="G119" s="34"/>
      <c r="H119" s="34"/>
      <c r="I119" s="34"/>
      <c r="J119" s="34"/>
      <c r="K119" s="34"/>
      <c r="L119" s="34"/>
      <c r="M119" s="34"/>
    </row>
    <row r="120" spans="2:13" x14ac:dyDescent="0.2">
      <c r="B120" s="1018"/>
      <c r="C120" s="1018"/>
      <c r="D120" s="1018"/>
      <c r="E120" s="34"/>
      <c r="F120" s="34"/>
      <c r="G120" s="34"/>
      <c r="H120" s="34"/>
      <c r="I120" s="34"/>
      <c r="J120" s="34"/>
      <c r="K120" s="34"/>
      <c r="L120" s="34"/>
      <c r="M120" s="34"/>
    </row>
    <row r="121" spans="2:13" x14ac:dyDescent="0.2">
      <c r="B121" s="1018"/>
      <c r="C121" s="1018"/>
      <c r="D121" s="1018"/>
      <c r="E121" s="34"/>
      <c r="F121" s="34"/>
      <c r="G121" s="34"/>
      <c r="H121" s="34"/>
      <c r="I121" s="34"/>
      <c r="J121" s="34"/>
      <c r="K121" s="34"/>
      <c r="L121" s="34"/>
      <c r="M121" s="34"/>
    </row>
    <row r="122" spans="2:13" x14ac:dyDescent="0.2">
      <c r="B122" s="1018"/>
      <c r="C122" s="1018"/>
      <c r="D122" s="1018"/>
      <c r="E122" s="34"/>
      <c r="F122" s="34"/>
      <c r="G122" s="34"/>
      <c r="H122" s="34"/>
      <c r="I122" s="34"/>
      <c r="J122" s="34"/>
      <c r="K122" s="34"/>
      <c r="L122" s="34"/>
      <c r="M122" s="34"/>
    </row>
  </sheetData>
  <sheetProtection sheet="1" objects="1" scenarios="1"/>
  <mergeCells count="15">
    <mergeCell ref="E22:G22"/>
    <mergeCell ref="E23:G23"/>
    <mergeCell ref="E11:G13"/>
    <mergeCell ref="E16:G17"/>
    <mergeCell ref="B58:B60"/>
    <mergeCell ref="B48:B51"/>
    <mergeCell ref="B27:E27"/>
    <mergeCell ref="E35:E37"/>
    <mergeCell ref="E42:E43"/>
    <mergeCell ref="E45:E46"/>
    <mergeCell ref="B33:B37"/>
    <mergeCell ref="B39:E39"/>
    <mergeCell ref="B40:B45"/>
    <mergeCell ref="E18:G19"/>
    <mergeCell ref="E21:G21"/>
  </mergeCells>
  <conditionalFormatting sqref="E58">
    <cfRule type="expression" dxfId="14" priority="5" stopIfTrue="1">
      <formula>IF($AC58=0,TRUE)</formula>
    </cfRule>
  </conditionalFormatting>
  <conditionalFormatting sqref="C16">
    <cfRule type="expression" dxfId="13" priority="1">
      <formula>IF($AC16=2,TRUE)</formula>
    </cfRule>
  </conditionalFormatting>
  <conditionalFormatting sqref="C16">
    <cfRule type="expression" dxfId="12" priority="2" stopIfTrue="1">
      <formula>IF($AC16=0,TRUE)</formula>
    </cfRule>
  </conditionalFormatting>
  <dataValidations count="2">
    <dataValidation type="list" allowBlank="1" showInputMessage="1" showErrorMessage="1" sqref="D34 C10:C11">
      <formula1>"Y,N"</formula1>
    </dataValidation>
    <dataValidation allowBlank="1" showInputMessage="1" showErrorMessage="1" promptTitle="TEAM DISCRETION" prompt="The team may place an &quot;X&quot; in this location to indicate the task has been completed." sqref="C14"/>
  </dataValidations>
  <pageMargins left="0.2" right="0.2" top="0.25" bottom="0.25" header="0" footer="0"/>
  <pageSetup orientation="landscape" r:id="rId1"/>
  <ignoredErrors>
    <ignoredError sqref="C1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topLeftCell="A37" workbookViewId="0">
      <selection activeCell="G8" sqref="G8"/>
    </sheetView>
  </sheetViews>
  <sheetFormatPr defaultRowHeight="14.25" x14ac:dyDescent="0.2"/>
  <cols>
    <col min="1" max="1" width="43.25" style="6" customWidth="1"/>
    <col min="2" max="2" width="12.875" style="6" customWidth="1"/>
    <col min="3" max="3" width="10.875" style="6" customWidth="1"/>
    <col min="4" max="4" width="3.125" style="6" customWidth="1"/>
    <col min="5" max="5" width="3.625" customWidth="1"/>
    <col min="6" max="10" width="3.125" customWidth="1"/>
    <col min="11" max="12" width="3.125" style="382" customWidth="1"/>
    <col min="13" max="17" width="3.125" customWidth="1"/>
    <col min="18" max="19" width="3.125" style="380" customWidth="1"/>
    <col min="20" max="24" width="3.125" customWidth="1"/>
    <col min="25" max="26" width="3.125" style="380" customWidth="1"/>
    <col min="27" max="31" width="3.125" customWidth="1"/>
    <col min="32" max="33" width="3.125" style="380" customWidth="1"/>
    <col min="34" max="38" width="3.125" style="6" customWidth="1"/>
    <col min="39" max="40" width="3.125" style="380" customWidth="1"/>
    <col min="41" max="45" width="3.125" style="6" customWidth="1"/>
    <col min="46" max="47" width="3.125" style="380" customWidth="1"/>
    <col min="48" max="52" width="3.125" style="6" customWidth="1"/>
    <col min="53" max="54" width="3.125" style="380" customWidth="1"/>
    <col min="55" max="59" width="3.125" style="6" customWidth="1"/>
    <col min="60" max="61" width="3.125" style="380" customWidth="1"/>
  </cols>
  <sheetData>
    <row r="1" spans="1:61" s="6" customFormat="1" ht="37.5" customHeight="1" x14ac:dyDescent="0.25">
      <c r="A1" s="1120" t="str">
        <f>S.General.RulemakingTitle</f>
        <v>Caption</v>
      </c>
      <c r="B1" s="1120"/>
      <c r="C1" s="1120"/>
      <c r="D1" s="431"/>
      <c r="E1" s="34"/>
      <c r="F1" s="1117" t="str">
        <f>S.General.CodeName</f>
        <v>CodeName</v>
      </c>
      <c r="G1" s="1117"/>
      <c r="H1" s="1117"/>
      <c r="I1" s="1117"/>
      <c r="J1" s="1117"/>
      <c r="K1" s="34"/>
      <c r="L1" s="34"/>
      <c r="M1" s="34"/>
      <c r="N1" s="1123" t="s">
        <v>0</v>
      </c>
      <c r="O1" s="1123"/>
      <c r="P1" s="1123"/>
      <c r="Q1" s="1123"/>
      <c r="R1" s="1123"/>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row>
    <row r="2" spans="1:61" s="6" customFormat="1" ht="21" customHeight="1" x14ac:dyDescent="0.25">
      <c r="A2" s="1121" t="s">
        <v>160</v>
      </c>
      <c r="B2" s="1121"/>
      <c r="C2" s="1121"/>
      <c r="D2" s="432"/>
      <c r="E2" s="390"/>
      <c r="F2" s="1116">
        <f ca="1">A3</f>
        <v>42009</v>
      </c>
      <c r="G2" s="1116"/>
      <c r="H2" s="1116"/>
      <c r="I2" s="1116"/>
      <c r="J2" s="1116"/>
      <c r="K2" s="1116"/>
      <c r="L2" s="1116"/>
      <c r="M2" s="1116">
        <f ca="1">M4</f>
        <v>42016</v>
      </c>
      <c r="N2" s="1116"/>
      <c r="O2" s="1116"/>
      <c r="P2" s="1116"/>
      <c r="Q2" s="1116"/>
      <c r="R2" s="1116"/>
      <c r="S2" s="1116"/>
      <c r="T2" s="1116">
        <f ca="1">T4</f>
        <v>42023</v>
      </c>
      <c r="U2" s="1116"/>
      <c r="V2" s="1116"/>
      <c r="W2" s="1116"/>
      <c r="X2" s="1116"/>
      <c r="Y2" s="1116"/>
      <c r="Z2" s="1116"/>
      <c r="AA2" s="1116">
        <f ca="1">AA4</f>
        <v>42030</v>
      </c>
      <c r="AB2" s="1116"/>
      <c r="AC2" s="1116"/>
      <c r="AD2" s="1116"/>
      <c r="AE2" s="1116"/>
      <c r="AF2" s="1116"/>
      <c r="AG2" s="1116"/>
      <c r="AH2" s="1116">
        <f ca="1">AH4</f>
        <v>42037</v>
      </c>
      <c r="AI2" s="1116"/>
      <c r="AJ2" s="1116"/>
      <c r="AK2" s="1116"/>
      <c r="AL2" s="1116"/>
      <c r="AM2" s="1116"/>
      <c r="AN2" s="1116"/>
      <c r="AO2" s="1116">
        <f ca="1">AO4</f>
        <v>42044</v>
      </c>
      <c r="AP2" s="1116"/>
      <c r="AQ2" s="1116"/>
      <c r="AR2" s="1116"/>
      <c r="AS2" s="1116"/>
      <c r="AT2" s="1116"/>
      <c r="AU2" s="1116"/>
      <c r="AV2" s="1116">
        <f ca="1">AV4</f>
        <v>42051</v>
      </c>
      <c r="AW2" s="1116"/>
      <c r="AX2" s="1116"/>
      <c r="AY2" s="1116"/>
      <c r="AZ2" s="1116"/>
      <c r="BA2" s="1116"/>
      <c r="BB2" s="1116"/>
      <c r="BC2" s="1116">
        <f ca="1">BC4</f>
        <v>42058</v>
      </c>
      <c r="BD2" s="1116"/>
      <c r="BE2" s="1116"/>
      <c r="BF2" s="1116"/>
      <c r="BG2" s="1116"/>
      <c r="BH2" s="1116"/>
      <c r="BI2" s="1116"/>
    </row>
    <row r="3" spans="1:61" ht="18.75" thickBot="1" x14ac:dyDescent="0.25">
      <c r="A3" s="1122">
        <f ca="1">TODAY()+E4</f>
        <v>42009</v>
      </c>
      <c r="B3" s="1122"/>
      <c r="C3" s="1122"/>
      <c r="D3" s="433"/>
      <c r="F3" s="379" t="s">
        <v>156</v>
      </c>
      <c r="G3" s="379" t="s">
        <v>14</v>
      </c>
      <c r="H3" s="379" t="s">
        <v>13</v>
      </c>
      <c r="I3" s="379" t="s">
        <v>14</v>
      </c>
      <c r="J3" s="379" t="s">
        <v>157</v>
      </c>
      <c r="K3" s="383" t="s">
        <v>158</v>
      </c>
      <c r="L3" s="383" t="s">
        <v>158</v>
      </c>
      <c r="M3" s="379" t="s">
        <v>156</v>
      </c>
      <c r="N3" s="379" t="s">
        <v>14</v>
      </c>
      <c r="O3" s="379" t="s">
        <v>13</v>
      </c>
      <c r="P3" s="379" t="s">
        <v>14</v>
      </c>
      <c r="Q3" s="379" t="s">
        <v>157</v>
      </c>
      <c r="R3" s="381" t="s">
        <v>158</v>
      </c>
      <c r="S3" s="381" t="s">
        <v>158</v>
      </c>
      <c r="T3" s="379" t="s">
        <v>156</v>
      </c>
      <c r="U3" s="379" t="s">
        <v>14</v>
      </c>
      <c r="V3" s="379" t="s">
        <v>13</v>
      </c>
      <c r="W3" s="379" t="s">
        <v>14</v>
      </c>
      <c r="X3" s="379" t="s">
        <v>157</v>
      </c>
      <c r="Y3" s="381" t="s">
        <v>158</v>
      </c>
      <c r="Z3" s="381" t="s">
        <v>158</v>
      </c>
      <c r="AA3" s="379" t="s">
        <v>156</v>
      </c>
      <c r="AB3" s="379" t="s">
        <v>14</v>
      </c>
      <c r="AC3" s="379" t="s">
        <v>13</v>
      </c>
      <c r="AD3" s="379" t="s">
        <v>14</v>
      </c>
      <c r="AE3" s="379" t="s">
        <v>157</v>
      </c>
      <c r="AF3" s="381" t="s">
        <v>158</v>
      </c>
      <c r="AG3" s="381" t="s">
        <v>158</v>
      </c>
      <c r="AH3" s="379" t="s">
        <v>156</v>
      </c>
      <c r="AI3" s="379" t="s">
        <v>14</v>
      </c>
      <c r="AJ3" s="379" t="s">
        <v>13</v>
      </c>
      <c r="AK3" s="379" t="s">
        <v>14</v>
      </c>
      <c r="AL3" s="379" t="s">
        <v>157</v>
      </c>
      <c r="AM3" s="381" t="s">
        <v>158</v>
      </c>
      <c r="AN3" s="381" t="s">
        <v>158</v>
      </c>
      <c r="AO3" s="379" t="s">
        <v>156</v>
      </c>
      <c r="AP3" s="379" t="s">
        <v>14</v>
      </c>
      <c r="AQ3" s="379" t="s">
        <v>13</v>
      </c>
      <c r="AR3" s="379" t="s">
        <v>14</v>
      </c>
      <c r="AS3" s="379" t="s">
        <v>157</v>
      </c>
      <c r="AT3" s="381" t="s">
        <v>158</v>
      </c>
      <c r="AU3" s="381" t="s">
        <v>158</v>
      </c>
      <c r="AV3" s="379" t="s">
        <v>156</v>
      </c>
      <c r="AW3" s="379" t="s">
        <v>14</v>
      </c>
      <c r="AX3" s="379" t="s">
        <v>13</v>
      </c>
      <c r="AY3" s="379" t="s">
        <v>14</v>
      </c>
      <c r="AZ3" s="379" t="s">
        <v>157</v>
      </c>
      <c r="BA3" s="381" t="s">
        <v>158</v>
      </c>
      <c r="BB3" s="381" t="s">
        <v>158</v>
      </c>
      <c r="BC3" s="379" t="s">
        <v>156</v>
      </c>
      <c r="BD3" s="379" t="s">
        <v>14</v>
      </c>
      <c r="BE3" s="379" t="s">
        <v>13</v>
      </c>
      <c r="BF3" s="379" t="s">
        <v>14</v>
      </c>
      <c r="BG3" s="379" t="s">
        <v>157</v>
      </c>
      <c r="BH3" s="381" t="s">
        <v>158</v>
      </c>
      <c r="BI3" s="381" t="s">
        <v>158</v>
      </c>
    </row>
    <row r="4" spans="1:61" s="6" customFormat="1" ht="16.5" thickBot="1" x14ac:dyDescent="0.3">
      <c r="A4" s="1118" t="s">
        <v>159</v>
      </c>
      <c r="B4" s="1118"/>
      <c r="C4" s="1119"/>
      <c r="D4" s="430"/>
      <c r="E4" s="384">
        <v>0</v>
      </c>
      <c r="F4" s="385">
        <f ca="1">IF(WEEKDAY($A$3,3)&lt;&gt;0,"-",$A$3)</f>
        <v>42009</v>
      </c>
      <c r="G4" s="385">
        <f ca="1">IF(WEEKDAY($A$3,3)=1,$A$3,IF(WEEKDAY($A$3,3)&lt;1,F4+1,"-"))</f>
        <v>42010</v>
      </c>
      <c r="H4" s="385">
        <f ca="1">IF(WEEKDAY($A$3,3)=2,$A$3,IF(WEEKDAY($A$3,3)&lt;2,G4+1,"-"))</f>
        <v>42011</v>
      </c>
      <c r="I4" s="385">
        <f ca="1">IF(WEEKDAY($A$3,3)=3,$A$3,IF(WEEKDAY($A$3,3)&lt;3,H4+1,"-"))</f>
        <v>42012</v>
      </c>
      <c r="J4" s="385">
        <f ca="1">IF(WEEKDAY($A$3,3)=4,$A$3,IF(WEEKDAY($A$3,3)&lt;4,I4+1,"-"))</f>
        <v>42013</v>
      </c>
      <c r="K4" s="386">
        <f ca="1">IF(WEEKDAY($A$3,3)=5,$A$3,IF(WEEKDAY($A$3,3)&lt;5,J4+1,"-"))</f>
        <v>42014</v>
      </c>
      <c r="L4" s="386">
        <f ca="1">IF(WEEKDAY($A$3,3)=6,$A$3,IF(WEEKDAY($A$3,3)&lt;6,K4+1,"-"))</f>
        <v>42015</v>
      </c>
      <c r="M4" s="387">
        <f ca="1">L4+1</f>
        <v>42016</v>
      </c>
      <c r="N4" s="387">
        <f t="shared" ref="N4:AG4" ca="1" si="0">M4+1</f>
        <v>42017</v>
      </c>
      <c r="O4" s="387">
        <f t="shared" ca="1" si="0"/>
        <v>42018</v>
      </c>
      <c r="P4" s="387">
        <f t="shared" ca="1" si="0"/>
        <v>42019</v>
      </c>
      <c r="Q4" s="387">
        <f t="shared" ca="1" si="0"/>
        <v>42020</v>
      </c>
      <c r="R4" s="388">
        <f t="shared" ca="1" si="0"/>
        <v>42021</v>
      </c>
      <c r="S4" s="388">
        <f t="shared" ca="1" si="0"/>
        <v>42022</v>
      </c>
      <c r="T4" s="387">
        <f t="shared" ca="1" si="0"/>
        <v>42023</v>
      </c>
      <c r="U4" s="387">
        <f t="shared" ca="1" si="0"/>
        <v>42024</v>
      </c>
      <c r="V4" s="387">
        <f t="shared" ca="1" si="0"/>
        <v>42025</v>
      </c>
      <c r="W4" s="387">
        <f t="shared" ca="1" si="0"/>
        <v>42026</v>
      </c>
      <c r="X4" s="387">
        <f t="shared" ca="1" si="0"/>
        <v>42027</v>
      </c>
      <c r="Y4" s="388">
        <f t="shared" ca="1" si="0"/>
        <v>42028</v>
      </c>
      <c r="Z4" s="388">
        <f t="shared" ca="1" si="0"/>
        <v>42029</v>
      </c>
      <c r="AA4" s="387">
        <f t="shared" ca="1" si="0"/>
        <v>42030</v>
      </c>
      <c r="AB4" s="387">
        <f t="shared" ca="1" si="0"/>
        <v>42031</v>
      </c>
      <c r="AC4" s="387">
        <f t="shared" ca="1" si="0"/>
        <v>42032</v>
      </c>
      <c r="AD4" s="387">
        <f t="shared" ca="1" si="0"/>
        <v>42033</v>
      </c>
      <c r="AE4" s="387">
        <f t="shared" ca="1" si="0"/>
        <v>42034</v>
      </c>
      <c r="AF4" s="388">
        <f t="shared" ca="1" si="0"/>
        <v>42035</v>
      </c>
      <c r="AG4" s="388">
        <f t="shared" ca="1" si="0"/>
        <v>42036</v>
      </c>
      <c r="AH4" s="387">
        <f t="shared" ref="AH4:BI4" ca="1" si="1">AG4+1</f>
        <v>42037</v>
      </c>
      <c r="AI4" s="387">
        <f t="shared" ca="1" si="1"/>
        <v>42038</v>
      </c>
      <c r="AJ4" s="387">
        <f t="shared" ca="1" si="1"/>
        <v>42039</v>
      </c>
      <c r="AK4" s="387">
        <f t="shared" ca="1" si="1"/>
        <v>42040</v>
      </c>
      <c r="AL4" s="387">
        <f t="shared" ca="1" si="1"/>
        <v>42041</v>
      </c>
      <c r="AM4" s="388">
        <f t="shared" ca="1" si="1"/>
        <v>42042</v>
      </c>
      <c r="AN4" s="388">
        <f t="shared" ca="1" si="1"/>
        <v>42043</v>
      </c>
      <c r="AO4" s="387">
        <f t="shared" ca="1" si="1"/>
        <v>42044</v>
      </c>
      <c r="AP4" s="387">
        <f t="shared" ca="1" si="1"/>
        <v>42045</v>
      </c>
      <c r="AQ4" s="387">
        <f t="shared" ca="1" si="1"/>
        <v>42046</v>
      </c>
      <c r="AR4" s="387">
        <f t="shared" ca="1" si="1"/>
        <v>42047</v>
      </c>
      <c r="AS4" s="387">
        <f t="shared" ca="1" si="1"/>
        <v>42048</v>
      </c>
      <c r="AT4" s="388">
        <f t="shared" ca="1" si="1"/>
        <v>42049</v>
      </c>
      <c r="AU4" s="388">
        <f t="shared" ca="1" si="1"/>
        <v>42050</v>
      </c>
      <c r="AV4" s="387">
        <f t="shared" ca="1" si="1"/>
        <v>42051</v>
      </c>
      <c r="AW4" s="387">
        <f t="shared" ca="1" si="1"/>
        <v>42052</v>
      </c>
      <c r="AX4" s="387">
        <f t="shared" ca="1" si="1"/>
        <v>42053</v>
      </c>
      <c r="AY4" s="387">
        <f t="shared" ca="1" si="1"/>
        <v>42054</v>
      </c>
      <c r="AZ4" s="387">
        <f t="shared" ca="1" si="1"/>
        <v>42055</v>
      </c>
      <c r="BA4" s="388">
        <f t="shared" ca="1" si="1"/>
        <v>42056</v>
      </c>
      <c r="BB4" s="388">
        <f t="shared" ca="1" si="1"/>
        <v>42057</v>
      </c>
      <c r="BC4" s="387">
        <f t="shared" ca="1" si="1"/>
        <v>42058</v>
      </c>
      <c r="BD4" s="387">
        <f t="shared" ca="1" si="1"/>
        <v>42059</v>
      </c>
      <c r="BE4" s="387">
        <f t="shared" ca="1" si="1"/>
        <v>42060</v>
      </c>
      <c r="BF4" s="387">
        <f t="shared" ca="1" si="1"/>
        <v>42061</v>
      </c>
      <c r="BG4" s="387">
        <f t="shared" ca="1" si="1"/>
        <v>42062</v>
      </c>
      <c r="BH4" s="388">
        <f t="shared" ca="1" si="1"/>
        <v>42063</v>
      </c>
      <c r="BI4" s="388">
        <f t="shared" ca="1" si="1"/>
        <v>42064</v>
      </c>
    </row>
    <row r="5" spans="1:61" ht="15.75" x14ac:dyDescent="0.25">
      <c r="A5" s="398" t="s">
        <v>0</v>
      </c>
      <c r="B5" s="399" t="s">
        <v>26</v>
      </c>
      <c r="C5" s="399" t="s">
        <v>57</v>
      </c>
      <c r="D5" s="399"/>
      <c r="E5" s="34"/>
      <c r="F5" s="34"/>
      <c r="G5" s="34"/>
      <c r="H5" s="34"/>
      <c r="I5" s="34"/>
      <c r="J5" s="34"/>
      <c r="K5" s="391"/>
      <c r="L5" s="391"/>
      <c r="M5" s="34"/>
      <c r="N5" s="34"/>
      <c r="O5" s="34"/>
      <c r="P5" s="34"/>
      <c r="Q5" s="34"/>
      <c r="R5" s="392"/>
      <c r="S5" s="392"/>
      <c r="T5" s="34"/>
      <c r="U5" s="34"/>
      <c r="V5" s="34"/>
      <c r="W5" s="34"/>
      <c r="X5" s="34"/>
      <c r="Y5" s="392"/>
      <c r="Z5" s="392"/>
      <c r="AA5" s="34"/>
      <c r="AB5" s="34"/>
      <c r="AC5" s="34"/>
      <c r="AD5" s="34"/>
      <c r="AE5" s="34"/>
      <c r="AF5" s="392"/>
      <c r="AG5" s="392"/>
      <c r="AH5" s="34"/>
      <c r="AI5" s="34"/>
      <c r="AJ5" s="34"/>
      <c r="AK5" s="34"/>
      <c r="AL5" s="34"/>
      <c r="AM5" s="392"/>
      <c r="AN5" s="392"/>
      <c r="AO5" s="34"/>
      <c r="AP5" s="34"/>
      <c r="AQ5" s="34"/>
      <c r="AR5" s="34"/>
      <c r="AS5" s="34"/>
      <c r="AT5" s="392"/>
      <c r="AU5" s="392"/>
      <c r="AV5" s="34"/>
      <c r="AW5" s="34"/>
      <c r="AX5" s="34"/>
      <c r="AY5" s="34"/>
      <c r="AZ5" s="34"/>
      <c r="BA5" s="392"/>
      <c r="BB5" s="392"/>
      <c r="BC5" s="34"/>
      <c r="BD5" s="34"/>
      <c r="BE5" s="34"/>
      <c r="BF5" s="34"/>
      <c r="BG5" s="34"/>
      <c r="BH5" s="392"/>
      <c r="BI5" s="392"/>
    </row>
    <row r="6" spans="1:61" ht="15.75" x14ac:dyDescent="0.25">
      <c r="A6" s="400" t="s">
        <v>267</v>
      </c>
      <c r="B6" s="401" t="s">
        <v>0</v>
      </c>
      <c r="C6" s="401" t="s">
        <v>0</v>
      </c>
      <c r="D6" s="401"/>
      <c r="E6" s="396">
        <f ca="1">IF($C6&gt;=$A$3,0,1)</f>
        <v>0</v>
      </c>
      <c r="F6" s="85" t="s">
        <v>0</v>
      </c>
      <c r="G6" s="13"/>
      <c r="H6" s="13"/>
      <c r="I6" s="13"/>
      <c r="J6" s="13"/>
      <c r="K6" s="393"/>
      <c r="L6" s="393"/>
      <c r="M6" s="13"/>
      <c r="N6" s="13"/>
      <c r="O6" s="13"/>
      <c r="P6" s="13"/>
      <c r="Q6" s="13"/>
      <c r="R6" s="394"/>
      <c r="S6" s="394"/>
      <c r="T6" s="13"/>
      <c r="U6" s="13"/>
      <c r="V6" s="13"/>
      <c r="W6" s="13"/>
      <c r="X6" s="13"/>
      <c r="Y6" s="394"/>
      <c r="Z6" s="394"/>
      <c r="AA6" s="13"/>
      <c r="AB6" s="13"/>
      <c r="AC6" s="13"/>
      <c r="AD6" s="13"/>
      <c r="AE6" s="13"/>
      <c r="AF6" s="394"/>
      <c r="AG6" s="394"/>
      <c r="AH6" s="13"/>
      <c r="AI6" s="13"/>
      <c r="AJ6" s="13"/>
      <c r="AK6" s="13"/>
      <c r="AL6" s="13"/>
      <c r="AM6" s="394"/>
      <c r="AN6" s="394"/>
      <c r="AO6" s="13"/>
      <c r="AP6" s="13"/>
      <c r="AQ6" s="13"/>
      <c r="AR6" s="13"/>
      <c r="AS6" s="13"/>
      <c r="AT6" s="394"/>
      <c r="AU6" s="394"/>
      <c r="AV6" s="13"/>
      <c r="AW6" s="13"/>
      <c r="AX6" s="13"/>
      <c r="AY6" s="13"/>
      <c r="AZ6" s="13"/>
      <c r="BA6" s="394"/>
      <c r="BB6" s="394"/>
      <c r="BC6" s="13"/>
      <c r="BD6" s="13"/>
      <c r="BE6" s="13"/>
      <c r="BF6" s="13"/>
      <c r="BG6" s="13"/>
      <c r="BH6" s="394"/>
      <c r="BI6" s="394"/>
    </row>
    <row r="7" spans="1:61" s="6" customFormat="1" ht="15.75" x14ac:dyDescent="0.25">
      <c r="A7" s="443" t="s">
        <v>227</v>
      </c>
      <c r="B7" s="402" t="e">
        <f>S.QtimeStart</f>
        <v>#NAME?</v>
      </c>
      <c r="C7" s="402">
        <f ca="1">S.QtimeEnd</f>
        <v>42009</v>
      </c>
      <c r="D7" s="402"/>
      <c r="E7" s="396">
        <f t="shared" ref="E7:E57" ca="1" si="2">IF($C7&gt;=$A$3,0,1)</f>
        <v>0</v>
      </c>
      <c r="F7" s="13"/>
      <c r="G7" s="13"/>
      <c r="H7" s="13"/>
      <c r="I7" s="13"/>
      <c r="J7" s="13"/>
      <c r="K7" s="393"/>
      <c r="L7" s="393"/>
      <c r="M7" s="13"/>
      <c r="N7" s="13"/>
      <c r="O7" s="13"/>
      <c r="P7" s="13"/>
      <c r="Q7" s="13"/>
      <c r="R7" s="394"/>
      <c r="S7" s="394"/>
      <c r="T7" s="13"/>
      <c r="U7" s="13"/>
      <c r="V7" s="13"/>
      <c r="W7" s="13"/>
      <c r="X7" s="13"/>
      <c r="Y7" s="394"/>
      <c r="Z7" s="394"/>
      <c r="AA7" s="13"/>
      <c r="AB7" s="13"/>
      <c r="AC7" s="13"/>
      <c r="AD7" s="13"/>
      <c r="AE7" s="13"/>
      <c r="AF7" s="394"/>
      <c r="AG7" s="394"/>
      <c r="AH7" s="13"/>
      <c r="AI7" s="13"/>
      <c r="AJ7" s="13"/>
      <c r="AK7" s="13"/>
      <c r="AL7" s="13"/>
      <c r="AM7" s="394"/>
      <c r="AN7" s="394"/>
      <c r="AO7" s="13"/>
      <c r="AP7" s="13"/>
      <c r="AQ7" s="13"/>
      <c r="AR7" s="13"/>
      <c r="AS7" s="13"/>
      <c r="AT7" s="394"/>
      <c r="AU7" s="394"/>
      <c r="AV7" s="13"/>
      <c r="AW7" s="13"/>
      <c r="AX7" s="13"/>
      <c r="AY7" s="13"/>
      <c r="AZ7" s="13"/>
      <c r="BA7" s="394"/>
      <c r="BB7" s="394"/>
      <c r="BC7" s="13"/>
      <c r="BD7" s="13"/>
      <c r="BE7" s="13"/>
      <c r="BF7" s="13"/>
      <c r="BG7" s="13"/>
      <c r="BH7" s="394"/>
      <c r="BI7" s="394"/>
    </row>
    <row r="8" spans="1:61" s="6" customFormat="1" ht="15.75" x14ac:dyDescent="0.25">
      <c r="A8" s="443" t="s">
        <v>228</v>
      </c>
      <c r="B8" s="402">
        <f ca="1">S.Planning.AddConceptToPlanDate</f>
        <v>42009</v>
      </c>
      <c r="C8" s="402">
        <f ca="1">B8</f>
        <v>42009</v>
      </c>
      <c r="D8" s="402"/>
      <c r="E8" s="396">
        <f t="shared" ca="1" si="2"/>
        <v>0</v>
      </c>
      <c r="F8" s="13"/>
      <c r="G8" s="13"/>
      <c r="H8" s="13"/>
      <c r="I8" s="13"/>
      <c r="J8" s="13"/>
      <c r="K8" s="393"/>
      <c r="L8" s="393"/>
      <c r="M8" s="13"/>
      <c r="N8" s="13"/>
      <c r="O8" s="13"/>
      <c r="P8" s="13"/>
      <c r="Q8" s="13"/>
      <c r="R8" s="394"/>
      <c r="S8" s="394"/>
      <c r="T8" s="13"/>
      <c r="U8" s="13"/>
      <c r="V8" s="13"/>
      <c r="W8" s="13"/>
      <c r="X8" s="13"/>
      <c r="Y8" s="394"/>
      <c r="Z8" s="394"/>
      <c r="AA8" s="13"/>
      <c r="AB8" s="13"/>
      <c r="AC8" s="13"/>
      <c r="AD8" s="13"/>
      <c r="AE8" s="13"/>
      <c r="AF8" s="394"/>
      <c r="AG8" s="394"/>
      <c r="AH8" s="13"/>
      <c r="AI8" s="13"/>
      <c r="AJ8" s="13"/>
      <c r="AK8" s="13"/>
      <c r="AL8" s="13"/>
      <c r="AM8" s="394"/>
      <c r="AN8" s="394"/>
      <c r="AO8" s="13"/>
      <c r="AP8" s="13"/>
      <c r="AQ8" s="13"/>
      <c r="AR8" s="13"/>
      <c r="AS8" s="13"/>
      <c r="AT8" s="394"/>
      <c r="AU8" s="394"/>
      <c r="AV8" s="13"/>
      <c r="AW8" s="13"/>
      <c r="AX8" s="13"/>
      <c r="AY8" s="13"/>
      <c r="AZ8" s="13"/>
      <c r="BA8" s="394"/>
      <c r="BB8" s="394"/>
      <c r="BC8" s="13"/>
      <c r="BD8" s="13"/>
      <c r="BE8" s="13"/>
      <c r="BF8" s="13"/>
      <c r="BG8" s="13"/>
      <c r="BH8" s="394"/>
      <c r="BI8" s="394"/>
    </row>
    <row r="9" spans="1:61" ht="15.75" x14ac:dyDescent="0.25">
      <c r="A9" s="443" t="s">
        <v>229</v>
      </c>
      <c r="B9" s="402">
        <f ca="1">S.PlanningKickoff</f>
        <v>42009</v>
      </c>
      <c r="C9" s="402">
        <f ca="1">B9</f>
        <v>42009</v>
      </c>
      <c r="D9" s="402"/>
      <c r="E9" s="396">
        <f t="shared" ca="1" si="2"/>
        <v>0</v>
      </c>
      <c r="F9" s="13"/>
      <c r="G9" s="13"/>
      <c r="H9" s="13"/>
      <c r="I9" s="13"/>
      <c r="J9" s="13"/>
      <c r="K9" s="393"/>
      <c r="L9" s="393"/>
      <c r="M9" s="13"/>
      <c r="N9" s="13"/>
      <c r="O9" s="13"/>
      <c r="P9" s="13"/>
      <c r="Q9" s="13"/>
      <c r="R9" s="394"/>
      <c r="S9" s="394"/>
      <c r="T9" s="13"/>
      <c r="U9" s="13"/>
      <c r="V9" s="13"/>
      <c r="W9" s="13"/>
      <c r="X9" s="13"/>
      <c r="Y9" s="394"/>
      <c r="Z9" s="394"/>
      <c r="AA9" s="13"/>
      <c r="AB9" s="13"/>
      <c r="AC9" s="13"/>
      <c r="AD9" s="13"/>
      <c r="AE9" s="13"/>
      <c r="AF9" s="394"/>
      <c r="AG9" s="394"/>
      <c r="AH9" s="13"/>
      <c r="AI9" s="13"/>
      <c r="AJ9" s="13"/>
      <c r="AK9" s="13"/>
      <c r="AL9" s="13"/>
      <c r="AM9" s="394"/>
      <c r="AN9" s="394"/>
      <c r="AO9" s="13"/>
      <c r="AP9" s="13"/>
      <c r="AQ9" s="13"/>
      <c r="AR9" s="13"/>
      <c r="AS9" s="13"/>
      <c r="AT9" s="394"/>
      <c r="AU9" s="394"/>
      <c r="AV9" s="13"/>
      <c r="AW9" s="13"/>
      <c r="AX9" s="13"/>
      <c r="AY9" s="13"/>
      <c r="AZ9" s="13"/>
      <c r="BA9" s="394"/>
      <c r="BB9" s="394"/>
      <c r="BC9" s="13"/>
      <c r="BD9" s="13"/>
      <c r="BE9" s="13"/>
      <c r="BF9" s="13"/>
      <c r="BG9" s="13"/>
      <c r="BH9" s="394"/>
      <c r="BI9" s="394"/>
    </row>
    <row r="10" spans="1:61" ht="15.75" x14ac:dyDescent="0.25">
      <c r="A10" s="403" t="s">
        <v>230</v>
      </c>
      <c r="B10" s="402" t="s">
        <v>0</v>
      </c>
      <c r="C10" s="402" t="s">
        <v>0</v>
      </c>
      <c r="D10" s="402"/>
      <c r="E10" s="396">
        <f t="shared" ca="1" si="2"/>
        <v>0</v>
      </c>
      <c r="F10" s="13"/>
      <c r="G10" s="13"/>
      <c r="H10" s="13"/>
      <c r="I10" s="13"/>
      <c r="J10" s="395"/>
      <c r="K10" s="393"/>
      <c r="L10" s="393"/>
      <c r="M10" s="13"/>
      <c r="N10" s="13"/>
      <c r="O10" s="13"/>
      <c r="P10" s="13"/>
      <c r="Q10" s="13"/>
      <c r="R10" s="394"/>
      <c r="S10" s="394"/>
      <c r="T10" s="13"/>
      <c r="U10" s="13"/>
      <c r="V10" s="13"/>
      <c r="W10" s="13"/>
      <c r="X10" s="13"/>
      <c r="Y10" s="394"/>
      <c r="Z10" s="394"/>
      <c r="AA10" s="13"/>
      <c r="AB10" s="13"/>
      <c r="AC10" s="13"/>
      <c r="AD10" s="13"/>
      <c r="AE10" s="13"/>
      <c r="AF10" s="394"/>
      <c r="AG10" s="394"/>
      <c r="AH10" s="13"/>
      <c r="AI10" s="13"/>
      <c r="AJ10" s="13"/>
      <c r="AK10" s="13"/>
      <c r="AL10" s="13"/>
      <c r="AM10" s="394"/>
      <c r="AN10" s="394"/>
      <c r="AO10" s="13"/>
      <c r="AP10" s="13"/>
      <c r="AQ10" s="13"/>
      <c r="AR10" s="13"/>
      <c r="AS10" s="13"/>
      <c r="AT10" s="394"/>
      <c r="AU10" s="394"/>
      <c r="AV10" s="13"/>
      <c r="AW10" s="13"/>
      <c r="AX10" s="13"/>
      <c r="AY10" s="13"/>
      <c r="AZ10" s="13"/>
      <c r="BA10" s="394"/>
      <c r="BB10" s="394"/>
      <c r="BC10" s="13"/>
      <c r="BD10" s="13"/>
      <c r="BE10" s="13"/>
      <c r="BF10" s="13"/>
      <c r="BG10" s="13"/>
      <c r="BH10" s="394"/>
      <c r="BI10" s="394"/>
    </row>
    <row r="11" spans="1:61" s="6" customFormat="1" ht="15.75" x14ac:dyDescent="0.25">
      <c r="A11" s="443" t="s">
        <v>231</v>
      </c>
      <c r="B11" s="402">
        <f ca="1">S.Planning.DraftWorkbooksStart</f>
        <v>42009</v>
      </c>
      <c r="C11" s="402">
        <f ca="1">S.Planning.DraftWorkbooksEnd</f>
        <v>42009</v>
      </c>
      <c r="D11" s="402"/>
      <c r="E11" s="396">
        <f t="shared" ca="1" si="2"/>
        <v>0</v>
      </c>
      <c r="F11" s="13"/>
      <c r="G11" s="13"/>
      <c r="H11" s="13"/>
      <c r="I11" s="13"/>
      <c r="J11" s="13"/>
      <c r="K11" s="393"/>
      <c r="L11" s="393"/>
      <c r="M11" s="13"/>
      <c r="N11" s="13"/>
      <c r="O11" s="13"/>
      <c r="P11" s="13"/>
      <c r="Q11" s="13"/>
      <c r="R11" s="394"/>
      <c r="S11" s="394"/>
      <c r="T11" s="13"/>
      <c r="U11" s="13"/>
      <c r="V11" s="13"/>
      <c r="W11" s="13"/>
      <c r="X11" s="13"/>
      <c r="Y11" s="394"/>
      <c r="Z11" s="394"/>
      <c r="AA11" s="13"/>
      <c r="AB11" s="13"/>
      <c r="AC11" s="13"/>
      <c r="AD11" s="13"/>
      <c r="AE11" s="13"/>
      <c r="AF11" s="394"/>
      <c r="AG11" s="394"/>
      <c r="AH11" s="13"/>
      <c r="AI11" s="13"/>
      <c r="AJ11" s="13"/>
      <c r="AK11" s="13"/>
      <c r="AL11" s="13"/>
      <c r="AM11" s="394"/>
      <c r="AN11" s="394"/>
      <c r="AO11" s="13"/>
      <c r="AP11" s="13"/>
      <c r="AQ11" s="13"/>
      <c r="AR11" s="13"/>
      <c r="AS11" s="13"/>
      <c r="AT11" s="394"/>
      <c r="AU11" s="394"/>
      <c r="AV11" s="13"/>
      <c r="AW11" s="13"/>
      <c r="AX11" s="13"/>
      <c r="AY11" s="13"/>
      <c r="AZ11" s="13"/>
      <c r="BA11" s="394"/>
      <c r="BB11" s="394"/>
      <c r="BC11" s="13"/>
      <c r="BD11" s="13"/>
      <c r="BE11" s="13"/>
      <c r="BF11" s="13"/>
      <c r="BG11" s="13"/>
      <c r="BH11" s="394"/>
      <c r="BI11" s="394"/>
    </row>
    <row r="12" spans="1:61" ht="15.75" x14ac:dyDescent="0.25">
      <c r="A12" s="443" t="s">
        <v>232</v>
      </c>
      <c r="B12" s="402">
        <f ca="1">S.Planning.CommunicationMeeting</f>
        <v>42009</v>
      </c>
      <c r="C12" s="402">
        <f ca="1">B12</f>
        <v>42009</v>
      </c>
      <c r="D12" s="402"/>
      <c r="E12" s="396">
        <f t="shared" ca="1" si="2"/>
        <v>0</v>
      </c>
      <c r="F12" s="13"/>
      <c r="G12" s="13"/>
      <c r="H12" s="13"/>
      <c r="I12" s="13"/>
      <c r="J12" s="13"/>
      <c r="K12" s="393"/>
      <c r="L12" s="393"/>
      <c r="M12" s="13"/>
      <c r="N12" s="13"/>
      <c r="O12" s="13"/>
      <c r="P12" s="13"/>
      <c r="Q12" s="13"/>
      <c r="R12" s="394"/>
      <c r="S12" s="394"/>
      <c r="T12" s="13"/>
      <c r="U12" s="13"/>
      <c r="V12" s="13"/>
      <c r="W12" s="13"/>
      <c r="X12" s="13"/>
      <c r="Y12" s="394"/>
      <c r="Z12" s="394"/>
      <c r="AA12" s="13"/>
      <c r="AB12" s="13"/>
      <c r="AC12" s="13"/>
      <c r="AD12" s="13"/>
      <c r="AE12" s="13"/>
      <c r="AF12" s="394"/>
      <c r="AG12" s="394"/>
      <c r="AH12" s="13"/>
      <c r="AI12" s="13"/>
      <c r="AJ12" s="13"/>
      <c r="AK12" s="13"/>
      <c r="AL12" s="13"/>
      <c r="AM12" s="394"/>
      <c r="AN12" s="394"/>
      <c r="AO12" s="13"/>
      <c r="AP12" s="13"/>
      <c r="AQ12" s="13"/>
      <c r="AR12" s="13"/>
      <c r="AS12" s="13"/>
      <c r="AT12" s="394"/>
      <c r="AU12" s="394"/>
      <c r="AV12" s="13"/>
      <c r="AW12" s="13"/>
      <c r="AX12" s="13"/>
      <c r="AY12" s="13"/>
      <c r="AZ12" s="13"/>
      <c r="BA12" s="394"/>
      <c r="BB12" s="394"/>
      <c r="BC12" s="13"/>
      <c r="BD12" s="13"/>
      <c r="BE12" s="13"/>
      <c r="BF12" s="13"/>
      <c r="BG12" s="13"/>
      <c r="BH12" s="394"/>
      <c r="BI12" s="394"/>
    </row>
    <row r="13" spans="1:61" s="6" customFormat="1" ht="15.75" x14ac:dyDescent="0.25">
      <c r="A13" s="400" t="s">
        <v>269</v>
      </c>
      <c r="B13" s="402">
        <f ca="1">S.DIRECTOR.Approves.ForDEQRulemakingPlan</f>
        <v>42009</v>
      </c>
      <c r="C13" s="402">
        <f>S.0Overview.END</f>
        <v>0</v>
      </c>
      <c r="D13" s="402"/>
      <c r="E13" s="396">
        <f t="shared" ca="1" si="2"/>
        <v>1</v>
      </c>
      <c r="F13" s="13"/>
      <c r="G13" s="13"/>
      <c r="H13" s="13"/>
      <c r="I13" s="13"/>
      <c r="J13" s="13"/>
      <c r="K13" s="393"/>
      <c r="L13" s="393"/>
      <c r="M13" s="13"/>
      <c r="N13" s="13"/>
      <c r="O13" s="13"/>
      <c r="P13" s="13"/>
      <c r="Q13" s="13"/>
      <c r="R13" s="394"/>
      <c r="S13" s="394"/>
      <c r="T13" s="13"/>
      <c r="U13" s="13"/>
      <c r="V13" s="13"/>
      <c r="W13" s="13"/>
      <c r="X13" s="13"/>
      <c r="Y13" s="394"/>
      <c r="Z13" s="394"/>
      <c r="AA13" s="13"/>
      <c r="AB13" s="13"/>
      <c r="AC13" s="13"/>
      <c r="AD13" s="13"/>
      <c r="AE13" s="13"/>
      <c r="AF13" s="394"/>
      <c r="AG13" s="394"/>
      <c r="AH13" s="13"/>
      <c r="AI13" s="13"/>
      <c r="AJ13" s="13"/>
      <c r="AK13" s="13"/>
      <c r="AL13" s="13"/>
      <c r="AM13" s="394"/>
      <c r="AN13" s="394"/>
      <c r="AO13" s="13"/>
      <c r="AP13" s="13"/>
      <c r="AQ13" s="13"/>
      <c r="AR13" s="13"/>
      <c r="AS13" s="13"/>
      <c r="AT13" s="394"/>
      <c r="AU13" s="394"/>
      <c r="AV13" s="13"/>
      <c r="AW13" s="13"/>
      <c r="AX13" s="13"/>
      <c r="AY13" s="13"/>
      <c r="AZ13" s="13"/>
      <c r="BA13" s="394"/>
      <c r="BB13" s="394"/>
      <c r="BC13" s="13"/>
      <c r="BD13" s="13"/>
      <c r="BE13" s="13"/>
      <c r="BF13" s="13"/>
      <c r="BG13" s="13"/>
      <c r="BH13" s="394"/>
      <c r="BI13" s="394"/>
    </row>
    <row r="14" spans="1:61" s="6" customFormat="1" ht="15.75" x14ac:dyDescent="0.25">
      <c r="A14" s="443" t="s">
        <v>270</v>
      </c>
      <c r="B14" s="402" t="e">
        <f>CodeName.ScheduleOfTasks!#REF!</f>
        <v>#REF!</v>
      </c>
      <c r="C14" s="402" t="e">
        <f>CodeName.ScheduleOfTasks!#REF!</f>
        <v>#REF!</v>
      </c>
      <c r="D14" s="402"/>
      <c r="E14" s="396" t="e">
        <f t="shared" ca="1" si="2"/>
        <v>#REF!</v>
      </c>
      <c r="F14" s="13"/>
      <c r="G14" s="13"/>
      <c r="H14" s="13"/>
      <c r="I14" s="13"/>
      <c r="J14" s="13"/>
      <c r="K14" s="393"/>
      <c r="L14" s="393"/>
      <c r="M14" s="13"/>
      <c r="N14" s="13"/>
      <c r="O14" s="13"/>
      <c r="P14" s="13"/>
      <c r="Q14" s="13"/>
      <c r="R14" s="394"/>
      <c r="S14" s="394"/>
      <c r="T14" s="13"/>
      <c r="U14" s="13"/>
      <c r="V14" s="13"/>
      <c r="W14" s="13"/>
      <c r="X14" s="13"/>
      <c r="Y14" s="394"/>
      <c r="Z14" s="394"/>
      <c r="AA14" s="13"/>
      <c r="AB14" s="13"/>
      <c r="AC14" s="13"/>
      <c r="AD14" s="13"/>
      <c r="AE14" s="13"/>
      <c r="AF14" s="394"/>
      <c r="AG14" s="394"/>
      <c r="AH14" s="13"/>
      <c r="AI14" s="13"/>
      <c r="AJ14" s="13"/>
      <c r="AK14" s="13"/>
      <c r="AL14" s="13"/>
      <c r="AM14" s="394"/>
      <c r="AN14" s="394"/>
      <c r="AO14" s="13"/>
      <c r="AP14" s="13"/>
      <c r="AQ14" s="13"/>
      <c r="AR14" s="13"/>
      <c r="AS14" s="13"/>
      <c r="AT14" s="394"/>
      <c r="AU14" s="394"/>
      <c r="AV14" s="13"/>
      <c r="AW14" s="13"/>
      <c r="AX14" s="13"/>
      <c r="AY14" s="13"/>
      <c r="AZ14" s="13"/>
      <c r="BA14" s="394"/>
      <c r="BB14" s="394"/>
      <c r="BC14" s="13"/>
      <c r="BD14" s="13"/>
      <c r="BE14" s="13"/>
      <c r="BF14" s="13"/>
      <c r="BG14" s="13"/>
      <c r="BH14" s="394"/>
      <c r="BI14" s="394"/>
    </row>
    <row r="15" spans="1:61" s="6" customFormat="1" ht="15.75" x14ac:dyDescent="0.25">
      <c r="A15" s="443" t="s">
        <v>271</v>
      </c>
      <c r="B15" s="402">
        <f>S.Notice.StartDraft</f>
        <v>0</v>
      </c>
      <c r="C15" s="402">
        <f>CodeName.ScheduleOfTasks!H599</f>
        <v>0</v>
      </c>
      <c r="D15" s="402"/>
      <c r="E15" s="396">
        <f t="shared" ca="1" si="2"/>
        <v>1</v>
      </c>
      <c r="F15" s="13"/>
      <c r="G15" s="13"/>
      <c r="H15" s="13"/>
      <c r="I15" s="13"/>
      <c r="J15" s="13"/>
      <c r="K15" s="393"/>
      <c r="L15" s="393"/>
      <c r="M15" s="13"/>
      <c r="N15" s="13"/>
      <c r="O15" s="13"/>
      <c r="P15" s="13"/>
      <c r="Q15" s="13"/>
      <c r="R15" s="394"/>
      <c r="S15" s="394"/>
      <c r="T15" s="13"/>
      <c r="U15" s="13"/>
      <c r="V15" s="13"/>
      <c r="W15" s="13"/>
      <c r="X15" s="13"/>
      <c r="Y15" s="394"/>
      <c r="Z15" s="394"/>
      <c r="AA15" s="13"/>
      <c r="AB15" s="13"/>
      <c r="AC15" s="13"/>
      <c r="AD15" s="13"/>
      <c r="AE15" s="13"/>
      <c r="AF15" s="394"/>
      <c r="AG15" s="394"/>
      <c r="AH15" s="13"/>
      <c r="AI15" s="13"/>
      <c r="AJ15" s="13"/>
      <c r="AK15" s="13"/>
      <c r="AL15" s="13"/>
      <c r="AM15" s="394"/>
      <c r="AN15" s="394"/>
      <c r="AO15" s="13"/>
      <c r="AP15" s="13"/>
      <c r="AQ15" s="13"/>
      <c r="AR15" s="13"/>
      <c r="AS15" s="13"/>
      <c r="AT15" s="394"/>
      <c r="AU15" s="394"/>
      <c r="AV15" s="13"/>
      <c r="AW15" s="13"/>
      <c r="AX15" s="13"/>
      <c r="AY15" s="13"/>
      <c r="AZ15" s="13"/>
      <c r="BA15" s="394"/>
      <c r="BB15" s="394"/>
      <c r="BC15" s="13"/>
      <c r="BD15" s="13"/>
      <c r="BE15" s="13"/>
      <c r="BF15" s="13"/>
      <c r="BG15" s="13"/>
      <c r="BH15" s="394"/>
      <c r="BI15" s="394"/>
    </row>
    <row r="16" spans="1:61" s="6" customFormat="1" ht="15.75" x14ac:dyDescent="0.25">
      <c r="A16" s="443" t="s">
        <v>272</v>
      </c>
      <c r="B16" s="402">
        <f>CodeName.ScheduleOfTasks!G735</f>
        <v>0</v>
      </c>
      <c r="C16" s="402">
        <f>CodeName.ScheduleOfTasks!H735</f>
        <v>0</v>
      </c>
      <c r="D16" s="402"/>
      <c r="E16" s="396">
        <f t="shared" ca="1" si="2"/>
        <v>1</v>
      </c>
      <c r="F16" s="13"/>
      <c r="G16" s="13"/>
      <c r="H16" s="13"/>
      <c r="I16" s="13"/>
      <c r="J16" s="13"/>
      <c r="K16" s="393"/>
      <c r="L16" s="393"/>
      <c r="M16" s="13"/>
      <c r="N16" s="13"/>
      <c r="O16" s="13"/>
      <c r="P16" s="13"/>
      <c r="Q16" s="13"/>
      <c r="R16" s="394"/>
      <c r="S16" s="394"/>
      <c r="T16" s="13"/>
      <c r="U16" s="13"/>
      <c r="V16" s="13"/>
      <c r="W16" s="13"/>
      <c r="X16" s="13"/>
      <c r="Y16" s="394"/>
      <c r="Z16" s="394"/>
      <c r="AA16" s="13"/>
      <c r="AB16" s="13"/>
      <c r="AC16" s="13"/>
      <c r="AD16" s="13"/>
      <c r="AE16" s="13"/>
      <c r="AF16" s="394"/>
      <c r="AG16" s="394"/>
      <c r="AH16" s="13"/>
      <c r="AI16" s="13"/>
      <c r="AJ16" s="13"/>
      <c r="AK16" s="13"/>
      <c r="AL16" s="13"/>
      <c r="AM16" s="394"/>
      <c r="AN16" s="394"/>
      <c r="AO16" s="13"/>
      <c r="AP16" s="13"/>
      <c r="AQ16" s="13"/>
      <c r="AR16" s="13"/>
      <c r="AS16" s="13"/>
      <c r="AT16" s="394"/>
      <c r="AU16" s="394"/>
      <c r="AV16" s="13"/>
      <c r="AW16" s="13"/>
      <c r="AX16" s="13"/>
      <c r="AY16" s="13"/>
      <c r="AZ16" s="13"/>
      <c r="BA16" s="394"/>
      <c r="BB16" s="394"/>
      <c r="BC16" s="13"/>
      <c r="BD16" s="13"/>
      <c r="BE16" s="13"/>
      <c r="BF16" s="13"/>
      <c r="BG16" s="13"/>
      <c r="BH16" s="394"/>
      <c r="BI16" s="394"/>
    </row>
    <row r="17" spans="1:61" s="6" customFormat="1" ht="15.75" x14ac:dyDescent="0.25">
      <c r="A17" s="443" t="s">
        <v>273</v>
      </c>
      <c r="B17" s="402">
        <f>CodeName.ScheduleOfTasks!H786</f>
        <v>0</v>
      </c>
      <c r="C17" s="402">
        <f>B17</f>
        <v>0</v>
      </c>
      <c r="D17" s="402"/>
      <c r="E17" s="396">
        <f t="shared" ca="1" si="2"/>
        <v>1</v>
      </c>
      <c r="F17" s="13"/>
      <c r="G17" s="13"/>
      <c r="H17" s="13"/>
      <c r="I17" s="13"/>
      <c r="J17" s="13"/>
      <c r="K17" s="393"/>
      <c r="L17" s="393"/>
      <c r="M17" s="13"/>
      <c r="N17" s="13"/>
      <c r="O17" s="13"/>
      <c r="P17" s="13"/>
      <c r="Q17" s="13"/>
      <c r="R17" s="394"/>
      <c r="S17" s="394"/>
      <c r="T17" s="13"/>
      <c r="U17" s="13"/>
      <c r="V17" s="13"/>
      <c r="W17" s="13"/>
      <c r="X17" s="13"/>
      <c r="Y17" s="394"/>
      <c r="Z17" s="394"/>
      <c r="AA17" s="13"/>
      <c r="AB17" s="13"/>
      <c r="AC17" s="13"/>
      <c r="AD17" s="13"/>
      <c r="AE17" s="13"/>
      <c r="AF17" s="394"/>
      <c r="AG17" s="394"/>
      <c r="AH17" s="13"/>
      <c r="AI17" s="13"/>
      <c r="AJ17" s="13"/>
      <c r="AK17" s="13"/>
      <c r="AL17" s="13"/>
      <c r="AM17" s="394"/>
      <c r="AN17" s="394"/>
      <c r="AO17" s="13"/>
      <c r="AP17" s="13"/>
      <c r="AQ17" s="13"/>
      <c r="AR17" s="13"/>
      <c r="AS17" s="13"/>
      <c r="AT17" s="394"/>
      <c r="AU17" s="394"/>
      <c r="AV17" s="13"/>
      <c r="AW17" s="13"/>
      <c r="AX17" s="13"/>
      <c r="AY17" s="13"/>
      <c r="AZ17" s="13"/>
      <c r="BA17" s="394"/>
      <c r="BB17" s="394"/>
      <c r="BC17" s="13"/>
      <c r="BD17" s="13"/>
      <c r="BE17" s="13"/>
      <c r="BF17" s="13"/>
      <c r="BG17" s="13"/>
      <c r="BH17" s="394"/>
      <c r="BI17" s="394"/>
    </row>
    <row r="18" spans="1:61" ht="15.75" x14ac:dyDescent="0.25">
      <c r="A18" s="400" t="s">
        <v>233</v>
      </c>
      <c r="B18"/>
      <c r="C18"/>
      <c r="E18" s="396">
        <f t="shared" ca="1" si="2"/>
        <v>1</v>
      </c>
      <c r="F18" s="13"/>
      <c r="G18" s="13"/>
      <c r="H18" s="13"/>
      <c r="I18" s="13"/>
      <c r="J18" s="13"/>
      <c r="K18" s="393"/>
      <c r="L18" s="393"/>
      <c r="M18" s="13"/>
      <c r="N18" s="13"/>
      <c r="O18" s="13"/>
      <c r="P18" s="13"/>
      <c r="Q18" s="13"/>
      <c r="R18" s="394"/>
      <c r="S18" s="394"/>
      <c r="T18" s="13"/>
      <c r="U18" s="13"/>
      <c r="V18" s="13"/>
      <c r="W18" s="13"/>
      <c r="X18" s="13"/>
      <c r="Y18" s="394"/>
      <c r="Z18" s="394"/>
      <c r="AA18" s="13"/>
      <c r="AB18" s="13"/>
      <c r="AC18" s="13"/>
      <c r="AD18" s="13"/>
      <c r="AE18" s="13"/>
      <c r="AF18" s="394"/>
      <c r="AG18" s="394"/>
      <c r="AH18" s="13"/>
      <c r="AI18" s="13"/>
      <c r="AJ18" s="13"/>
      <c r="AK18" s="13"/>
      <c r="AL18" s="13"/>
      <c r="AM18" s="394"/>
      <c r="AN18" s="394"/>
      <c r="AO18" s="13"/>
      <c r="AP18" s="13"/>
      <c r="AQ18" s="13"/>
      <c r="AR18" s="13"/>
      <c r="AS18" s="13"/>
      <c r="AT18" s="394"/>
      <c r="AU18" s="394"/>
      <c r="AV18" s="13"/>
      <c r="AW18" s="13"/>
      <c r="AX18" s="13"/>
      <c r="AY18" s="13"/>
      <c r="AZ18" s="13"/>
      <c r="BA18" s="394"/>
      <c r="BB18" s="394"/>
      <c r="BC18" s="13"/>
      <c r="BD18" s="13"/>
      <c r="BE18" s="13"/>
      <c r="BF18" s="13"/>
      <c r="BG18" s="13"/>
      <c r="BH18" s="394"/>
      <c r="BI18" s="394"/>
    </row>
    <row r="19" spans="1:61" ht="15.75" x14ac:dyDescent="0.25">
      <c r="A19" s="443" t="s">
        <v>234</v>
      </c>
      <c r="B19" s="402">
        <f>S.Notice.EPA.180days</f>
        <v>41989</v>
      </c>
      <c r="C19" s="402">
        <f>B19</f>
        <v>41989</v>
      </c>
      <c r="D19" s="446"/>
      <c r="E19" s="396">
        <f t="shared" ca="1" si="2"/>
        <v>1</v>
      </c>
      <c r="F19" s="13"/>
      <c r="G19" s="13"/>
      <c r="H19" s="13"/>
      <c r="I19" s="13"/>
      <c r="J19" s="13"/>
      <c r="K19" s="393"/>
      <c r="L19" s="393"/>
      <c r="M19" s="13"/>
      <c r="N19" s="13"/>
      <c r="O19" s="13"/>
      <c r="P19" s="13"/>
      <c r="Q19" s="13"/>
      <c r="R19" s="394"/>
      <c r="S19" s="394"/>
      <c r="T19" s="13"/>
      <c r="U19" s="13"/>
      <c r="V19" s="13"/>
      <c r="W19" s="13"/>
      <c r="X19" s="13"/>
      <c r="Y19" s="394"/>
      <c r="Z19" s="394"/>
      <c r="AA19" s="13"/>
      <c r="AB19" s="13"/>
      <c r="AC19" s="13"/>
      <c r="AD19" s="13"/>
      <c r="AE19" s="13"/>
      <c r="AF19" s="394"/>
      <c r="AG19" s="394"/>
      <c r="AH19" s="13"/>
      <c r="AI19" s="13"/>
      <c r="AJ19" s="13"/>
      <c r="AK19" s="13"/>
      <c r="AL19" s="13"/>
      <c r="AM19" s="394"/>
      <c r="AN19" s="394"/>
      <c r="AO19" s="13"/>
      <c r="AP19" s="13"/>
      <c r="AQ19" s="13"/>
      <c r="AR19" s="13"/>
      <c r="AS19" s="13"/>
      <c r="AT19" s="394"/>
      <c r="AU19" s="394"/>
      <c r="AV19" s="13"/>
      <c r="AW19" s="13"/>
      <c r="AX19" s="13"/>
      <c r="AY19" s="13"/>
      <c r="AZ19" s="13"/>
      <c r="BA19" s="394"/>
      <c r="BB19" s="394"/>
      <c r="BC19" s="13"/>
      <c r="BD19" s="13"/>
      <c r="BE19" s="13"/>
      <c r="BF19" s="13"/>
      <c r="BG19" s="13"/>
      <c r="BH19" s="394"/>
      <c r="BI19" s="394"/>
    </row>
    <row r="20" spans="1:61" ht="15.75" x14ac:dyDescent="0.25">
      <c r="A20" s="443" t="s">
        <v>235</v>
      </c>
      <c r="B20" s="402" t="e">
        <f>S.Notice.EPA.45day</f>
        <v>#NAME?</v>
      </c>
      <c r="C20" s="402" t="e">
        <f>B20</f>
        <v>#NAME?</v>
      </c>
      <c r="D20" s="402"/>
      <c r="E20" s="396" t="e">
        <f t="shared" ca="1" si="2"/>
        <v>#NAME?</v>
      </c>
      <c r="F20" s="13"/>
      <c r="G20" s="13"/>
      <c r="H20" s="13"/>
      <c r="I20" s="13"/>
      <c r="J20" s="13"/>
      <c r="K20" s="393"/>
      <c r="L20" s="393"/>
      <c r="M20" s="13"/>
      <c r="N20" s="13"/>
      <c r="O20" s="13"/>
      <c r="P20" s="13"/>
      <c r="Q20" s="13"/>
      <c r="R20" s="394"/>
      <c r="S20" s="394"/>
      <c r="T20" s="13"/>
      <c r="U20" s="13"/>
      <c r="V20" s="13"/>
      <c r="W20" s="13"/>
      <c r="X20" s="13"/>
      <c r="Y20" s="394"/>
      <c r="Z20" s="394"/>
      <c r="AA20" s="13"/>
      <c r="AB20" s="13"/>
      <c r="AC20" s="13"/>
      <c r="AD20" s="13"/>
      <c r="AE20" s="13"/>
      <c r="AF20" s="394"/>
      <c r="AG20" s="394"/>
      <c r="AH20" s="13"/>
      <c r="AI20" s="13"/>
      <c r="AJ20" s="13"/>
      <c r="AK20" s="13"/>
      <c r="AL20" s="13"/>
      <c r="AM20" s="394"/>
      <c r="AN20" s="394"/>
      <c r="AO20" s="13"/>
      <c r="AP20" s="13"/>
      <c r="AQ20" s="13"/>
      <c r="AR20" s="13"/>
      <c r="AS20" s="13"/>
      <c r="AT20" s="394"/>
      <c r="AU20" s="394"/>
      <c r="AV20" s="13"/>
      <c r="AW20" s="13"/>
      <c r="AX20" s="13"/>
      <c r="AY20" s="13"/>
      <c r="AZ20" s="13"/>
      <c r="BA20" s="394"/>
      <c r="BB20" s="394"/>
      <c r="BC20" s="13"/>
      <c r="BD20" s="13"/>
      <c r="BE20" s="13"/>
      <c r="BF20" s="13"/>
      <c r="BG20" s="13"/>
      <c r="BH20" s="394"/>
      <c r="BI20" s="394"/>
    </row>
    <row r="21" spans="1:61" ht="15.75" x14ac:dyDescent="0.25">
      <c r="A21" s="443" t="s">
        <v>236</v>
      </c>
      <c r="B21" s="402">
        <f>S.PostEQC.SubmitSIPToEPA</f>
        <v>42416</v>
      </c>
      <c r="C21" s="402">
        <f>B21</f>
        <v>42416</v>
      </c>
      <c r="D21" s="402"/>
      <c r="E21" s="396">
        <f t="shared" ca="1" si="2"/>
        <v>0</v>
      </c>
      <c r="F21" s="13"/>
      <c r="G21" s="13"/>
      <c r="H21" s="13"/>
      <c r="I21" s="13"/>
      <c r="J21" s="13"/>
      <c r="K21" s="393"/>
      <c r="L21" s="393"/>
      <c r="M21" s="13"/>
      <c r="N21" s="13"/>
      <c r="O21" s="13"/>
      <c r="P21" s="13"/>
      <c r="Q21" s="13"/>
      <c r="R21" s="394"/>
      <c r="S21" s="394"/>
      <c r="T21" s="13"/>
      <c r="U21" s="13"/>
      <c r="V21" s="13"/>
      <c r="W21" s="13"/>
      <c r="X21" s="13"/>
      <c r="Y21" s="394"/>
      <c r="Z21" s="394"/>
      <c r="AA21" s="13"/>
      <c r="AB21" s="13"/>
      <c r="AC21" s="13"/>
      <c r="AD21" s="13"/>
      <c r="AE21" s="13"/>
      <c r="AF21" s="394"/>
      <c r="AG21" s="394"/>
      <c r="AH21" s="13"/>
      <c r="AI21" s="13"/>
      <c r="AJ21" s="13"/>
      <c r="AK21" s="13"/>
      <c r="AL21" s="13"/>
      <c r="AM21" s="394"/>
      <c r="AN21" s="394"/>
      <c r="AO21" s="13"/>
      <c r="AP21" s="13"/>
      <c r="AQ21" s="13"/>
      <c r="AR21" s="13"/>
      <c r="AS21" s="13"/>
      <c r="AT21" s="394"/>
      <c r="AU21" s="394"/>
      <c r="AV21" s="13"/>
      <c r="AW21" s="13"/>
      <c r="AX21" s="13"/>
      <c r="AY21" s="13"/>
      <c r="AZ21" s="13"/>
      <c r="BA21" s="394"/>
      <c r="BB21" s="394"/>
      <c r="BC21" s="13"/>
      <c r="BD21" s="13"/>
      <c r="BE21" s="13"/>
      <c r="BF21" s="13"/>
      <c r="BG21" s="13"/>
      <c r="BH21" s="394"/>
      <c r="BI21" s="394"/>
    </row>
    <row r="22" spans="1:61" ht="15.75" x14ac:dyDescent="0.25">
      <c r="A22" s="400" t="s">
        <v>237</v>
      </c>
      <c r="B22" s="402" t="s">
        <v>0</v>
      </c>
      <c r="C22" s="402" t="s">
        <v>0</v>
      </c>
      <c r="D22" s="402"/>
      <c r="E22" s="396">
        <f t="shared" ca="1" si="2"/>
        <v>0</v>
      </c>
      <c r="F22" s="13"/>
      <c r="G22" s="13"/>
      <c r="H22" s="13"/>
      <c r="I22" s="13"/>
      <c r="J22" s="13"/>
      <c r="K22" s="393"/>
      <c r="L22" s="393"/>
      <c r="M22" s="13"/>
      <c r="N22" s="13"/>
      <c r="O22" s="13"/>
      <c r="P22" s="13"/>
      <c r="Q22" s="13"/>
      <c r="R22" s="394"/>
      <c r="S22" s="394"/>
      <c r="T22" s="13"/>
      <c r="U22" s="13"/>
      <c r="V22" s="13"/>
      <c r="W22" s="13"/>
      <c r="X22" s="13"/>
      <c r="Y22" s="394"/>
      <c r="Z22" s="394"/>
      <c r="AA22" s="13"/>
      <c r="AB22" s="13"/>
      <c r="AC22" s="13"/>
      <c r="AD22" s="13"/>
      <c r="AE22" s="13"/>
      <c r="AF22" s="394"/>
      <c r="AG22" s="394"/>
      <c r="AH22" s="13"/>
      <c r="AI22" s="13"/>
      <c r="AJ22" s="13"/>
      <c r="AK22" s="13"/>
      <c r="AL22" s="13"/>
      <c r="AM22" s="394"/>
      <c r="AN22" s="394"/>
      <c r="AO22" s="13"/>
      <c r="AP22" s="13"/>
      <c r="AQ22" s="13"/>
      <c r="AR22" s="13"/>
      <c r="AS22" s="13"/>
      <c r="AT22" s="394"/>
      <c r="AU22" s="394"/>
      <c r="AV22" s="13"/>
      <c r="AW22" s="13"/>
      <c r="AX22" s="13"/>
      <c r="AY22" s="13"/>
      <c r="AZ22" s="13"/>
      <c r="BA22" s="394"/>
      <c r="BB22" s="394"/>
      <c r="BC22" s="13"/>
      <c r="BD22" s="13"/>
      <c r="BE22" s="13"/>
      <c r="BF22" s="13"/>
      <c r="BG22" s="13"/>
      <c r="BH22" s="394"/>
      <c r="BI22" s="394"/>
    </row>
    <row r="23" spans="1:61" ht="15.75" x14ac:dyDescent="0.25">
      <c r="A23" s="443" t="s">
        <v>238</v>
      </c>
      <c r="B23" s="402">
        <f>S.Fee.SubmitToDAS</f>
        <v>0</v>
      </c>
      <c r="C23" s="402">
        <f>B23</f>
        <v>0</v>
      </c>
      <c r="D23" s="402"/>
      <c r="E23" s="396">
        <f t="shared" ca="1" si="2"/>
        <v>1</v>
      </c>
      <c r="F23" s="13"/>
      <c r="G23" s="13"/>
      <c r="H23" s="13"/>
      <c r="I23" s="13"/>
      <c r="J23" s="13"/>
      <c r="K23" s="393"/>
      <c r="L23" s="393"/>
      <c r="M23" s="13"/>
      <c r="N23" s="13"/>
      <c r="O23" s="13"/>
      <c r="P23" s="13"/>
      <c r="Q23" s="13"/>
      <c r="R23" s="394"/>
      <c r="S23" s="394"/>
      <c r="T23" s="13"/>
      <c r="U23" s="13"/>
      <c r="V23" s="13"/>
      <c r="W23" s="13"/>
      <c r="X23" s="13"/>
      <c r="Y23" s="394"/>
      <c r="Z23" s="394"/>
      <c r="AA23" s="13"/>
      <c r="AB23" s="13"/>
      <c r="AC23" s="13"/>
      <c r="AD23" s="13"/>
      <c r="AE23" s="13"/>
      <c r="AF23" s="394"/>
      <c r="AG23" s="394"/>
      <c r="AH23" s="13"/>
      <c r="AI23" s="13"/>
      <c r="AJ23" s="13"/>
      <c r="AK23" s="13"/>
      <c r="AL23" s="13"/>
      <c r="AM23" s="394"/>
      <c r="AN23" s="394"/>
      <c r="AO23" s="13"/>
      <c r="AP23" s="13"/>
      <c r="AQ23" s="13"/>
      <c r="AR23" s="13"/>
      <c r="AS23" s="13"/>
      <c r="AT23" s="394"/>
      <c r="AU23" s="394"/>
      <c r="AV23" s="13"/>
      <c r="AW23" s="13"/>
      <c r="AX23" s="13"/>
      <c r="AY23" s="13"/>
      <c r="AZ23" s="13"/>
      <c r="BA23" s="394"/>
      <c r="BB23" s="394"/>
      <c r="BC23" s="13"/>
      <c r="BD23" s="13"/>
      <c r="BE23" s="13"/>
      <c r="BF23" s="13"/>
      <c r="BG23" s="13"/>
      <c r="BH23" s="394"/>
      <c r="BI23" s="394"/>
    </row>
    <row r="24" spans="1:61" ht="15.75" x14ac:dyDescent="0.25">
      <c r="A24" s="443" t="s">
        <v>268</v>
      </c>
      <c r="B24" s="402">
        <f>S.PostEQC.SubmitDASPart2</f>
        <v>42359</v>
      </c>
      <c r="C24" s="402">
        <f>B24</f>
        <v>42359</v>
      </c>
      <c r="D24" s="402"/>
      <c r="E24" s="396">
        <f t="shared" ca="1" si="2"/>
        <v>0</v>
      </c>
      <c r="F24" s="13"/>
      <c r="G24" s="13"/>
      <c r="H24" s="13"/>
      <c r="I24" s="13"/>
      <c r="J24" s="13"/>
      <c r="K24" s="393"/>
      <c r="L24" s="393"/>
      <c r="M24" s="13"/>
      <c r="N24" s="13"/>
      <c r="O24" s="13"/>
      <c r="P24" s="13"/>
      <c r="Q24" s="13"/>
      <c r="R24" s="394"/>
      <c r="S24" s="394"/>
      <c r="T24" s="13"/>
      <c r="U24" s="13"/>
      <c r="V24" s="13"/>
      <c r="W24" s="13"/>
      <c r="X24" s="13"/>
      <c r="Y24" s="394"/>
      <c r="Z24" s="394"/>
      <c r="AA24" s="13"/>
      <c r="AB24" s="13"/>
      <c r="AC24" s="13"/>
      <c r="AD24" s="13"/>
      <c r="AE24" s="13"/>
      <c r="AF24" s="394"/>
      <c r="AG24" s="394"/>
      <c r="AH24" s="13"/>
      <c r="AI24" s="13"/>
      <c r="AJ24" s="13"/>
      <c r="AK24" s="13"/>
      <c r="AL24" s="13"/>
      <c r="AM24" s="394"/>
      <c r="AN24" s="394"/>
      <c r="AO24" s="13"/>
      <c r="AP24" s="13"/>
      <c r="AQ24" s="13"/>
      <c r="AR24" s="13"/>
      <c r="AS24" s="13"/>
      <c r="AT24" s="394"/>
      <c r="AU24" s="394"/>
      <c r="AV24" s="13"/>
      <c r="AW24" s="13"/>
      <c r="AX24" s="13"/>
      <c r="AY24" s="13"/>
      <c r="AZ24" s="13"/>
      <c r="BA24" s="394"/>
      <c r="BB24" s="394"/>
      <c r="BC24" s="13"/>
      <c r="BD24" s="13"/>
      <c r="BE24" s="13"/>
      <c r="BF24" s="13"/>
      <c r="BG24" s="13"/>
      <c r="BH24" s="394"/>
      <c r="BI24" s="394"/>
    </row>
    <row r="25" spans="1:61" ht="15.75" x14ac:dyDescent="0.25">
      <c r="A25" s="443" t="s">
        <v>239</v>
      </c>
      <c r="B25" s="402">
        <f>S.Notice.DASNotification</f>
        <v>0</v>
      </c>
      <c r="C25" s="402">
        <f>B25</f>
        <v>0</v>
      </c>
      <c r="D25" s="402"/>
      <c r="E25" s="396">
        <f t="shared" ca="1" si="2"/>
        <v>1</v>
      </c>
      <c r="F25" s="13"/>
      <c r="G25" s="13"/>
      <c r="H25" s="13"/>
      <c r="I25" s="13"/>
      <c r="J25" s="13"/>
      <c r="K25" s="393"/>
      <c r="L25" s="393"/>
      <c r="M25" s="13"/>
      <c r="N25" s="13"/>
      <c r="O25" s="13"/>
      <c r="P25" s="13"/>
      <c r="Q25" s="13"/>
      <c r="R25" s="394"/>
      <c r="S25" s="394"/>
      <c r="T25" s="13"/>
      <c r="U25" s="13"/>
      <c r="V25" s="13"/>
      <c r="W25" s="13"/>
      <c r="X25" s="13"/>
      <c r="Y25" s="394"/>
      <c r="Z25" s="394"/>
      <c r="AA25" s="13"/>
      <c r="AB25" s="13"/>
      <c r="AC25" s="13"/>
      <c r="AD25" s="13"/>
      <c r="AE25" s="13"/>
      <c r="AF25" s="394"/>
      <c r="AG25" s="394"/>
      <c r="AH25" s="13"/>
      <c r="AI25" s="13"/>
      <c r="AJ25" s="13"/>
      <c r="AK25" s="13"/>
      <c r="AL25" s="13"/>
      <c r="AM25" s="394"/>
      <c r="AN25" s="394"/>
      <c r="AO25" s="13"/>
      <c r="AP25" s="13"/>
      <c r="AQ25" s="13"/>
      <c r="AR25" s="13"/>
      <c r="AS25" s="13"/>
      <c r="AT25" s="394"/>
      <c r="AU25" s="394"/>
      <c r="AV25" s="13"/>
      <c r="AW25" s="13"/>
      <c r="AX25" s="13"/>
      <c r="AY25" s="13"/>
      <c r="AZ25" s="13"/>
      <c r="BA25" s="394"/>
      <c r="BB25" s="394"/>
      <c r="BC25" s="13"/>
      <c r="BD25" s="13"/>
      <c r="BE25" s="13"/>
      <c r="BF25" s="13"/>
      <c r="BG25" s="13"/>
      <c r="BH25" s="394"/>
      <c r="BI25" s="394"/>
    </row>
    <row r="26" spans="1:61" ht="15.75" x14ac:dyDescent="0.25">
      <c r="A26" s="400" t="s">
        <v>240</v>
      </c>
      <c r="B26" s="401" t="s">
        <v>0</v>
      </c>
      <c r="C26" s="401" t="s">
        <v>0</v>
      </c>
      <c r="D26" s="401"/>
      <c r="E26" s="396">
        <f t="shared" ca="1" si="2"/>
        <v>0</v>
      </c>
      <c r="F26" s="13"/>
      <c r="G26" s="13"/>
      <c r="H26" s="13"/>
      <c r="I26" s="13"/>
      <c r="J26" s="13"/>
      <c r="K26" s="393"/>
      <c r="L26" s="393"/>
      <c r="M26" s="13"/>
      <c r="N26" s="13"/>
      <c r="O26" s="13"/>
      <c r="P26" s="13"/>
      <c r="Q26" s="13"/>
      <c r="R26" s="394"/>
      <c r="S26" s="394"/>
      <c r="T26" s="13"/>
      <c r="U26" s="13"/>
      <c r="V26" s="13"/>
      <c r="W26" s="13"/>
      <c r="X26" s="13"/>
      <c r="Y26" s="394"/>
      <c r="Z26" s="394"/>
      <c r="AA26" s="13"/>
      <c r="AB26" s="13"/>
      <c r="AC26" s="13"/>
      <c r="AD26" s="13"/>
      <c r="AE26" s="13"/>
      <c r="AF26" s="394"/>
      <c r="AG26" s="394"/>
      <c r="AH26" s="13"/>
      <c r="AI26" s="13"/>
      <c r="AJ26" s="13"/>
      <c r="AK26" s="13"/>
      <c r="AL26" s="13"/>
      <c r="AM26" s="394"/>
      <c r="AN26" s="394"/>
      <c r="AO26" s="13"/>
      <c r="AP26" s="13"/>
      <c r="AQ26" s="13"/>
      <c r="AR26" s="13"/>
      <c r="AS26" s="13"/>
      <c r="AT26" s="394"/>
      <c r="AU26" s="394"/>
      <c r="AV26" s="13"/>
      <c r="AW26" s="13"/>
      <c r="AX26" s="13"/>
      <c r="AY26" s="13"/>
      <c r="AZ26" s="13"/>
      <c r="BA26" s="394"/>
      <c r="BB26" s="394"/>
      <c r="BC26" s="13"/>
      <c r="BD26" s="13"/>
      <c r="BE26" s="13"/>
      <c r="BF26" s="13"/>
      <c r="BG26" s="13"/>
      <c r="BH26" s="394"/>
      <c r="BI26" s="394"/>
    </row>
    <row r="27" spans="1:61" ht="15.75" x14ac:dyDescent="0.25">
      <c r="A27" s="444" t="s">
        <v>265</v>
      </c>
      <c r="B27" s="402">
        <f>S.AC.SendInvitation</f>
        <v>0</v>
      </c>
      <c r="C27" s="402">
        <f>B27</f>
        <v>0</v>
      </c>
      <c r="D27" s="402"/>
      <c r="E27" s="396">
        <f ca="1">IF($C27&gt;=$A$3,0,1)</f>
        <v>1</v>
      </c>
      <c r="F27" s="13"/>
      <c r="G27" s="13"/>
      <c r="H27" s="13"/>
      <c r="I27" s="13"/>
      <c r="J27" s="13"/>
      <c r="K27" s="393"/>
      <c r="L27" s="393"/>
      <c r="M27" s="13"/>
      <c r="N27" s="13"/>
      <c r="O27" s="13"/>
      <c r="P27" s="13"/>
      <c r="Q27" s="13"/>
      <c r="R27" s="394"/>
      <c r="S27" s="394"/>
      <c r="T27" s="13"/>
      <c r="U27" s="13"/>
      <c r="V27" s="13"/>
      <c r="W27" s="13"/>
      <c r="X27" s="13"/>
      <c r="Y27" s="394"/>
      <c r="Z27" s="394"/>
      <c r="AA27" s="13"/>
      <c r="AB27" s="13"/>
      <c r="AC27" s="13"/>
      <c r="AD27" s="13"/>
      <c r="AE27" s="13"/>
      <c r="AF27" s="394"/>
      <c r="AG27" s="394"/>
      <c r="AH27" s="13"/>
      <c r="AI27" s="13"/>
      <c r="AJ27" s="13"/>
      <c r="AK27" s="13"/>
      <c r="AL27" s="13"/>
      <c r="AM27" s="394"/>
      <c r="AN27" s="394"/>
      <c r="AO27" s="13"/>
      <c r="AP27" s="13"/>
      <c r="AQ27" s="13"/>
      <c r="AR27" s="13"/>
      <c r="AS27" s="13"/>
      <c r="AT27" s="394"/>
      <c r="AU27" s="394"/>
      <c r="AV27" s="13"/>
      <c r="AW27" s="13"/>
      <c r="AX27" s="13"/>
      <c r="AY27" s="13"/>
      <c r="AZ27" s="13"/>
      <c r="BA27" s="394"/>
      <c r="BB27" s="394"/>
      <c r="BC27" s="13"/>
      <c r="BD27" s="13"/>
      <c r="BE27" s="13"/>
      <c r="BF27" s="13"/>
      <c r="BG27" s="13"/>
      <c r="BH27" s="394"/>
      <c r="BI27" s="394"/>
    </row>
    <row r="28" spans="1:61" ht="15.75" x14ac:dyDescent="0.25">
      <c r="A28" s="444" t="s">
        <v>17</v>
      </c>
      <c r="B28" s="402">
        <f>S.AC.DateMeeting1</f>
        <v>16</v>
      </c>
      <c r="C28" s="402">
        <f t="shared" ref="C28:C32" si="3">B28</f>
        <v>16</v>
      </c>
      <c r="D28" s="402"/>
      <c r="E28" s="396">
        <f t="shared" ca="1" si="2"/>
        <v>1</v>
      </c>
      <c r="F28" s="13"/>
      <c r="G28" s="13"/>
      <c r="H28" s="13"/>
      <c r="I28" s="13"/>
      <c r="J28" s="13"/>
      <c r="K28" s="393"/>
      <c r="L28" s="393"/>
      <c r="M28" s="13"/>
      <c r="N28" s="13"/>
      <c r="O28" s="13"/>
      <c r="P28" s="13"/>
      <c r="Q28" s="13"/>
      <c r="R28" s="394"/>
      <c r="S28" s="394"/>
      <c r="T28" s="13"/>
      <c r="U28" s="13"/>
      <c r="V28" s="13"/>
      <c r="W28" s="13"/>
      <c r="X28" s="13"/>
      <c r="Y28" s="394"/>
      <c r="Z28" s="394"/>
      <c r="AA28" s="13"/>
      <c r="AB28" s="13"/>
      <c r="AC28" s="13"/>
      <c r="AD28" s="13"/>
      <c r="AE28" s="13"/>
      <c r="AF28" s="394"/>
      <c r="AG28" s="394"/>
      <c r="AH28" s="13"/>
      <c r="AI28" s="13"/>
      <c r="AJ28" s="13"/>
      <c r="AK28" s="13"/>
      <c r="AL28" s="13"/>
      <c r="AM28" s="394"/>
      <c r="AN28" s="394"/>
      <c r="AO28" s="13"/>
      <c r="AP28" s="13"/>
      <c r="AQ28" s="13"/>
      <c r="AR28" s="13"/>
      <c r="AS28" s="13"/>
      <c r="AT28" s="394"/>
      <c r="AU28" s="394"/>
      <c r="AV28" s="13"/>
      <c r="AW28" s="13"/>
      <c r="AX28" s="13"/>
      <c r="AY28" s="13"/>
      <c r="AZ28" s="13"/>
      <c r="BA28" s="394"/>
      <c r="BB28" s="394"/>
      <c r="BC28" s="13"/>
      <c r="BD28" s="13"/>
      <c r="BE28" s="13"/>
      <c r="BF28" s="13"/>
      <c r="BG28" s="13"/>
      <c r="BH28" s="394"/>
      <c r="BI28" s="394"/>
    </row>
    <row r="29" spans="1:61" ht="15.75" x14ac:dyDescent="0.25">
      <c r="A29" s="444" t="s">
        <v>16</v>
      </c>
      <c r="B29" s="402">
        <f>S.AC.DateMeeting2</f>
        <v>16</v>
      </c>
      <c r="C29" s="402">
        <f t="shared" si="3"/>
        <v>16</v>
      </c>
      <c r="D29" s="402"/>
      <c r="E29" s="396">
        <f t="shared" ca="1" si="2"/>
        <v>1</v>
      </c>
      <c r="F29" s="13"/>
      <c r="G29" s="13"/>
      <c r="H29" s="13"/>
      <c r="I29" s="13"/>
      <c r="J29" s="13"/>
      <c r="K29" s="393"/>
      <c r="L29" s="393"/>
      <c r="M29" s="13"/>
      <c r="N29" s="13"/>
      <c r="O29" s="13"/>
      <c r="P29" s="13"/>
      <c r="Q29" s="13"/>
      <c r="R29" s="394"/>
      <c r="S29" s="394"/>
      <c r="T29" s="13"/>
      <c r="U29" s="13"/>
      <c r="V29" s="13"/>
      <c r="W29" s="13"/>
      <c r="X29" s="13"/>
      <c r="Y29" s="394"/>
      <c r="Z29" s="394"/>
      <c r="AA29" s="13"/>
      <c r="AB29" s="13"/>
      <c r="AC29" s="13"/>
      <c r="AD29" s="13"/>
      <c r="AE29" s="13"/>
      <c r="AF29" s="394"/>
      <c r="AG29" s="394"/>
      <c r="AH29" s="13"/>
      <c r="AI29" s="13"/>
      <c r="AJ29" s="13"/>
      <c r="AK29" s="13"/>
      <c r="AL29" s="13"/>
      <c r="AM29" s="394"/>
      <c r="AN29" s="394"/>
      <c r="AO29" s="13"/>
      <c r="AP29" s="13"/>
      <c r="AQ29" s="13"/>
      <c r="AR29" s="13"/>
      <c r="AS29" s="13"/>
      <c r="AT29" s="394"/>
      <c r="AU29" s="394"/>
      <c r="AV29" s="13"/>
      <c r="AW29" s="13"/>
      <c r="AX29" s="13"/>
      <c r="AY29" s="13"/>
      <c r="AZ29" s="13"/>
      <c r="BA29" s="394"/>
      <c r="BB29" s="394"/>
      <c r="BC29" s="13"/>
      <c r="BD29" s="13"/>
      <c r="BE29" s="13"/>
      <c r="BF29" s="13"/>
      <c r="BG29" s="13"/>
      <c r="BH29" s="394"/>
      <c r="BI29" s="394"/>
    </row>
    <row r="30" spans="1:61" ht="15.75" x14ac:dyDescent="0.25">
      <c r="A30" s="444" t="s">
        <v>15</v>
      </c>
      <c r="B30" s="402">
        <f>S.AC.DateMeeting3</f>
        <v>16</v>
      </c>
      <c r="C30" s="402">
        <f t="shared" si="3"/>
        <v>16</v>
      </c>
      <c r="D30" s="402"/>
      <c r="E30" s="396">
        <f t="shared" ca="1" si="2"/>
        <v>1</v>
      </c>
      <c r="F30" s="13"/>
      <c r="G30" s="13"/>
      <c r="H30" s="13"/>
      <c r="I30" s="13"/>
      <c r="J30" s="13"/>
      <c r="K30" s="393"/>
      <c r="L30" s="393"/>
      <c r="M30" s="13"/>
      <c r="N30" s="13"/>
      <c r="O30" s="13"/>
      <c r="P30" s="13"/>
      <c r="Q30" s="13"/>
      <c r="R30" s="394"/>
      <c r="S30" s="394"/>
      <c r="T30" s="13"/>
      <c r="U30" s="13"/>
      <c r="V30" s="13"/>
      <c r="W30" s="13"/>
      <c r="X30" s="13"/>
      <c r="Y30" s="394"/>
      <c r="Z30" s="394"/>
      <c r="AA30" s="13"/>
      <c r="AB30" s="13"/>
      <c r="AC30" s="13"/>
      <c r="AD30" s="13"/>
      <c r="AE30" s="13"/>
      <c r="AF30" s="394"/>
      <c r="AG30" s="394"/>
      <c r="AH30" s="13"/>
      <c r="AI30" s="13"/>
      <c r="AJ30" s="13"/>
      <c r="AK30" s="13"/>
      <c r="AL30" s="13"/>
      <c r="AM30" s="394"/>
      <c r="AN30" s="394"/>
      <c r="AO30" s="13"/>
      <c r="AP30" s="13"/>
      <c r="AQ30" s="13"/>
      <c r="AR30" s="13"/>
      <c r="AS30" s="13"/>
      <c r="AT30" s="394"/>
      <c r="AU30" s="394"/>
      <c r="AV30" s="13"/>
      <c r="AW30" s="13"/>
      <c r="AX30" s="13"/>
      <c r="AY30" s="13"/>
      <c r="AZ30" s="13"/>
      <c r="BA30" s="394"/>
      <c r="BB30" s="394"/>
      <c r="BC30" s="13"/>
      <c r="BD30" s="13"/>
      <c r="BE30" s="13"/>
      <c r="BF30" s="13"/>
      <c r="BG30" s="13"/>
      <c r="BH30" s="394"/>
      <c r="BI30" s="394"/>
    </row>
    <row r="31" spans="1:61" ht="15.75" x14ac:dyDescent="0.25">
      <c r="A31" s="444" t="s">
        <v>19</v>
      </c>
      <c r="B31" s="402">
        <f>S.AC.DateMeeting4</f>
        <v>16</v>
      </c>
      <c r="C31" s="402">
        <f t="shared" si="3"/>
        <v>16</v>
      </c>
      <c r="D31" s="402"/>
      <c r="E31" s="396">
        <f t="shared" ca="1" si="2"/>
        <v>1</v>
      </c>
      <c r="F31" s="13"/>
      <c r="G31" s="13"/>
      <c r="H31" s="13"/>
      <c r="I31" s="13"/>
      <c r="J31" s="13"/>
      <c r="K31" s="393"/>
      <c r="L31" s="393"/>
      <c r="M31" s="13"/>
      <c r="N31" s="13"/>
      <c r="O31" s="13"/>
      <c r="P31" s="13"/>
      <c r="Q31" s="13"/>
      <c r="R31" s="394"/>
      <c r="S31" s="394"/>
      <c r="T31" s="13"/>
      <c r="U31" s="13"/>
      <c r="V31" s="13"/>
      <c r="W31" s="13"/>
      <c r="X31" s="13"/>
      <c r="Y31" s="394"/>
      <c r="Z31" s="394"/>
      <c r="AA31" s="13"/>
      <c r="AB31" s="13"/>
      <c r="AC31" s="13"/>
      <c r="AD31" s="13"/>
      <c r="AE31" s="13"/>
      <c r="AF31" s="394"/>
      <c r="AG31" s="394"/>
      <c r="AH31" s="13"/>
      <c r="AI31" s="13"/>
      <c r="AJ31" s="13"/>
      <c r="AK31" s="13"/>
      <c r="AL31" s="13"/>
      <c r="AM31" s="394"/>
      <c r="AN31" s="394"/>
      <c r="AO31" s="13"/>
      <c r="AP31" s="13"/>
      <c r="AQ31" s="13"/>
      <c r="AR31" s="13"/>
      <c r="AS31" s="13"/>
      <c r="AT31" s="394"/>
      <c r="AU31" s="394"/>
      <c r="AV31" s="13"/>
      <c r="AW31" s="13"/>
      <c r="AX31" s="13"/>
      <c r="AY31" s="13"/>
      <c r="AZ31" s="13"/>
      <c r="BA31" s="394"/>
      <c r="BB31" s="394"/>
      <c r="BC31" s="13"/>
      <c r="BD31" s="13"/>
      <c r="BE31" s="13"/>
      <c r="BF31" s="13"/>
      <c r="BG31" s="13"/>
      <c r="BH31" s="394"/>
      <c r="BI31" s="394"/>
    </row>
    <row r="32" spans="1:61" ht="15.75" x14ac:dyDescent="0.25">
      <c r="A32" s="444" t="s">
        <v>264</v>
      </c>
      <c r="B32" s="402">
        <f>S.AC.DateMeeting5</f>
        <v>16</v>
      </c>
      <c r="C32" s="402">
        <f t="shared" si="3"/>
        <v>16</v>
      </c>
      <c r="D32" s="402"/>
      <c r="E32" s="396">
        <f t="shared" ca="1" si="2"/>
        <v>1</v>
      </c>
      <c r="F32" s="13"/>
      <c r="G32" s="13"/>
      <c r="H32" s="13"/>
      <c r="I32" s="13"/>
      <c r="J32" s="13"/>
      <c r="K32" s="393"/>
      <c r="L32" s="393"/>
      <c r="M32" s="13"/>
      <c r="N32" s="13"/>
      <c r="O32" s="13"/>
      <c r="P32" s="13"/>
      <c r="Q32" s="13"/>
      <c r="R32" s="394"/>
      <c r="S32" s="394"/>
      <c r="T32" s="13"/>
      <c r="U32" s="13"/>
      <c r="V32" s="13"/>
      <c r="W32" s="13"/>
      <c r="X32" s="13"/>
      <c r="Y32" s="394"/>
      <c r="Z32" s="394"/>
      <c r="AA32" s="13"/>
      <c r="AB32" s="13"/>
      <c r="AC32" s="13"/>
      <c r="AD32" s="13"/>
      <c r="AE32" s="13"/>
      <c r="AF32" s="394"/>
      <c r="AG32" s="394"/>
      <c r="AH32" s="13"/>
      <c r="AI32" s="13"/>
      <c r="AJ32" s="13"/>
      <c r="AK32" s="13"/>
      <c r="AL32" s="13"/>
      <c r="AM32" s="394"/>
      <c r="AN32" s="394"/>
      <c r="AO32" s="13"/>
      <c r="AP32" s="13"/>
      <c r="AQ32" s="13"/>
      <c r="AR32" s="13"/>
      <c r="AS32" s="13"/>
      <c r="AT32" s="394"/>
      <c r="AU32" s="394"/>
      <c r="AV32" s="13"/>
      <c r="AW32" s="13"/>
      <c r="AX32" s="13"/>
      <c r="AY32" s="13"/>
      <c r="AZ32" s="13"/>
      <c r="BA32" s="394"/>
      <c r="BB32" s="394"/>
      <c r="BC32" s="13"/>
      <c r="BD32" s="13"/>
      <c r="BE32" s="13"/>
      <c r="BF32" s="13"/>
      <c r="BG32" s="13"/>
      <c r="BH32" s="394"/>
      <c r="BI32" s="394"/>
    </row>
    <row r="33" spans="1:61" ht="15.75" x14ac:dyDescent="0.25">
      <c r="A33" s="403" t="s">
        <v>241</v>
      </c>
      <c r="B33" s="402" t="s">
        <v>0</v>
      </c>
      <c r="C33" s="402" t="s">
        <v>0</v>
      </c>
      <c r="D33" s="402"/>
      <c r="E33" s="396">
        <f t="shared" ca="1" si="2"/>
        <v>0</v>
      </c>
      <c r="F33" s="13"/>
      <c r="G33" s="13"/>
      <c r="H33" s="13"/>
      <c r="I33" s="13"/>
      <c r="J33" s="13"/>
      <c r="K33" s="393"/>
      <c r="L33" s="393"/>
      <c r="M33" s="13"/>
      <c r="N33" s="13"/>
      <c r="O33" s="13"/>
      <c r="P33" s="13"/>
      <c r="Q33" s="13"/>
      <c r="R33" s="394"/>
      <c r="S33" s="394"/>
      <c r="T33" s="13"/>
      <c r="U33" s="13"/>
      <c r="V33" s="13"/>
      <c r="W33" s="13"/>
      <c r="X33" s="13"/>
      <c r="Y33" s="394"/>
      <c r="Z33" s="394"/>
      <c r="AA33" s="13"/>
      <c r="AB33" s="13"/>
      <c r="AC33" s="13"/>
      <c r="AD33" s="13"/>
      <c r="AE33" s="13"/>
      <c r="AF33" s="394"/>
      <c r="AG33" s="394"/>
      <c r="AH33" s="13"/>
      <c r="AI33" s="13"/>
      <c r="AJ33" s="13"/>
      <c r="AK33" s="13"/>
      <c r="AL33" s="13"/>
      <c r="AM33" s="394"/>
      <c r="AN33" s="394"/>
      <c r="AO33" s="13"/>
      <c r="AP33" s="13"/>
      <c r="AQ33" s="13"/>
      <c r="AR33" s="13"/>
      <c r="AS33" s="13"/>
      <c r="AT33" s="394"/>
      <c r="AU33" s="394"/>
      <c r="AV33" s="13"/>
      <c r="AW33" s="13"/>
      <c r="AX33" s="13"/>
      <c r="AY33" s="13"/>
      <c r="AZ33" s="13"/>
      <c r="BA33" s="394"/>
      <c r="BB33" s="394"/>
      <c r="BC33" s="13"/>
      <c r="BD33" s="13"/>
      <c r="BE33" s="13"/>
      <c r="BF33" s="13"/>
      <c r="BG33" s="13"/>
      <c r="BH33" s="394"/>
      <c r="BI33" s="394"/>
    </row>
    <row r="34" spans="1:61" ht="15.75" x14ac:dyDescent="0.25">
      <c r="A34" s="443" t="s">
        <v>242</v>
      </c>
      <c r="B34" s="402">
        <f>S.EQC.DirectorsReport1</f>
        <v>0</v>
      </c>
      <c r="C34" s="402">
        <f>B34</f>
        <v>0</v>
      </c>
      <c r="D34" s="402"/>
      <c r="E34" s="396">
        <f t="shared" ca="1" si="2"/>
        <v>1</v>
      </c>
      <c r="F34" s="13"/>
      <c r="G34" s="13"/>
      <c r="H34" s="13"/>
      <c r="I34" s="13"/>
      <c r="J34" s="13"/>
      <c r="K34" s="393"/>
      <c r="L34" s="393"/>
      <c r="M34" s="13"/>
      <c r="N34" s="13"/>
      <c r="O34" s="13"/>
      <c r="P34" s="13"/>
      <c r="Q34" s="13"/>
      <c r="R34" s="394"/>
      <c r="S34" s="394"/>
      <c r="T34" s="13"/>
      <c r="U34" s="13"/>
      <c r="V34" s="13"/>
      <c r="W34" s="13"/>
      <c r="X34" s="13"/>
      <c r="Y34" s="394"/>
      <c r="Z34" s="394"/>
      <c r="AA34" s="13"/>
      <c r="AB34" s="13"/>
      <c r="AC34" s="13"/>
      <c r="AD34" s="13"/>
      <c r="AE34" s="13"/>
      <c r="AF34" s="394"/>
      <c r="AG34" s="394"/>
      <c r="AH34" s="13"/>
      <c r="AI34" s="13"/>
      <c r="AJ34" s="13"/>
      <c r="AK34" s="13"/>
      <c r="AL34" s="13"/>
      <c r="AM34" s="394"/>
      <c r="AN34" s="394"/>
      <c r="AO34" s="13"/>
      <c r="AP34" s="13"/>
      <c r="AQ34" s="13"/>
      <c r="AR34" s="13"/>
      <c r="AS34" s="13"/>
      <c r="AT34" s="394"/>
      <c r="AU34" s="394"/>
      <c r="AV34" s="13"/>
      <c r="AW34" s="13"/>
      <c r="AX34" s="13"/>
      <c r="AY34" s="13"/>
      <c r="AZ34" s="13"/>
      <c r="BA34" s="394"/>
      <c r="BB34" s="394"/>
      <c r="BC34" s="13"/>
      <c r="BD34" s="13"/>
      <c r="BE34" s="13"/>
      <c r="BF34" s="13"/>
      <c r="BG34" s="13"/>
      <c r="BH34" s="394"/>
      <c r="BI34" s="394"/>
    </row>
    <row r="35" spans="1:61" ht="15.75" x14ac:dyDescent="0.25">
      <c r="A35" s="443" t="s">
        <v>243</v>
      </c>
      <c r="B35" s="402">
        <f>S.EQC.DirectorsReport2</f>
        <v>0</v>
      </c>
      <c r="C35" s="402">
        <f>B35</f>
        <v>0</v>
      </c>
      <c r="D35" s="402"/>
      <c r="E35" s="396">
        <f t="shared" ca="1" si="2"/>
        <v>1</v>
      </c>
      <c r="F35" s="13"/>
      <c r="G35" s="13"/>
      <c r="H35" s="13"/>
      <c r="I35" s="13"/>
      <c r="J35" s="13"/>
      <c r="K35" s="393"/>
      <c r="L35" s="393"/>
      <c r="M35" s="13"/>
      <c r="N35" s="13"/>
      <c r="O35" s="13"/>
      <c r="P35" s="13"/>
      <c r="Q35" s="13"/>
      <c r="R35" s="394"/>
      <c r="S35" s="394"/>
      <c r="T35" s="13"/>
      <c r="U35" s="13"/>
      <c r="V35" s="13"/>
      <c r="W35" s="13"/>
      <c r="X35" s="13"/>
      <c r="Y35" s="394"/>
      <c r="Z35" s="394"/>
      <c r="AA35" s="13"/>
      <c r="AB35" s="13"/>
      <c r="AC35" s="13"/>
      <c r="AD35" s="13"/>
      <c r="AE35" s="13"/>
      <c r="AF35" s="394"/>
      <c r="AG35" s="394"/>
      <c r="AH35" s="13"/>
      <c r="AI35" s="13"/>
      <c r="AJ35" s="13"/>
      <c r="AK35" s="13"/>
      <c r="AL35" s="13"/>
      <c r="AM35" s="394"/>
      <c r="AN35" s="394"/>
      <c r="AO35" s="13"/>
      <c r="AP35" s="13"/>
      <c r="AQ35" s="13"/>
      <c r="AR35" s="13"/>
      <c r="AS35" s="13"/>
      <c r="AT35" s="394"/>
      <c r="AU35" s="394"/>
      <c r="AV35" s="13"/>
      <c r="AW35" s="13"/>
      <c r="AX35" s="13"/>
      <c r="AY35" s="13"/>
      <c r="AZ35" s="13"/>
      <c r="BA35" s="394"/>
      <c r="BB35" s="394"/>
      <c r="BC35" s="13"/>
      <c r="BD35" s="13"/>
      <c r="BE35" s="13"/>
      <c r="BF35" s="13"/>
      <c r="BG35" s="13"/>
      <c r="BH35" s="394"/>
      <c r="BI35" s="394"/>
    </row>
    <row r="36" spans="1:61" ht="15.75" x14ac:dyDescent="0.25">
      <c r="A36" s="443" t="s">
        <v>244</v>
      </c>
      <c r="B36" s="402">
        <f>S.EQC.InfoItem1</f>
        <v>0</v>
      </c>
      <c r="C36" s="402">
        <f>B36</f>
        <v>0</v>
      </c>
      <c r="D36" s="402"/>
      <c r="E36" s="396">
        <f t="shared" ca="1" si="2"/>
        <v>1</v>
      </c>
      <c r="F36" s="13"/>
      <c r="G36" s="13"/>
      <c r="H36" s="13"/>
      <c r="I36" s="13"/>
      <c r="J36" s="13"/>
      <c r="K36" s="393"/>
      <c r="L36" s="393"/>
      <c r="M36" s="13"/>
      <c r="N36" s="13"/>
      <c r="O36" s="13"/>
      <c r="P36" s="13"/>
      <c r="Q36" s="13"/>
      <c r="R36" s="394"/>
      <c r="S36" s="394"/>
      <c r="T36" s="13"/>
      <c r="U36" s="13"/>
      <c r="V36" s="13"/>
      <c r="W36" s="13"/>
      <c r="X36" s="13"/>
      <c r="Y36" s="394"/>
      <c r="Z36" s="394"/>
      <c r="AA36" s="13"/>
      <c r="AB36" s="13"/>
      <c r="AC36" s="13"/>
      <c r="AD36" s="13"/>
      <c r="AE36" s="13"/>
      <c r="AF36" s="394"/>
      <c r="AG36" s="394"/>
      <c r="AH36" s="13"/>
      <c r="AI36" s="13"/>
      <c r="AJ36" s="13"/>
      <c r="AK36" s="13"/>
      <c r="AL36" s="13"/>
      <c r="AM36" s="394"/>
      <c r="AN36" s="394"/>
      <c r="AO36" s="13"/>
      <c r="AP36" s="13"/>
      <c r="AQ36" s="13"/>
      <c r="AR36" s="13"/>
      <c r="AS36" s="13"/>
      <c r="AT36" s="394"/>
      <c r="AU36" s="394"/>
      <c r="AV36" s="13"/>
      <c r="AW36" s="13"/>
      <c r="AX36" s="13"/>
      <c r="AY36" s="13"/>
      <c r="AZ36" s="13"/>
      <c r="BA36" s="394"/>
      <c r="BB36" s="394"/>
      <c r="BC36" s="13"/>
      <c r="BD36" s="13"/>
      <c r="BE36" s="13"/>
      <c r="BF36" s="13"/>
      <c r="BG36" s="13"/>
      <c r="BH36" s="394"/>
      <c r="BI36" s="394"/>
    </row>
    <row r="37" spans="1:61" ht="15.75" x14ac:dyDescent="0.25">
      <c r="A37" s="443" t="s">
        <v>245</v>
      </c>
      <c r="B37" s="402">
        <f>S.EQC.InfoItem2</f>
        <v>0</v>
      </c>
      <c r="C37" s="402">
        <f>B37</f>
        <v>0</v>
      </c>
      <c r="D37" s="402"/>
      <c r="E37" s="396">
        <f t="shared" ca="1" si="2"/>
        <v>1</v>
      </c>
      <c r="F37" s="13"/>
      <c r="G37" s="13"/>
      <c r="H37" s="13"/>
      <c r="I37" s="13"/>
      <c r="J37" s="13"/>
      <c r="K37" s="393"/>
      <c r="L37" s="393"/>
      <c r="M37" s="13"/>
      <c r="N37" s="13"/>
      <c r="O37" s="13"/>
      <c r="P37" s="13"/>
      <c r="Q37" s="13"/>
      <c r="R37" s="394"/>
      <c r="S37" s="394"/>
      <c r="T37" s="13"/>
      <c r="U37" s="13"/>
      <c r="V37" s="13"/>
      <c r="W37" s="13"/>
      <c r="X37" s="13"/>
      <c r="Y37" s="394"/>
      <c r="Z37" s="394"/>
      <c r="AA37" s="13"/>
      <c r="AB37" s="13"/>
      <c r="AC37" s="13"/>
      <c r="AD37" s="13"/>
      <c r="AE37" s="13"/>
      <c r="AF37" s="394"/>
      <c r="AG37" s="394"/>
      <c r="AH37" s="13"/>
      <c r="AI37" s="13"/>
      <c r="AJ37" s="13"/>
      <c r="AK37" s="13"/>
      <c r="AL37" s="13"/>
      <c r="AM37" s="394"/>
      <c r="AN37" s="394"/>
      <c r="AO37" s="13"/>
      <c r="AP37" s="13"/>
      <c r="AQ37" s="13"/>
      <c r="AR37" s="13"/>
      <c r="AS37" s="13"/>
      <c r="AT37" s="394"/>
      <c r="AU37" s="394"/>
      <c r="AV37" s="13"/>
      <c r="AW37" s="13"/>
      <c r="AX37" s="13"/>
      <c r="AY37" s="13"/>
      <c r="AZ37" s="13"/>
      <c r="BA37" s="394"/>
      <c r="BB37" s="394"/>
      <c r="BC37" s="13"/>
      <c r="BD37" s="13"/>
      <c r="BE37" s="13"/>
      <c r="BF37" s="13"/>
      <c r="BG37" s="13"/>
      <c r="BH37" s="394"/>
      <c r="BI37" s="394"/>
    </row>
    <row r="38" spans="1:61" ht="15.75" x14ac:dyDescent="0.25">
      <c r="A38" s="403" t="s">
        <v>246</v>
      </c>
      <c r="B38" s="402" t="s">
        <v>0</v>
      </c>
      <c r="C38" s="402" t="s">
        <v>0</v>
      </c>
      <c r="D38" s="402"/>
      <c r="E38" s="396">
        <f t="shared" ca="1" si="2"/>
        <v>0</v>
      </c>
      <c r="F38" s="13"/>
      <c r="G38" s="13"/>
      <c r="H38" s="13"/>
      <c r="I38" s="13"/>
      <c r="J38" s="13"/>
      <c r="K38" s="393"/>
      <c r="L38" s="393"/>
      <c r="M38" s="13"/>
      <c r="N38" s="13"/>
      <c r="O38" s="13"/>
      <c r="P38" s="13"/>
      <c r="Q38" s="13"/>
      <c r="R38" s="394"/>
      <c r="S38" s="394"/>
      <c r="T38" s="13"/>
      <c r="U38" s="13"/>
      <c r="V38" s="13"/>
      <c r="W38" s="13"/>
      <c r="X38" s="13"/>
      <c r="Y38" s="394"/>
      <c r="Z38" s="394"/>
      <c r="AA38" s="13"/>
      <c r="AB38" s="13"/>
      <c r="AC38" s="13"/>
      <c r="AD38" s="13"/>
      <c r="AE38" s="13"/>
      <c r="AF38" s="394"/>
      <c r="AG38" s="394"/>
      <c r="AH38" s="13"/>
      <c r="AI38" s="13"/>
      <c r="AJ38" s="13"/>
      <c r="AK38" s="13"/>
      <c r="AL38" s="13"/>
      <c r="AM38" s="394"/>
      <c r="AN38" s="394"/>
      <c r="AO38" s="13"/>
      <c r="AP38" s="13"/>
      <c r="AQ38" s="13"/>
      <c r="AR38" s="13"/>
      <c r="AS38" s="13"/>
      <c r="AT38" s="394"/>
      <c r="AU38" s="394"/>
      <c r="AV38" s="13"/>
      <c r="AW38" s="13"/>
      <c r="AX38" s="13"/>
      <c r="AY38" s="13"/>
      <c r="AZ38" s="13"/>
      <c r="BA38" s="394"/>
      <c r="BB38" s="394"/>
      <c r="BC38" s="13"/>
      <c r="BD38" s="13"/>
      <c r="BE38" s="13"/>
      <c r="BF38" s="13"/>
      <c r="BG38" s="13"/>
      <c r="BH38" s="394"/>
      <c r="BI38" s="394"/>
    </row>
    <row r="39" spans="1:61" ht="15.75" x14ac:dyDescent="0.25">
      <c r="A39" s="443" t="s">
        <v>247</v>
      </c>
      <c r="B39" s="402">
        <f>S.Notice.EPA.180days</f>
        <v>41989</v>
      </c>
      <c r="C39" s="402">
        <f>B39</f>
        <v>41989</v>
      </c>
      <c r="D39" s="402"/>
      <c r="E39" s="396">
        <f t="shared" ca="1" si="2"/>
        <v>1</v>
      </c>
      <c r="F39" s="13"/>
      <c r="G39" s="13"/>
      <c r="H39" s="13"/>
      <c r="I39" s="13"/>
      <c r="J39" s="13"/>
      <c r="K39" s="393"/>
      <c r="L39" s="393"/>
      <c r="M39" s="13"/>
      <c r="N39" s="13"/>
      <c r="O39" s="13"/>
      <c r="P39" s="13"/>
      <c r="Q39" s="13"/>
      <c r="R39" s="394"/>
      <c r="S39" s="394"/>
      <c r="T39" s="13"/>
      <c r="U39" s="13"/>
      <c r="V39" s="13"/>
      <c r="W39" s="13"/>
      <c r="X39" s="13"/>
      <c r="Y39" s="394"/>
      <c r="Z39" s="394"/>
      <c r="AA39" s="13"/>
      <c r="AB39" s="13"/>
      <c r="AC39" s="13"/>
      <c r="AD39" s="13"/>
      <c r="AE39" s="13"/>
      <c r="AF39" s="394"/>
      <c r="AG39" s="394"/>
      <c r="AH39" s="13"/>
      <c r="AI39" s="13"/>
      <c r="AJ39" s="13"/>
      <c r="AK39" s="13"/>
      <c r="AL39" s="13"/>
      <c r="AM39" s="394"/>
      <c r="AN39" s="394"/>
      <c r="AO39" s="13"/>
      <c r="AP39" s="13"/>
      <c r="AQ39" s="13"/>
      <c r="AR39" s="13"/>
      <c r="AS39" s="13"/>
      <c r="AT39" s="394"/>
      <c r="AU39" s="394"/>
      <c r="AV39" s="13"/>
      <c r="AW39" s="13"/>
      <c r="AX39" s="13"/>
      <c r="AY39" s="13"/>
      <c r="AZ39" s="13"/>
      <c r="BA39" s="394"/>
      <c r="BB39" s="394"/>
      <c r="BC39" s="13"/>
      <c r="BD39" s="13"/>
      <c r="BE39" s="13"/>
      <c r="BF39" s="13"/>
      <c r="BG39" s="13"/>
      <c r="BH39" s="394"/>
      <c r="BI39" s="394"/>
    </row>
    <row r="40" spans="1:61" ht="15.75" x14ac:dyDescent="0.25">
      <c r="A40" s="443" t="s">
        <v>248</v>
      </c>
      <c r="B40" s="402" t="e">
        <f>S.Notice.EPA.45day</f>
        <v>#NAME?</v>
      </c>
      <c r="C40" s="402" t="e">
        <f>B40</f>
        <v>#NAME?</v>
      </c>
      <c r="D40" s="402"/>
      <c r="E40" s="396" t="e">
        <f t="shared" ca="1" si="2"/>
        <v>#NAME?</v>
      </c>
      <c r="F40" s="13"/>
      <c r="G40" s="13"/>
      <c r="H40" s="13"/>
      <c r="I40" s="13"/>
      <c r="J40" s="13"/>
      <c r="K40" s="393"/>
      <c r="L40" s="393"/>
      <c r="M40" s="13"/>
      <c r="N40" s="13"/>
      <c r="O40" s="13"/>
      <c r="P40" s="13"/>
      <c r="Q40" s="13"/>
      <c r="R40" s="394"/>
      <c r="S40" s="394"/>
      <c r="T40" s="13"/>
      <c r="U40" s="13"/>
      <c r="V40" s="13"/>
      <c r="W40" s="13"/>
      <c r="X40" s="13"/>
      <c r="Y40" s="394"/>
      <c r="Z40" s="394"/>
      <c r="AA40" s="13"/>
      <c r="AB40" s="13"/>
      <c r="AC40" s="13"/>
      <c r="AD40" s="13"/>
      <c r="AE40" s="13"/>
      <c r="AF40" s="394"/>
      <c r="AG40" s="394"/>
      <c r="AH40" s="13"/>
      <c r="AI40" s="13"/>
      <c r="AJ40" s="13"/>
      <c r="AK40" s="13"/>
      <c r="AL40" s="13"/>
      <c r="AM40" s="394"/>
      <c r="AN40" s="394"/>
      <c r="AO40" s="13"/>
      <c r="AP40" s="13"/>
      <c r="AQ40" s="13"/>
      <c r="AR40" s="13"/>
      <c r="AS40" s="13"/>
      <c r="AT40" s="394"/>
      <c r="AU40" s="394"/>
      <c r="AV40" s="13"/>
      <c r="AW40" s="13"/>
      <c r="AX40" s="13"/>
      <c r="AY40" s="13"/>
      <c r="AZ40" s="13"/>
      <c r="BA40" s="394"/>
      <c r="BB40" s="394"/>
      <c r="BC40" s="13"/>
      <c r="BD40" s="13"/>
      <c r="BE40" s="13"/>
      <c r="BF40" s="13"/>
      <c r="BG40" s="13"/>
      <c r="BH40" s="394"/>
      <c r="BI40" s="394"/>
    </row>
    <row r="41" spans="1:61" s="6" customFormat="1" ht="15.75" x14ac:dyDescent="0.25">
      <c r="A41" s="443" t="s">
        <v>249</v>
      </c>
      <c r="B41" s="402" t="e">
        <f>S.Notice.StartInvolveResources</f>
        <v>#NAME?</v>
      </c>
      <c r="C41" s="402" t="e">
        <f>S.Notice.EndInvolveResources</f>
        <v>#NAME?</v>
      </c>
      <c r="D41" s="402"/>
      <c r="E41" s="396" t="e">
        <f t="shared" ca="1" si="2"/>
        <v>#NAME?</v>
      </c>
      <c r="F41" s="13"/>
      <c r="G41" s="13"/>
      <c r="H41" s="13"/>
      <c r="I41" s="13"/>
      <c r="J41" s="13"/>
      <c r="K41" s="393"/>
      <c r="L41" s="393"/>
      <c r="M41" s="13"/>
      <c r="N41" s="13"/>
      <c r="O41" s="13"/>
      <c r="P41" s="13"/>
      <c r="Q41" s="13"/>
      <c r="R41" s="394"/>
      <c r="S41" s="394"/>
      <c r="T41" s="13"/>
      <c r="U41" s="13"/>
      <c r="V41" s="13"/>
      <c r="W41" s="13"/>
      <c r="X41" s="13"/>
      <c r="Y41" s="394"/>
      <c r="Z41" s="394"/>
      <c r="AA41" s="13"/>
      <c r="AB41" s="13"/>
      <c r="AC41" s="13"/>
      <c r="AD41" s="13"/>
      <c r="AE41" s="13"/>
      <c r="AF41" s="394"/>
      <c r="AG41" s="394"/>
      <c r="AH41" s="13"/>
      <c r="AI41" s="13"/>
      <c r="AJ41" s="13"/>
      <c r="AK41" s="13"/>
      <c r="AL41" s="13"/>
      <c r="AM41" s="394"/>
      <c r="AN41" s="394"/>
      <c r="AO41" s="13"/>
      <c r="AP41" s="13"/>
      <c r="AQ41" s="13"/>
      <c r="AR41" s="13"/>
      <c r="AS41" s="13"/>
      <c r="AT41" s="394"/>
      <c r="AU41" s="394"/>
      <c r="AV41" s="13"/>
      <c r="AW41" s="13"/>
      <c r="AX41" s="13"/>
      <c r="AY41" s="13"/>
      <c r="AZ41" s="13"/>
      <c r="BA41" s="394"/>
      <c r="BB41" s="394"/>
      <c r="BC41" s="13"/>
      <c r="BD41" s="13"/>
      <c r="BE41" s="13"/>
      <c r="BF41" s="13"/>
      <c r="BG41" s="13"/>
      <c r="BH41" s="394"/>
      <c r="BI41" s="394"/>
    </row>
    <row r="42" spans="1:61" ht="15.75" x14ac:dyDescent="0.25">
      <c r="A42" s="443" t="s">
        <v>250</v>
      </c>
      <c r="B42" s="402">
        <f>S.Notice.AD.ToContractServices</f>
        <v>42191</v>
      </c>
      <c r="C42" s="402">
        <f>B42</f>
        <v>42191</v>
      </c>
      <c r="D42" s="402"/>
      <c r="E42" s="396">
        <f t="shared" ca="1" si="2"/>
        <v>0</v>
      </c>
      <c r="F42" s="13"/>
      <c r="G42" s="13"/>
      <c r="H42" s="13"/>
      <c r="I42" s="13"/>
      <c r="J42" s="13"/>
      <c r="K42" s="393"/>
      <c r="L42" s="393"/>
      <c r="M42" s="13"/>
      <c r="N42" s="13"/>
      <c r="O42" s="13"/>
      <c r="P42" s="13"/>
      <c r="Q42" s="13"/>
      <c r="R42" s="394"/>
      <c r="S42" s="394"/>
      <c r="T42" s="13"/>
      <c r="U42" s="13"/>
      <c r="V42" s="13"/>
      <c r="W42" s="13"/>
      <c r="X42" s="13"/>
      <c r="Y42" s="394"/>
      <c r="Z42" s="394"/>
      <c r="AA42" s="13"/>
      <c r="AB42" s="13"/>
      <c r="AC42" s="13"/>
      <c r="AD42" s="13"/>
      <c r="AE42" s="13"/>
      <c r="AF42" s="394"/>
      <c r="AG42" s="394"/>
      <c r="AH42" s="13"/>
      <c r="AI42" s="13"/>
      <c r="AJ42" s="13"/>
      <c r="AK42" s="13"/>
      <c r="AL42" s="13"/>
      <c r="AM42" s="394"/>
      <c r="AN42" s="394"/>
      <c r="AO42" s="13"/>
      <c r="AP42" s="13"/>
      <c r="AQ42" s="13"/>
      <c r="AR42" s="13"/>
      <c r="AS42" s="13"/>
      <c r="AT42" s="394"/>
      <c r="AU42" s="394"/>
      <c r="AV42" s="13"/>
      <c r="AW42" s="13"/>
      <c r="AX42" s="13"/>
      <c r="AY42" s="13"/>
      <c r="AZ42" s="13"/>
      <c r="BA42" s="394"/>
      <c r="BB42" s="394"/>
      <c r="BC42" s="13"/>
      <c r="BD42" s="13"/>
      <c r="BE42" s="13"/>
      <c r="BF42" s="13"/>
      <c r="BG42" s="13"/>
      <c r="BH42" s="394"/>
      <c r="BI42" s="394"/>
    </row>
    <row r="43" spans="1:61" ht="15.75" x14ac:dyDescent="0.25">
      <c r="A43" s="443" t="s">
        <v>251</v>
      </c>
      <c r="B43" s="402" t="e">
        <f>S.Notice.MgrNoticeApproval</f>
        <v>#NAME?</v>
      </c>
      <c r="C43" s="402" t="e">
        <f>B43</f>
        <v>#NAME?</v>
      </c>
      <c r="D43" s="402"/>
      <c r="E43" s="396" t="e">
        <f t="shared" ca="1" si="2"/>
        <v>#NAME?</v>
      </c>
      <c r="F43" s="13"/>
      <c r="G43" s="13"/>
      <c r="H43" s="13"/>
      <c r="I43" s="13"/>
      <c r="J43" s="13"/>
      <c r="K43" s="393"/>
      <c r="L43" s="393"/>
      <c r="M43" s="13"/>
      <c r="N43" s="13"/>
      <c r="O43" s="13"/>
      <c r="P43" s="13"/>
      <c r="Q43" s="13"/>
      <c r="R43" s="394"/>
      <c r="S43" s="394"/>
      <c r="T43" s="13"/>
      <c r="U43" s="13"/>
      <c r="V43" s="13"/>
      <c r="W43" s="13"/>
      <c r="X43" s="13"/>
      <c r="Y43" s="394"/>
      <c r="Z43" s="394"/>
      <c r="AA43" s="13"/>
      <c r="AB43" s="13"/>
      <c r="AC43" s="13"/>
      <c r="AD43" s="13"/>
      <c r="AE43" s="13"/>
      <c r="AF43" s="394"/>
      <c r="AG43" s="394"/>
      <c r="AH43" s="13"/>
      <c r="AI43" s="13"/>
      <c r="AJ43" s="13"/>
      <c r="AK43" s="13"/>
      <c r="AL43" s="13"/>
      <c r="AM43" s="394"/>
      <c r="AN43" s="394"/>
      <c r="AO43" s="13"/>
      <c r="AP43" s="13"/>
      <c r="AQ43" s="13"/>
      <c r="AR43" s="13"/>
      <c r="AS43" s="13"/>
      <c r="AT43" s="394"/>
      <c r="AU43" s="394"/>
      <c r="AV43" s="13"/>
      <c r="AW43" s="13"/>
      <c r="AX43" s="13"/>
      <c r="AY43" s="13"/>
      <c r="AZ43" s="13"/>
      <c r="BA43" s="394"/>
      <c r="BB43" s="394"/>
      <c r="BC43" s="13"/>
      <c r="BD43" s="13"/>
      <c r="BE43" s="13"/>
      <c r="BF43" s="13"/>
      <c r="BG43" s="13"/>
      <c r="BH43" s="394"/>
      <c r="BI43" s="394"/>
    </row>
    <row r="44" spans="1:61" ht="15.75" x14ac:dyDescent="0.25">
      <c r="A44" s="443" t="s">
        <v>252</v>
      </c>
      <c r="B44" s="402">
        <f>S.Notice.OpenComment</f>
        <v>42171</v>
      </c>
      <c r="C44" s="402">
        <f>S.Notice.CloseComment</f>
        <v>42205</v>
      </c>
      <c r="D44" s="402"/>
      <c r="E44" s="396">
        <f t="shared" ca="1" si="2"/>
        <v>0</v>
      </c>
      <c r="F44" s="13"/>
      <c r="G44" s="13"/>
      <c r="H44" s="13"/>
      <c r="I44" s="13"/>
      <c r="J44" s="13"/>
      <c r="K44" s="393"/>
      <c r="L44" s="393"/>
      <c r="M44" s="13"/>
      <c r="N44" s="13"/>
      <c r="O44" s="13"/>
      <c r="P44" s="13"/>
      <c r="Q44" s="13"/>
      <c r="R44" s="394"/>
      <c r="S44" s="394"/>
      <c r="T44" s="13"/>
      <c r="U44" s="13"/>
      <c r="V44" s="13"/>
      <c r="W44" s="13"/>
      <c r="X44" s="13"/>
      <c r="Y44" s="394"/>
      <c r="Z44" s="394"/>
      <c r="AA44" s="13"/>
      <c r="AB44" s="13"/>
      <c r="AC44" s="13"/>
      <c r="AD44" s="13"/>
      <c r="AE44" s="13"/>
      <c r="AF44" s="394"/>
      <c r="AG44" s="394"/>
      <c r="AH44" s="13"/>
      <c r="AI44" s="13"/>
      <c r="AJ44" s="13"/>
      <c r="AK44" s="13"/>
      <c r="AL44" s="13"/>
      <c r="AM44" s="394"/>
      <c r="AN44" s="394"/>
      <c r="AO44" s="13"/>
      <c r="AP44" s="13"/>
      <c r="AQ44" s="13"/>
      <c r="AR44" s="13"/>
      <c r="AS44" s="13"/>
      <c r="AT44" s="394"/>
      <c r="AU44" s="394"/>
      <c r="AV44" s="13"/>
      <c r="AW44" s="13"/>
      <c r="AX44" s="13"/>
      <c r="AY44" s="13"/>
      <c r="AZ44" s="13"/>
      <c r="BA44" s="394"/>
      <c r="BB44" s="394"/>
      <c r="BC44" s="13"/>
      <c r="BD44" s="13"/>
      <c r="BE44" s="13"/>
      <c r="BF44" s="13"/>
      <c r="BG44" s="13"/>
      <c r="BH44" s="394"/>
      <c r="BI44" s="394"/>
    </row>
    <row r="45" spans="1:61" ht="15.75" x14ac:dyDescent="0.25">
      <c r="A45" s="443" t="s">
        <v>253</v>
      </c>
      <c r="B45" s="402">
        <f>C45</f>
        <v>42150</v>
      </c>
      <c r="C45" s="402">
        <f>S.Notice.ADABriefing</f>
        <v>42150</v>
      </c>
      <c r="D45" s="402"/>
      <c r="E45" s="396">
        <f t="shared" ca="1" si="2"/>
        <v>0</v>
      </c>
      <c r="F45" s="13"/>
      <c r="G45" s="13"/>
      <c r="H45" s="13"/>
      <c r="I45" s="13"/>
      <c r="J45" s="13"/>
      <c r="K45" s="393"/>
      <c r="L45" s="393"/>
      <c r="M45" s="13"/>
      <c r="N45" s="13"/>
      <c r="O45" s="13"/>
      <c r="P45" s="13"/>
      <c r="Q45" s="13"/>
      <c r="R45" s="394"/>
      <c r="S45" s="394"/>
      <c r="T45" s="13"/>
      <c r="U45" s="13"/>
      <c r="V45" s="13"/>
      <c r="W45" s="13"/>
      <c r="X45" s="13"/>
      <c r="Y45" s="394"/>
      <c r="Z45" s="394"/>
      <c r="AA45" s="13"/>
      <c r="AB45" s="13"/>
      <c r="AC45" s="13"/>
      <c r="AD45" s="13"/>
      <c r="AE45" s="13"/>
      <c r="AF45" s="394"/>
      <c r="AG45" s="394"/>
      <c r="AH45" s="13"/>
      <c r="AI45" s="13"/>
      <c r="AJ45" s="13"/>
      <c r="AK45" s="13"/>
      <c r="AL45" s="13"/>
      <c r="AM45" s="394"/>
      <c r="AN45" s="394"/>
      <c r="AO45" s="13"/>
      <c r="AP45" s="13"/>
      <c r="AQ45" s="13"/>
      <c r="AR45" s="13"/>
      <c r="AS45" s="13"/>
      <c r="AT45" s="394"/>
      <c r="AU45" s="394"/>
      <c r="AV45" s="13"/>
      <c r="AW45" s="13"/>
      <c r="AX45" s="13"/>
      <c r="AY45" s="13"/>
      <c r="AZ45" s="13"/>
      <c r="BA45" s="394"/>
      <c r="BB45" s="394"/>
      <c r="BC45" s="13"/>
      <c r="BD45" s="13"/>
      <c r="BE45" s="13"/>
      <c r="BF45" s="13"/>
      <c r="BG45" s="13"/>
      <c r="BH45" s="394"/>
      <c r="BI45" s="394"/>
    </row>
    <row r="46" spans="1:61" ht="15.75" x14ac:dyDescent="0.25">
      <c r="A46" s="443" t="s">
        <v>254</v>
      </c>
      <c r="B46" s="402">
        <f>S.Notice.DASNotification</f>
        <v>0</v>
      </c>
      <c r="C46" s="402">
        <f>B46</f>
        <v>0</v>
      </c>
      <c r="D46" s="402"/>
      <c r="E46" s="396">
        <f t="shared" ca="1" si="2"/>
        <v>1</v>
      </c>
      <c r="F46" s="13"/>
      <c r="G46" s="13"/>
      <c r="H46" s="13"/>
      <c r="I46" s="13"/>
      <c r="J46" s="13"/>
      <c r="K46" s="393"/>
      <c r="L46" s="393"/>
      <c r="M46" s="13"/>
      <c r="N46" s="13"/>
      <c r="O46" s="13"/>
      <c r="P46" s="13"/>
      <c r="Q46" s="13"/>
      <c r="R46" s="394"/>
      <c r="S46" s="394"/>
      <c r="T46" s="13"/>
      <c r="U46" s="13"/>
      <c r="V46" s="13"/>
      <c r="W46" s="13"/>
      <c r="X46" s="13"/>
      <c r="Y46" s="394"/>
      <c r="Z46" s="394"/>
      <c r="AA46" s="13"/>
      <c r="AB46" s="13"/>
      <c r="AC46" s="13"/>
      <c r="AD46" s="13"/>
      <c r="AE46" s="13"/>
      <c r="AF46" s="394"/>
      <c r="AG46" s="394"/>
      <c r="AH46" s="13"/>
      <c r="AI46" s="13"/>
      <c r="AJ46" s="13"/>
      <c r="AK46" s="13"/>
      <c r="AL46" s="13"/>
      <c r="AM46" s="394"/>
      <c r="AN46" s="394"/>
      <c r="AO46" s="13"/>
      <c r="AP46" s="13"/>
      <c r="AQ46" s="13"/>
      <c r="AR46" s="13"/>
      <c r="AS46" s="13"/>
      <c r="AT46" s="394"/>
      <c r="AU46" s="394"/>
      <c r="AV46" s="13"/>
      <c r="AW46" s="13"/>
      <c r="AX46" s="13"/>
      <c r="AY46" s="13"/>
      <c r="AZ46" s="13"/>
      <c r="BA46" s="394"/>
      <c r="BB46" s="394"/>
      <c r="BC46" s="13"/>
      <c r="BD46" s="13"/>
      <c r="BE46" s="13"/>
      <c r="BF46" s="13"/>
      <c r="BG46" s="13"/>
      <c r="BH46" s="394"/>
      <c r="BI46" s="394"/>
    </row>
    <row r="47" spans="1:61" ht="15.75" x14ac:dyDescent="0.25">
      <c r="A47" s="443" t="s">
        <v>255</v>
      </c>
      <c r="B47" s="402">
        <f>S.Notice.PreviewBegin</f>
        <v>42156</v>
      </c>
      <c r="C47" s="402">
        <f>S.Notice.PreviewEnd</f>
        <v>42165</v>
      </c>
      <c r="D47" s="402"/>
      <c r="E47" s="396">
        <f t="shared" ca="1" si="2"/>
        <v>0</v>
      </c>
      <c r="F47" s="13"/>
      <c r="G47" s="13"/>
      <c r="H47" s="13"/>
      <c r="I47" s="13"/>
      <c r="J47" s="13"/>
      <c r="K47" s="393"/>
      <c r="L47" s="393"/>
      <c r="M47" s="13"/>
      <c r="N47" s="13"/>
      <c r="O47" s="13"/>
      <c r="P47" s="13"/>
      <c r="Q47" s="13"/>
      <c r="R47" s="394"/>
      <c r="S47" s="394"/>
      <c r="T47" s="13"/>
      <c r="U47" s="13"/>
      <c r="V47" s="13"/>
      <c r="W47" s="13"/>
      <c r="X47" s="13"/>
      <c r="Y47" s="394"/>
      <c r="Z47" s="394"/>
      <c r="AA47" s="13"/>
      <c r="AB47" s="13"/>
      <c r="AC47" s="13"/>
      <c r="AD47" s="13"/>
      <c r="AE47" s="13"/>
      <c r="AF47" s="394"/>
      <c r="AG47" s="394"/>
      <c r="AH47" s="13"/>
      <c r="AI47" s="13"/>
      <c r="AJ47" s="13"/>
      <c r="AK47" s="13"/>
      <c r="AL47" s="13"/>
      <c r="AM47" s="394"/>
      <c r="AN47" s="394"/>
      <c r="AO47" s="13"/>
      <c r="AP47" s="13"/>
      <c r="AQ47" s="13"/>
      <c r="AR47" s="13"/>
      <c r="AS47" s="13"/>
      <c r="AT47" s="394"/>
      <c r="AU47" s="394"/>
      <c r="AV47" s="13"/>
      <c r="AW47" s="13"/>
      <c r="AX47" s="13"/>
      <c r="AY47" s="13"/>
      <c r="AZ47" s="13"/>
      <c r="BA47" s="394"/>
      <c r="BB47" s="394"/>
      <c r="BC47" s="13"/>
      <c r="BD47" s="13"/>
      <c r="BE47" s="13"/>
      <c r="BF47" s="13"/>
      <c r="BG47" s="13"/>
      <c r="BH47" s="394"/>
      <c r="BI47" s="394"/>
    </row>
    <row r="48" spans="1:61" ht="15.75" x14ac:dyDescent="0.25">
      <c r="A48" s="443" t="s">
        <v>256</v>
      </c>
      <c r="B48" s="402">
        <f>S.Notice.SubmitToSOS</f>
        <v>42170</v>
      </c>
      <c r="C48" s="402">
        <f>S.Notice.InOregonBulletin</f>
        <v>42186</v>
      </c>
      <c r="D48" s="402"/>
      <c r="E48" s="396">
        <f t="shared" ca="1" si="2"/>
        <v>0</v>
      </c>
      <c r="F48" s="13"/>
      <c r="G48" s="13"/>
      <c r="H48" s="13"/>
      <c r="I48" s="13"/>
      <c r="J48" s="13"/>
      <c r="K48" s="393"/>
      <c r="L48" s="393"/>
      <c r="M48" s="13"/>
      <c r="N48" s="13"/>
      <c r="O48" s="13"/>
      <c r="P48" s="13"/>
      <c r="Q48" s="13"/>
      <c r="R48" s="394"/>
      <c r="S48" s="394"/>
      <c r="T48" s="13"/>
      <c r="U48" s="13"/>
      <c r="V48" s="13"/>
      <c r="W48" s="13"/>
      <c r="X48" s="13"/>
      <c r="Y48" s="394"/>
      <c r="Z48" s="394"/>
      <c r="AA48" s="13"/>
      <c r="AB48" s="13"/>
      <c r="AC48" s="13"/>
      <c r="AD48" s="13"/>
      <c r="AE48" s="13"/>
      <c r="AF48" s="394"/>
      <c r="AG48" s="394"/>
      <c r="AH48" s="13"/>
      <c r="AI48" s="13"/>
      <c r="AJ48" s="13"/>
      <c r="AK48" s="13"/>
      <c r="AL48" s="13"/>
      <c r="AM48" s="394"/>
      <c r="AN48" s="394"/>
      <c r="AO48" s="13"/>
      <c r="AP48" s="13"/>
      <c r="AQ48" s="13"/>
      <c r="AR48" s="13"/>
      <c r="AS48" s="13"/>
      <c r="AT48" s="394"/>
      <c r="AU48" s="394"/>
      <c r="AV48" s="13"/>
      <c r="AW48" s="13"/>
      <c r="AX48" s="13"/>
      <c r="AY48" s="13"/>
      <c r="AZ48" s="13"/>
      <c r="BA48" s="394"/>
      <c r="BB48" s="394"/>
      <c r="BC48" s="13"/>
      <c r="BD48" s="13"/>
      <c r="BE48" s="13"/>
      <c r="BF48" s="13"/>
      <c r="BG48" s="13"/>
      <c r="BH48" s="394"/>
      <c r="BI48" s="394"/>
    </row>
    <row r="49" spans="1:61" ht="15.75" x14ac:dyDescent="0.25">
      <c r="A49" s="443" t="s">
        <v>257</v>
      </c>
      <c r="B49" s="402">
        <f>S.Hearing.1stDate</f>
        <v>42201</v>
      </c>
      <c r="C49" s="402">
        <f>S.Notice.LastHearingDate</f>
        <v>42201</v>
      </c>
      <c r="D49" s="402"/>
      <c r="E49" s="396">
        <f t="shared" ca="1" si="2"/>
        <v>0</v>
      </c>
      <c r="F49" s="13"/>
      <c r="G49" s="13"/>
      <c r="H49" s="13"/>
      <c r="I49" s="13"/>
      <c r="J49" s="13"/>
      <c r="K49" s="393"/>
      <c r="L49" s="393"/>
      <c r="M49" s="13"/>
      <c r="N49" s="13"/>
      <c r="O49" s="13"/>
      <c r="P49" s="13"/>
      <c r="Q49" s="13"/>
      <c r="R49" s="394"/>
      <c r="S49" s="394"/>
      <c r="T49" s="13"/>
      <c r="U49" s="13"/>
      <c r="V49" s="13"/>
      <c r="W49" s="13"/>
      <c r="X49" s="13"/>
      <c r="Y49" s="394"/>
      <c r="Z49" s="394"/>
      <c r="AA49" s="13"/>
      <c r="AB49" s="13"/>
      <c r="AC49" s="13"/>
      <c r="AD49" s="13"/>
      <c r="AE49" s="13"/>
      <c r="AF49" s="394"/>
      <c r="AG49" s="394"/>
      <c r="AH49" s="13"/>
      <c r="AI49" s="13"/>
      <c r="AJ49" s="13"/>
      <c r="AK49" s="13"/>
      <c r="AL49" s="13"/>
      <c r="AM49" s="394"/>
      <c r="AN49" s="394"/>
      <c r="AO49" s="13"/>
      <c r="AP49" s="13"/>
      <c r="AQ49" s="13"/>
      <c r="AR49" s="13"/>
      <c r="AS49" s="13"/>
      <c r="AT49" s="394"/>
      <c r="AU49" s="394"/>
      <c r="AV49" s="13"/>
      <c r="AW49" s="13"/>
      <c r="AX49" s="13"/>
      <c r="AY49" s="13"/>
      <c r="AZ49" s="13"/>
      <c r="BA49" s="394"/>
      <c r="BB49" s="394"/>
      <c r="BC49" s="13"/>
      <c r="BD49" s="13"/>
      <c r="BE49" s="13"/>
      <c r="BF49" s="13"/>
      <c r="BG49" s="13"/>
      <c r="BH49" s="394"/>
      <c r="BI49" s="394"/>
    </row>
    <row r="50" spans="1:61" ht="15.75" x14ac:dyDescent="0.25">
      <c r="A50" s="400" t="s">
        <v>258</v>
      </c>
      <c r="B50" s="402" t="s">
        <v>0</v>
      </c>
      <c r="C50" s="402" t="s">
        <v>0</v>
      </c>
      <c r="D50" s="402"/>
      <c r="E50" s="396">
        <f t="shared" ca="1" si="2"/>
        <v>0</v>
      </c>
      <c r="F50" s="13"/>
      <c r="G50" s="13"/>
      <c r="H50" s="13"/>
      <c r="I50" s="13"/>
      <c r="J50" s="13"/>
      <c r="K50" s="393"/>
      <c r="L50" s="393"/>
      <c r="M50" s="13"/>
      <c r="N50" s="13"/>
      <c r="O50" s="13"/>
      <c r="P50" s="13"/>
      <c r="Q50" s="13"/>
      <c r="R50" s="394"/>
      <c r="S50" s="394"/>
      <c r="T50" s="13"/>
      <c r="U50" s="13"/>
      <c r="V50" s="13"/>
      <c r="W50" s="13"/>
      <c r="X50" s="13"/>
      <c r="Y50" s="394"/>
      <c r="Z50" s="394"/>
      <c r="AA50" s="13"/>
      <c r="AB50" s="13"/>
      <c r="AC50" s="13"/>
      <c r="AD50" s="13"/>
      <c r="AE50" s="13"/>
      <c r="AF50" s="394"/>
      <c r="AG50" s="394"/>
      <c r="AH50" s="13"/>
      <c r="AI50" s="13"/>
      <c r="AJ50" s="13"/>
      <c r="AK50" s="13"/>
      <c r="AL50" s="13"/>
      <c r="AM50" s="394"/>
      <c r="AN50" s="394"/>
      <c r="AO50" s="13"/>
      <c r="AP50" s="13"/>
      <c r="AQ50" s="13"/>
      <c r="AR50" s="13"/>
      <c r="AS50" s="13"/>
      <c r="AT50" s="394"/>
      <c r="AU50" s="394"/>
      <c r="AV50" s="13"/>
      <c r="AW50" s="13"/>
      <c r="AX50" s="13"/>
      <c r="AY50" s="13"/>
      <c r="AZ50" s="13"/>
      <c r="BA50" s="394"/>
      <c r="BB50" s="394"/>
      <c r="BC50" s="13"/>
      <c r="BD50" s="13"/>
      <c r="BE50" s="13"/>
      <c r="BF50" s="13"/>
      <c r="BG50" s="13"/>
      <c r="BH50" s="394"/>
      <c r="BI50" s="394"/>
    </row>
    <row r="51" spans="1:61" ht="15.75" x14ac:dyDescent="0.25">
      <c r="A51" s="445" t="s">
        <v>259</v>
      </c>
      <c r="B51" s="402">
        <f>S.EQC.Meeting</f>
        <v>42354</v>
      </c>
      <c r="C51" s="402">
        <f>B51</f>
        <v>42354</v>
      </c>
      <c r="D51" s="402"/>
      <c r="E51" s="396">
        <f t="shared" ca="1" si="2"/>
        <v>0</v>
      </c>
      <c r="F51" s="13"/>
      <c r="G51" s="13"/>
      <c r="H51" s="13"/>
      <c r="I51" s="13"/>
      <c r="J51" s="13"/>
      <c r="K51" s="393"/>
      <c r="L51" s="393"/>
      <c r="M51" s="13"/>
      <c r="N51" s="13"/>
      <c r="O51" s="13"/>
      <c r="P51" s="13"/>
      <c r="Q51" s="13"/>
      <c r="R51" s="394"/>
      <c r="S51" s="394"/>
      <c r="T51" s="13"/>
      <c r="U51" s="13"/>
      <c r="V51" s="13"/>
      <c r="W51" s="13"/>
      <c r="X51" s="13"/>
      <c r="Y51" s="394"/>
      <c r="Z51" s="394"/>
      <c r="AA51" s="13"/>
      <c r="AB51" s="13"/>
      <c r="AC51" s="13"/>
      <c r="AD51" s="13"/>
      <c r="AE51" s="13"/>
      <c r="AF51" s="394"/>
      <c r="AG51" s="394"/>
      <c r="AH51" s="13"/>
      <c r="AI51" s="13"/>
      <c r="AJ51" s="13"/>
      <c r="AK51" s="13"/>
      <c r="AL51" s="13"/>
      <c r="AM51" s="394"/>
      <c r="AN51" s="394"/>
      <c r="AO51" s="13"/>
      <c r="AP51" s="13"/>
      <c r="AQ51" s="13"/>
      <c r="AR51" s="13"/>
      <c r="AS51" s="13"/>
      <c r="AT51" s="394"/>
      <c r="AU51" s="394"/>
      <c r="AV51" s="13"/>
      <c r="AW51" s="13"/>
      <c r="AX51" s="13"/>
      <c r="AY51" s="13"/>
      <c r="AZ51" s="13"/>
      <c r="BA51" s="394"/>
      <c r="BB51" s="394"/>
      <c r="BC51" s="13"/>
      <c r="BD51" s="13"/>
      <c r="BE51" s="13"/>
      <c r="BF51" s="13"/>
      <c r="BG51" s="13"/>
      <c r="BH51" s="394"/>
      <c r="BI51" s="394"/>
    </row>
    <row r="52" spans="1:61" ht="15.75" x14ac:dyDescent="0.25">
      <c r="A52" s="403" t="s">
        <v>260</v>
      </c>
      <c r="B52" s="402" t="s">
        <v>0</v>
      </c>
      <c r="C52" s="402" t="s">
        <v>0</v>
      </c>
      <c r="D52" s="402"/>
      <c r="E52" s="396">
        <f t="shared" ca="1" si="2"/>
        <v>0</v>
      </c>
      <c r="F52" s="13"/>
      <c r="G52" s="13"/>
      <c r="H52" s="13"/>
      <c r="I52" s="13"/>
      <c r="J52" s="13"/>
      <c r="K52" s="393"/>
      <c r="L52" s="393"/>
      <c r="M52" s="13"/>
      <c r="N52" s="13"/>
      <c r="O52" s="13"/>
      <c r="P52" s="13"/>
      <c r="Q52" s="13"/>
      <c r="R52" s="394"/>
      <c r="S52" s="394"/>
      <c r="T52" s="13"/>
      <c r="U52" s="13"/>
      <c r="V52" s="13"/>
      <c r="W52" s="13"/>
      <c r="X52" s="13"/>
      <c r="Y52" s="394"/>
      <c r="Z52" s="394"/>
      <c r="AA52" s="13"/>
      <c r="AB52" s="13"/>
      <c r="AC52" s="13"/>
      <c r="AD52" s="13"/>
      <c r="AE52" s="13"/>
      <c r="AF52" s="394"/>
      <c r="AG52" s="394"/>
      <c r="AH52" s="13"/>
      <c r="AI52" s="13"/>
      <c r="AJ52" s="13"/>
      <c r="AK52" s="13"/>
      <c r="AL52" s="13"/>
      <c r="AM52" s="394"/>
      <c r="AN52" s="394"/>
      <c r="AO52" s="13"/>
      <c r="AP52" s="13"/>
      <c r="AQ52" s="13"/>
      <c r="AR52" s="13"/>
      <c r="AS52" s="13"/>
      <c r="AT52" s="394"/>
      <c r="AU52" s="394"/>
      <c r="AV52" s="13"/>
      <c r="AW52" s="13"/>
      <c r="AX52" s="13"/>
      <c r="AY52" s="13"/>
      <c r="AZ52" s="13"/>
      <c r="BA52" s="394"/>
      <c r="BB52" s="394"/>
      <c r="BC52" s="13"/>
      <c r="BD52" s="13"/>
      <c r="BE52" s="13"/>
      <c r="BF52" s="13"/>
      <c r="BG52" s="13"/>
      <c r="BH52" s="394"/>
      <c r="BI52" s="394"/>
    </row>
    <row r="53" spans="1:61" ht="15.75" x14ac:dyDescent="0.25">
      <c r="A53" s="443" t="s">
        <v>261</v>
      </c>
      <c r="B53" s="402">
        <f>S.PostEQC.FileRuleWithSOS</f>
        <v>42356</v>
      </c>
      <c r="C53" s="402">
        <f>S.PostEQC.RuleEffective</f>
        <v>42356</v>
      </c>
      <c r="D53" s="402"/>
      <c r="E53" s="396">
        <f t="shared" ca="1" si="2"/>
        <v>0</v>
      </c>
      <c r="F53" s="13"/>
      <c r="G53" s="13"/>
      <c r="H53" s="13"/>
      <c r="I53" s="13"/>
      <c r="J53" s="13"/>
      <c r="K53" s="393"/>
      <c r="L53" s="393"/>
      <c r="M53" s="13"/>
      <c r="N53" s="13"/>
      <c r="O53" s="13"/>
      <c r="P53" s="13"/>
      <c r="Q53" s="13"/>
      <c r="R53" s="394"/>
      <c r="S53" s="394"/>
      <c r="T53" s="13"/>
      <c r="U53" s="13"/>
      <c r="V53" s="13"/>
      <c r="W53" s="13"/>
      <c r="X53" s="13"/>
      <c r="Y53" s="394"/>
      <c r="Z53" s="394"/>
      <c r="AA53" s="13"/>
      <c r="AB53" s="13"/>
      <c r="AC53" s="13"/>
      <c r="AD53" s="13"/>
      <c r="AE53" s="13"/>
      <c r="AF53" s="394"/>
      <c r="AG53" s="394"/>
      <c r="AH53" s="13"/>
      <c r="AI53" s="13"/>
      <c r="AJ53" s="13"/>
      <c r="AK53" s="13"/>
      <c r="AL53" s="13"/>
      <c r="AM53" s="394"/>
      <c r="AN53" s="394"/>
      <c r="AO53" s="13"/>
      <c r="AP53" s="13"/>
      <c r="AQ53" s="13"/>
      <c r="AR53" s="13"/>
      <c r="AS53" s="13"/>
      <c r="AT53" s="394"/>
      <c r="AU53" s="394"/>
      <c r="AV53" s="13"/>
      <c r="AW53" s="13"/>
      <c r="AX53" s="13"/>
      <c r="AY53" s="13"/>
      <c r="AZ53" s="13"/>
      <c r="BA53" s="394"/>
      <c r="BB53" s="394"/>
      <c r="BC53" s="13"/>
      <c r="BD53" s="13"/>
      <c r="BE53" s="13"/>
      <c r="BF53" s="13"/>
      <c r="BG53" s="13"/>
      <c r="BH53" s="394"/>
      <c r="BI53" s="394"/>
    </row>
    <row r="54" spans="1:61" ht="15.75" x14ac:dyDescent="0.25">
      <c r="A54" s="443" t="s">
        <v>262</v>
      </c>
      <c r="B54" s="402">
        <f>S.PostEQC.SubmitDASPart2</f>
        <v>42359</v>
      </c>
      <c r="C54" s="402">
        <f>B54</f>
        <v>42359</v>
      </c>
      <c r="D54" s="402"/>
      <c r="E54" s="396">
        <f t="shared" ca="1" si="2"/>
        <v>0</v>
      </c>
      <c r="F54" s="13"/>
      <c r="G54" s="13"/>
      <c r="H54" s="13"/>
      <c r="I54" s="13"/>
      <c r="J54" s="13"/>
      <c r="K54" s="393"/>
      <c r="L54" s="393"/>
      <c r="M54" s="13"/>
      <c r="N54" s="13"/>
      <c r="O54" s="13"/>
      <c r="P54" s="13"/>
      <c r="Q54" s="13"/>
      <c r="R54" s="394"/>
      <c r="S54" s="394"/>
      <c r="T54" s="13"/>
      <c r="U54" s="13"/>
      <c r="V54" s="13"/>
      <c r="W54" s="13"/>
      <c r="X54" s="13"/>
      <c r="Y54" s="394"/>
      <c r="Z54" s="394"/>
      <c r="AA54" s="13"/>
      <c r="AB54" s="13"/>
      <c r="AC54" s="13"/>
      <c r="AD54" s="13"/>
      <c r="AE54" s="13"/>
      <c r="AF54" s="394"/>
      <c r="AG54" s="394"/>
      <c r="AH54" s="13"/>
      <c r="AI54" s="13"/>
      <c r="AJ54" s="13"/>
      <c r="AK54" s="13"/>
      <c r="AL54" s="13"/>
      <c r="AM54" s="394"/>
      <c r="AN54" s="394"/>
      <c r="AO54" s="13"/>
      <c r="AP54" s="13"/>
      <c r="AQ54" s="13"/>
      <c r="AR54" s="13"/>
      <c r="AS54" s="13"/>
      <c r="AT54" s="394"/>
      <c r="AU54" s="394"/>
      <c r="AV54" s="13"/>
      <c r="AW54" s="13"/>
      <c r="AX54" s="13"/>
      <c r="AY54" s="13"/>
      <c r="AZ54" s="13"/>
      <c r="BA54" s="394"/>
      <c r="BB54" s="394"/>
      <c r="BC54" s="13"/>
      <c r="BD54" s="13"/>
      <c r="BE54" s="13"/>
      <c r="BF54" s="13"/>
      <c r="BG54" s="13"/>
      <c r="BH54" s="394"/>
      <c r="BI54" s="394"/>
    </row>
    <row r="55" spans="1:61" ht="15.75" x14ac:dyDescent="0.25">
      <c r="A55" s="443" t="s">
        <v>263</v>
      </c>
      <c r="B55" s="402">
        <f>S.PostEQC.SubmitSIPToEPA</f>
        <v>42416</v>
      </c>
      <c r="C55" s="402">
        <f>B55</f>
        <v>42416</v>
      </c>
      <c r="D55" s="402"/>
      <c r="E55" s="396">
        <f t="shared" ca="1" si="2"/>
        <v>0</v>
      </c>
      <c r="F55" s="13"/>
      <c r="G55" s="13"/>
      <c r="H55" s="13"/>
      <c r="I55" s="13"/>
      <c r="J55" s="13"/>
      <c r="K55" s="393"/>
      <c r="L55" s="393"/>
      <c r="M55" s="13"/>
      <c r="N55" s="13"/>
      <c r="O55" s="13"/>
      <c r="P55" s="13"/>
      <c r="Q55" s="13"/>
      <c r="R55" s="394"/>
      <c r="S55" s="394"/>
      <c r="T55" s="13"/>
      <c r="U55" s="13"/>
      <c r="V55" s="13"/>
      <c r="W55" s="13"/>
      <c r="X55" s="13"/>
      <c r="Y55" s="394"/>
      <c r="Z55" s="394"/>
      <c r="AA55" s="13"/>
      <c r="AB55" s="13"/>
      <c r="AC55" s="13"/>
      <c r="AD55" s="13"/>
      <c r="AE55" s="13"/>
      <c r="AF55" s="394"/>
      <c r="AG55" s="394"/>
      <c r="AH55" s="13"/>
      <c r="AI55" s="13"/>
      <c r="AJ55" s="13"/>
      <c r="AK55" s="13"/>
      <c r="AL55" s="13"/>
      <c r="AM55" s="394"/>
      <c r="AN55" s="394"/>
      <c r="AO55" s="13"/>
      <c r="AP55" s="13"/>
      <c r="AQ55" s="13"/>
      <c r="AR55" s="13"/>
      <c r="AS55" s="13"/>
      <c r="AT55" s="394"/>
      <c r="AU55" s="394"/>
      <c r="AV55" s="13"/>
      <c r="AW55" s="13"/>
      <c r="AX55" s="13"/>
      <c r="AY55" s="13"/>
      <c r="AZ55" s="13"/>
      <c r="BA55" s="394"/>
      <c r="BB55" s="394"/>
      <c r="BC55" s="13"/>
      <c r="BD55" s="13"/>
      <c r="BE55" s="13"/>
      <c r="BF55" s="13"/>
      <c r="BG55" s="13"/>
      <c r="BH55" s="394"/>
      <c r="BI55" s="394"/>
    </row>
    <row r="56" spans="1:61" x14ac:dyDescent="0.2">
      <c r="A56" s="389"/>
      <c r="B56" s="389"/>
      <c r="C56" s="389"/>
      <c r="D56" s="389"/>
      <c r="E56" s="396">
        <f t="shared" ca="1" si="2"/>
        <v>1</v>
      </c>
      <c r="F56" s="13"/>
      <c r="G56" s="13"/>
      <c r="H56" s="13"/>
      <c r="I56" s="13"/>
      <c r="J56" s="13"/>
      <c r="K56" s="393"/>
      <c r="L56" s="393"/>
      <c r="M56" s="13"/>
      <c r="N56" s="13"/>
      <c r="O56" s="13"/>
      <c r="P56" s="13"/>
      <c r="Q56" s="13"/>
      <c r="R56" s="394"/>
      <c r="S56" s="394"/>
      <c r="T56" s="13"/>
      <c r="U56" s="13"/>
      <c r="V56" s="13"/>
      <c r="W56" s="13"/>
      <c r="X56" s="13"/>
      <c r="Y56" s="394"/>
      <c r="Z56" s="394"/>
      <c r="AA56" s="13"/>
      <c r="AB56" s="13"/>
      <c r="AC56" s="13"/>
      <c r="AD56" s="13"/>
      <c r="AE56" s="13"/>
      <c r="AF56" s="394"/>
      <c r="AG56" s="394"/>
      <c r="AH56" s="13"/>
      <c r="AI56" s="13"/>
      <c r="AJ56" s="13"/>
      <c r="AK56" s="13"/>
      <c r="AL56" s="13"/>
      <c r="AM56" s="394"/>
      <c r="AN56" s="394"/>
      <c r="AO56" s="13"/>
      <c r="AP56" s="13"/>
      <c r="AQ56" s="13"/>
      <c r="AR56" s="13"/>
      <c r="AS56" s="13"/>
      <c r="AT56" s="394"/>
      <c r="AU56" s="394"/>
      <c r="AV56" s="13"/>
      <c r="AW56" s="13"/>
      <c r="AX56" s="13"/>
      <c r="AY56" s="13"/>
      <c r="AZ56" s="13"/>
      <c r="BA56" s="394"/>
      <c r="BB56" s="394"/>
      <c r="BC56" s="13"/>
      <c r="BD56" s="13"/>
      <c r="BE56" s="13"/>
      <c r="BF56" s="13"/>
      <c r="BG56" s="13"/>
      <c r="BH56" s="394"/>
      <c r="BI56" s="394"/>
    </row>
    <row r="57" spans="1:61" x14ac:dyDescent="0.2">
      <c r="A57" s="397"/>
      <c r="B57" s="397"/>
      <c r="C57" s="397"/>
      <c r="D57" s="397"/>
      <c r="E57" s="396">
        <f t="shared" ca="1" si="2"/>
        <v>1</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row>
    <row r="58" spans="1:61" x14ac:dyDescent="0.2">
      <c r="A58" s="397"/>
      <c r="B58" s="397"/>
      <c r="C58" s="397"/>
      <c r="D58" s="397"/>
      <c r="E58" s="34"/>
      <c r="F58" s="34"/>
      <c r="G58" s="34"/>
      <c r="H58" s="34"/>
      <c r="I58" s="34"/>
      <c r="J58" s="34"/>
      <c r="K58" s="391"/>
      <c r="L58" s="391"/>
      <c r="M58" s="34"/>
      <c r="N58" s="34"/>
      <c r="O58" s="34"/>
      <c r="P58" s="34"/>
      <c r="Q58" s="34"/>
      <c r="R58" s="392"/>
      <c r="S58" s="392"/>
      <c r="T58" s="34"/>
      <c r="U58" s="34"/>
      <c r="V58" s="34"/>
      <c r="W58" s="34"/>
      <c r="X58" s="34"/>
      <c r="Y58" s="34"/>
      <c r="Z58" s="34"/>
      <c r="AA58" s="34"/>
      <c r="AB58" s="34"/>
      <c r="AC58" s="34"/>
      <c r="AD58" s="34"/>
      <c r="AE58" s="34"/>
      <c r="AF58" s="392"/>
      <c r="AG58" s="392"/>
      <c r="AH58" s="34"/>
      <c r="AI58" s="34"/>
      <c r="AJ58" s="34"/>
      <c r="AK58" s="34"/>
      <c r="AL58" s="34"/>
      <c r="AM58" s="34"/>
      <c r="AN58" s="34"/>
      <c r="AO58" s="34"/>
      <c r="AP58" s="34"/>
      <c r="AQ58" s="34"/>
      <c r="AR58" s="34"/>
      <c r="AS58" s="34"/>
      <c r="AT58" s="392"/>
      <c r="AU58" s="392"/>
      <c r="AV58" s="34"/>
      <c r="AW58" s="34"/>
      <c r="AX58" s="34"/>
      <c r="AY58" s="34"/>
      <c r="AZ58" s="34"/>
      <c r="BA58" s="34"/>
      <c r="BB58" s="34"/>
      <c r="BC58" s="34"/>
      <c r="BD58" s="34"/>
      <c r="BE58" s="34"/>
      <c r="BF58" s="34"/>
      <c r="BG58" s="34"/>
      <c r="BH58" s="392"/>
      <c r="BI58" s="392"/>
    </row>
    <row r="59" spans="1:61" x14ac:dyDescent="0.2">
      <c r="A59" s="397"/>
      <c r="B59" s="397"/>
      <c r="C59" s="397"/>
      <c r="D59" s="397"/>
      <c r="E59" s="34"/>
      <c r="F59" s="34"/>
      <c r="G59" s="34"/>
      <c r="H59" s="34"/>
      <c r="I59" s="34"/>
      <c r="J59" s="34"/>
      <c r="K59" s="391"/>
      <c r="L59" s="391"/>
      <c r="M59" s="34"/>
      <c r="N59" s="34"/>
      <c r="O59" s="34"/>
      <c r="P59" s="34"/>
      <c r="Q59" s="34"/>
      <c r="R59" s="392"/>
      <c r="S59" s="392"/>
      <c r="T59" s="34"/>
      <c r="U59" s="34"/>
      <c r="V59" s="34"/>
      <c r="W59" s="34"/>
      <c r="X59" s="34"/>
      <c r="Y59" s="34"/>
      <c r="Z59" s="34"/>
      <c r="AA59" s="34"/>
      <c r="AB59" s="34"/>
      <c r="AC59" s="34"/>
      <c r="AD59" s="34"/>
      <c r="AE59" s="34"/>
      <c r="AF59" s="392"/>
      <c r="AG59" s="392"/>
      <c r="AH59" s="34"/>
      <c r="AI59" s="34"/>
      <c r="AJ59" s="34"/>
      <c r="AK59" s="34"/>
      <c r="AL59" s="34"/>
      <c r="AM59" s="34"/>
      <c r="AN59" s="34"/>
      <c r="AO59" s="34"/>
      <c r="AP59" s="34"/>
      <c r="AQ59" s="34"/>
      <c r="AR59" s="34"/>
      <c r="AS59" s="34"/>
      <c r="AT59" s="392"/>
      <c r="AU59" s="392"/>
      <c r="AV59" s="34"/>
      <c r="AW59" s="34"/>
      <c r="AX59" s="34"/>
      <c r="AY59" s="34"/>
      <c r="AZ59" s="34"/>
      <c r="BA59" s="34"/>
      <c r="BB59" s="34"/>
      <c r="BC59" s="34"/>
      <c r="BD59" s="34"/>
      <c r="BE59" s="34"/>
      <c r="BF59" s="34"/>
      <c r="BG59" s="34"/>
      <c r="BH59" s="392"/>
      <c r="BI59" s="392"/>
    </row>
    <row r="60" spans="1:61" x14ac:dyDescent="0.2">
      <c r="A60" s="34"/>
      <c r="B60" s="34"/>
      <c r="C60" s="34"/>
      <c r="D60" s="34"/>
      <c r="E60" s="34"/>
      <c r="F60" s="34"/>
      <c r="G60" s="34"/>
      <c r="H60" s="34"/>
      <c r="I60" s="34"/>
      <c r="J60" s="34"/>
      <c r="K60" s="391"/>
      <c r="L60" s="391"/>
      <c r="M60" s="34"/>
      <c r="N60" s="34"/>
      <c r="O60" s="34"/>
      <c r="P60" s="34"/>
      <c r="Q60" s="34"/>
      <c r="R60" s="392"/>
      <c r="S60" s="392"/>
      <c r="T60" s="34"/>
      <c r="U60" s="34"/>
      <c r="V60" s="34"/>
      <c r="W60" s="34"/>
      <c r="X60" s="34"/>
      <c r="Y60" s="34"/>
      <c r="Z60" s="34"/>
      <c r="AA60" s="34"/>
      <c r="AB60" s="34"/>
      <c r="AC60" s="34"/>
      <c r="AD60" s="34"/>
      <c r="AE60" s="34"/>
      <c r="AF60" s="392"/>
      <c r="AG60" s="392"/>
      <c r="AH60" s="34"/>
      <c r="AI60" s="34"/>
      <c r="AJ60" s="34"/>
      <c r="AK60" s="34"/>
      <c r="AL60" s="34"/>
      <c r="AM60" s="34"/>
      <c r="AN60" s="34"/>
      <c r="AO60" s="34"/>
      <c r="AP60" s="34"/>
      <c r="AQ60" s="34"/>
      <c r="AR60" s="34"/>
      <c r="AS60" s="34"/>
      <c r="AT60" s="392"/>
      <c r="AU60" s="392"/>
      <c r="AV60" s="34"/>
      <c r="AW60" s="34"/>
      <c r="AX60" s="34"/>
      <c r="AY60" s="34"/>
      <c r="AZ60" s="34"/>
      <c r="BA60" s="34"/>
      <c r="BB60" s="34"/>
      <c r="BC60" s="34"/>
      <c r="BD60" s="34"/>
      <c r="BE60" s="34"/>
      <c r="BF60" s="34"/>
      <c r="BG60" s="34"/>
      <c r="BH60" s="392"/>
      <c r="BI60" s="392"/>
    </row>
    <row r="61" spans="1:61" x14ac:dyDescent="0.2">
      <c r="A61" s="34"/>
      <c r="B61" s="34"/>
      <c r="C61" s="34"/>
      <c r="D61" s="34"/>
      <c r="E61" s="34"/>
      <c r="F61" s="34"/>
      <c r="G61" s="34"/>
      <c r="H61" s="34"/>
      <c r="I61" s="34"/>
      <c r="J61" s="34"/>
      <c r="K61" s="391"/>
      <c r="L61" s="391"/>
      <c r="M61" s="34"/>
      <c r="N61" s="34"/>
      <c r="O61" s="34"/>
      <c r="P61" s="34"/>
      <c r="Q61" s="34"/>
      <c r="R61" s="392"/>
      <c r="S61" s="392"/>
      <c r="T61" s="34"/>
      <c r="U61" s="34"/>
      <c r="V61" s="34"/>
      <c r="W61" s="34"/>
      <c r="X61" s="34"/>
      <c r="Y61" s="34"/>
      <c r="Z61" s="34"/>
      <c r="AA61" s="34"/>
      <c r="AB61" s="34"/>
      <c r="AC61" s="34"/>
      <c r="AD61" s="34"/>
      <c r="AE61" s="34"/>
      <c r="AF61" s="392"/>
      <c r="AG61" s="392"/>
      <c r="AH61" s="34"/>
      <c r="AI61" s="34"/>
      <c r="AJ61" s="34"/>
      <c r="AK61" s="34"/>
      <c r="AL61" s="34"/>
      <c r="AM61" s="34"/>
      <c r="AN61" s="34"/>
      <c r="AO61" s="34"/>
      <c r="AP61" s="34"/>
      <c r="AQ61" s="34"/>
      <c r="AR61" s="34"/>
      <c r="AS61" s="34"/>
      <c r="AT61" s="392"/>
      <c r="AU61" s="392"/>
      <c r="AV61" s="34"/>
      <c r="AW61" s="34"/>
      <c r="AX61" s="34"/>
      <c r="AY61" s="34"/>
      <c r="AZ61" s="34"/>
      <c r="BA61" s="34"/>
      <c r="BB61" s="34"/>
      <c r="BC61" s="34"/>
      <c r="BD61" s="34"/>
      <c r="BE61" s="34"/>
      <c r="BF61" s="34"/>
      <c r="BG61" s="34"/>
      <c r="BH61" s="392"/>
      <c r="BI61" s="392"/>
    </row>
    <row r="62" spans="1:61" x14ac:dyDescent="0.2">
      <c r="A62" s="34"/>
      <c r="B62" s="34"/>
      <c r="C62" s="34"/>
      <c r="D62" s="34"/>
      <c r="E62" s="34"/>
      <c r="F62" s="34"/>
      <c r="G62" s="34"/>
      <c r="H62" s="34"/>
      <c r="I62" s="34"/>
      <c r="J62" s="34"/>
      <c r="K62" s="391"/>
      <c r="L62" s="391"/>
      <c r="M62" s="34"/>
      <c r="N62" s="34"/>
      <c r="O62" s="34"/>
      <c r="P62" s="34"/>
      <c r="Q62" s="34"/>
      <c r="R62" s="392"/>
      <c r="S62" s="392"/>
      <c r="T62" s="34"/>
      <c r="U62" s="34"/>
      <c r="V62" s="34"/>
      <c r="W62" s="34"/>
      <c r="X62" s="34"/>
      <c r="Y62" s="34"/>
      <c r="Z62" s="34"/>
      <c r="AA62" s="34"/>
      <c r="AB62" s="34"/>
      <c r="AC62" s="34"/>
      <c r="AD62" s="34"/>
      <c r="AE62" s="34"/>
      <c r="AF62" s="392"/>
      <c r="AG62" s="392"/>
      <c r="AH62" s="34"/>
      <c r="AI62" s="34"/>
      <c r="AJ62" s="34"/>
      <c r="AK62" s="34"/>
      <c r="AL62" s="34"/>
      <c r="AM62" s="34"/>
      <c r="AN62" s="34"/>
      <c r="AO62" s="34"/>
      <c r="AP62" s="34"/>
      <c r="AQ62" s="34"/>
      <c r="AR62" s="34"/>
      <c r="AS62" s="34"/>
      <c r="AT62" s="392"/>
      <c r="AU62" s="392"/>
      <c r="AV62" s="34"/>
      <c r="AW62" s="34"/>
      <c r="AX62" s="34"/>
      <c r="AY62" s="34"/>
      <c r="AZ62" s="34"/>
      <c r="BA62" s="34"/>
      <c r="BB62" s="34"/>
      <c r="BC62" s="34"/>
      <c r="BD62" s="34"/>
      <c r="BE62" s="34"/>
      <c r="BF62" s="34"/>
      <c r="BG62" s="34"/>
      <c r="BH62" s="392"/>
      <c r="BI62" s="392"/>
    </row>
    <row r="63" spans="1:61" x14ac:dyDescent="0.2">
      <c r="A63" s="34"/>
      <c r="B63" s="34"/>
      <c r="C63" s="34"/>
      <c r="D63" s="34"/>
      <c r="E63" s="34"/>
      <c r="F63" s="34"/>
      <c r="G63" s="34"/>
      <c r="H63" s="34"/>
      <c r="I63" s="34"/>
      <c r="J63" s="34"/>
      <c r="K63" s="391"/>
      <c r="L63" s="391"/>
      <c r="M63" s="34"/>
      <c r="N63" s="34"/>
      <c r="O63" s="34"/>
      <c r="P63" s="34"/>
      <c r="Q63" s="34"/>
      <c r="R63" s="392"/>
      <c r="S63" s="392"/>
      <c r="T63" s="34"/>
      <c r="U63" s="34"/>
      <c r="V63" s="34"/>
      <c r="W63" s="34"/>
      <c r="X63" s="34"/>
      <c r="Y63" s="34"/>
      <c r="Z63" s="34"/>
      <c r="AA63" s="34"/>
      <c r="AB63" s="34"/>
      <c r="AC63" s="34"/>
      <c r="AD63" s="34"/>
      <c r="AE63" s="34"/>
      <c r="AF63" s="392"/>
      <c r="AG63" s="392"/>
      <c r="AH63" s="34"/>
      <c r="AI63" s="34"/>
      <c r="AJ63" s="34"/>
      <c r="AK63" s="34"/>
      <c r="AL63" s="34"/>
      <c r="AM63" s="34"/>
      <c r="AN63" s="34"/>
      <c r="AO63" s="34"/>
      <c r="AP63" s="34"/>
      <c r="AQ63" s="34"/>
      <c r="AR63" s="34"/>
      <c r="AS63" s="34"/>
      <c r="AT63" s="392"/>
      <c r="AU63" s="392"/>
      <c r="AV63" s="34"/>
      <c r="AW63" s="34"/>
      <c r="AX63" s="34"/>
      <c r="AY63" s="34"/>
      <c r="AZ63" s="34"/>
      <c r="BA63" s="34"/>
      <c r="BB63" s="34"/>
      <c r="BC63" s="34"/>
      <c r="BD63" s="34"/>
      <c r="BE63" s="34"/>
      <c r="BF63" s="34"/>
      <c r="BG63" s="34"/>
      <c r="BH63" s="392"/>
      <c r="BI63" s="392"/>
    </row>
    <row r="64" spans="1:61" x14ac:dyDescent="0.2">
      <c r="A64" s="34"/>
      <c r="B64" s="34"/>
      <c r="C64" s="34"/>
      <c r="D64" s="34"/>
      <c r="E64" s="34"/>
      <c r="F64" s="34"/>
      <c r="G64" s="34"/>
      <c r="H64" s="34"/>
      <c r="I64" s="34"/>
      <c r="J64" s="34"/>
      <c r="K64" s="391"/>
      <c r="L64" s="391"/>
      <c r="M64" s="34"/>
      <c r="N64" s="34"/>
      <c r="O64" s="34"/>
      <c r="P64" s="34"/>
      <c r="Q64" s="34"/>
      <c r="R64" s="392"/>
      <c r="S64" s="392"/>
      <c r="T64" s="34"/>
      <c r="U64" s="34"/>
      <c r="V64" s="34"/>
      <c r="W64" s="34"/>
      <c r="X64" s="34"/>
      <c r="Y64" s="34"/>
      <c r="Z64" s="34"/>
      <c r="AA64" s="34"/>
      <c r="AB64" s="34"/>
      <c r="AC64" s="34"/>
      <c r="AD64" s="34"/>
      <c r="AE64" s="34"/>
      <c r="AF64" s="392"/>
      <c r="AG64" s="392"/>
      <c r="AH64" s="34"/>
      <c r="AI64" s="34"/>
      <c r="AJ64" s="34"/>
      <c r="AK64" s="34"/>
      <c r="AL64" s="34"/>
      <c r="AM64" s="34"/>
      <c r="AN64" s="34"/>
      <c r="AO64" s="34"/>
      <c r="AP64" s="34"/>
      <c r="AQ64" s="34"/>
      <c r="AR64" s="34"/>
      <c r="AS64" s="34"/>
      <c r="AT64" s="392"/>
      <c r="AU64" s="392"/>
      <c r="AV64" s="34"/>
      <c r="AW64" s="34"/>
      <c r="AX64" s="34"/>
      <c r="AY64" s="34"/>
      <c r="AZ64" s="34"/>
      <c r="BA64" s="34"/>
      <c r="BB64" s="34"/>
      <c r="BC64" s="34"/>
      <c r="BD64" s="34"/>
      <c r="BE64" s="34"/>
      <c r="BF64" s="34"/>
      <c r="BG64" s="34"/>
      <c r="BH64" s="392"/>
      <c r="BI64" s="392"/>
    </row>
    <row r="65" spans="1:61" x14ac:dyDescent="0.2">
      <c r="A65" s="34"/>
      <c r="B65" s="34"/>
      <c r="C65" s="34"/>
      <c r="D65" s="34"/>
      <c r="E65" s="34"/>
      <c r="F65" s="34"/>
      <c r="G65" s="34"/>
      <c r="H65" s="34"/>
      <c r="I65" s="34"/>
      <c r="J65" s="34"/>
      <c r="K65" s="391"/>
      <c r="L65" s="391"/>
      <c r="M65" s="34"/>
      <c r="N65" s="34"/>
      <c r="O65" s="34"/>
      <c r="P65" s="34"/>
      <c r="Q65" s="34"/>
      <c r="R65" s="392"/>
      <c r="S65" s="392"/>
      <c r="T65" s="34"/>
      <c r="U65" s="34"/>
      <c r="V65" s="34"/>
      <c r="W65" s="34"/>
      <c r="X65" s="34"/>
      <c r="Y65" s="34"/>
      <c r="Z65" s="34"/>
      <c r="AA65" s="34"/>
      <c r="AB65" s="34"/>
      <c r="AC65" s="34"/>
      <c r="AD65" s="34"/>
      <c r="AE65" s="34"/>
      <c r="AF65" s="392"/>
      <c r="AG65" s="392"/>
      <c r="AH65" s="34"/>
      <c r="AI65" s="34"/>
      <c r="AJ65" s="34"/>
      <c r="AK65" s="34"/>
      <c r="AL65" s="34"/>
      <c r="AM65" s="34"/>
      <c r="AN65" s="34"/>
      <c r="AO65" s="34"/>
      <c r="AP65" s="34"/>
      <c r="AQ65" s="34"/>
      <c r="AR65" s="34"/>
      <c r="AS65" s="34"/>
      <c r="AT65" s="392"/>
      <c r="AU65" s="392"/>
      <c r="AV65" s="34"/>
      <c r="AW65" s="34"/>
      <c r="AX65" s="34"/>
      <c r="AY65" s="34"/>
      <c r="AZ65" s="34"/>
      <c r="BA65" s="34"/>
      <c r="BB65" s="34"/>
      <c r="BC65" s="34"/>
      <c r="BD65" s="34"/>
      <c r="BE65" s="34"/>
      <c r="BF65" s="34"/>
      <c r="BG65" s="34"/>
      <c r="BH65" s="392"/>
      <c r="BI65" s="392"/>
    </row>
    <row r="66" spans="1:61" x14ac:dyDescent="0.2">
      <c r="A66" s="34"/>
      <c r="B66" s="34"/>
      <c r="C66" s="34"/>
      <c r="D66" s="34"/>
      <c r="E66" s="34"/>
      <c r="F66" s="34"/>
      <c r="G66" s="34"/>
      <c r="H66" s="34"/>
      <c r="I66" s="34"/>
      <c r="J66" s="34"/>
      <c r="K66" s="391"/>
      <c r="L66" s="391"/>
      <c r="M66" s="34"/>
      <c r="N66" s="34"/>
      <c r="O66" s="34"/>
      <c r="P66" s="34"/>
      <c r="Q66" s="34"/>
      <c r="R66" s="392"/>
      <c r="S66" s="392"/>
      <c r="T66" s="34"/>
      <c r="U66" s="34"/>
      <c r="V66" s="34"/>
      <c r="W66" s="34"/>
      <c r="X66" s="34"/>
      <c r="Y66" s="34"/>
      <c r="Z66" s="34"/>
      <c r="AA66" s="34"/>
      <c r="AB66" s="34"/>
      <c r="AC66" s="34"/>
      <c r="AD66" s="34"/>
      <c r="AE66" s="34"/>
      <c r="AF66" s="392"/>
      <c r="AG66" s="392"/>
      <c r="AH66" s="34"/>
      <c r="AI66" s="34"/>
      <c r="AJ66" s="34"/>
      <c r="AK66" s="34"/>
      <c r="AL66" s="34"/>
      <c r="AM66" s="34"/>
      <c r="AN66" s="34"/>
      <c r="AO66" s="34"/>
      <c r="AP66" s="34"/>
      <c r="AQ66" s="34"/>
      <c r="AR66" s="34"/>
      <c r="AS66" s="34"/>
      <c r="AT66" s="392"/>
      <c r="AU66" s="392"/>
      <c r="AV66" s="34"/>
      <c r="AW66" s="34"/>
      <c r="AX66" s="34"/>
      <c r="AY66" s="34"/>
      <c r="AZ66" s="34"/>
      <c r="BA66" s="34"/>
      <c r="BB66" s="34"/>
      <c r="BC66" s="34"/>
      <c r="BD66" s="34"/>
      <c r="BE66" s="34"/>
      <c r="BF66" s="34"/>
      <c r="BG66" s="34"/>
      <c r="BH66" s="392"/>
      <c r="BI66" s="392"/>
    </row>
    <row r="67" spans="1:61" x14ac:dyDescent="0.2">
      <c r="A67" s="34"/>
      <c r="B67" s="34"/>
      <c r="C67" s="34"/>
      <c r="D67" s="34"/>
      <c r="E67" s="34"/>
      <c r="F67" s="34"/>
      <c r="G67" s="34"/>
      <c r="H67" s="34"/>
      <c r="I67" s="34"/>
      <c r="J67" s="34"/>
      <c r="K67" s="391"/>
      <c r="L67" s="391"/>
      <c r="M67" s="34"/>
      <c r="N67" s="34"/>
      <c r="O67" s="34"/>
      <c r="P67" s="34"/>
      <c r="Q67" s="34"/>
      <c r="R67" s="392"/>
      <c r="S67" s="392"/>
      <c r="T67" s="34"/>
      <c r="U67" s="34"/>
      <c r="V67" s="34"/>
      <c r="W67" s="34"/>
      <c r="X67" s="34"/>
      <c r="Y67" s="34"/>
      <c r="Z67" s="34"/>
      <c r="AA67" s="34"/>
      <c r="AB67" s="34"/>
      <c r="AC67" s="34"/>
      <c r="AD67" s="34"/>
      <c r="AE67" s="34"/>
      <c r="AF67" s="392"/>
      <c r="AG67" s="392"/>
      <c r="AH67" s="34"/>
      <c r="AI67" s="34"/>
      <c r="AJ67" s="34"/>
      <c r="AK67" s="34"/>
      <c r="AL67" s="34"/>
      <c r="AM67" s="34"/>
      <c r="AN67" s="34"/>
      <c r="AO67" s="34"/>
      <c r="AP67" s="34"/>
      <c r="AQ67" s="34"/>
      <c r="AR67" s="34"/>
      <c r="AS67" s="34"/>
      <c r="AT67" s="392"/>
      <c r="AU67" s="392"/>
      <c r="AV67" s="34"/>
      <c r="AW67" s="34"/>
      <c r="AX67" s="34"/>
      <c r="AY67" s="34"/>
      <c r="AZ67" s="34"/>
      <c r="BA67" s="34"/>
      <c r="BB67" s="34"/>
      <c r="BC67" s="34"/>
      <c r="BD67" s="34"/>
      <c r="BE67" s="34"/>
      <c r="BF67" s="34"/>
      <c r="BG67" s="34"/>
      <c r="BH67" s="392"/>
      <c r="BI67" s="34"/>
    </row>
    <row r="68" spans="1:61" x14ac:dyDescent="0.2">
      <c r="A68" s="34"/>
      <c r="B68" s="34"/>
      <c r="C68" s="34"/>
      <c r="D68" s="34"/>
      <c r="E68" s="34"/>
      <c r="F68" s="34"/>
      <c r="G68" s="34"/>
      <c r="H68" s="34"/>
      <c r="I68" s="34"/>
      <c r="J68" s="34"/>
      <c r="K68" s="391"/>
      <c r="L68" s="391"/>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row>
    <row r="69" spans="1:61" x14ac:dyDescent="0.2">
      <c r="A69" s="34"/>
      <c r="B69" s="34"/>
      <c r="C69" s="34"/>
      <c r="D69" s="34"/>
      <c r="E69" s="34"/>
      <c r="F69" s="34"/>
      <c r="G69" s="34"/>
      <c r="H69" s="34"/>
      <c r="I69" s="34"/>
      <c r="J69" s="34"/>
      <c r="K69" s="391"/>
      <c r="L69" s="391"/>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row>
    <row r="70" spans="1:61" x14ac:dyDescent="0.2">
      <c r="A70" s="34"/>
      <c r="B70" s="34"/>
      <c r="C70" s="34"/>
      <c r="D70" s="34"/>
      <c r="E70" s="34"/>
      <c r="F70" s="34"/>
      <c r="G70" s="34"/>
      <c r="H70" s="34"/>
      <c r="I70" s="34"/>
      <c r="J70" s="34"/>
      <c r="K70" s="391"/>
      <c r="L70" s="391"/>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row>
    <row r="71" spans="1:61" x14ac:dyDescent="0.2">
      <c r="A71" s="34"/>
      <c r="B71" s="34"/>
      <c r="C71" s="34"/>
      <c r="D71" s="34"/>
      <c r="E71" s="34"/>
      <c r="F71" s="34"/>
      <c r="G71" s="34"/>
      <c r="H71" s="34"/>
      <c r="I71" s="34"/>
      <c r="J71" s="34"/>
      <c r="K71" s="391"/>
      <c r="L71" s="391"/>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row>
    <row r="72" spans="1:61" x14ac:dyDescent="0.2">
      <c r="A72" s="34"/>
      <c r="B72" s="34"/>
      <c r="C72" s="34"/>
      <c r="D72" s="34"/>
      <c r="E72" s="34"/>
      <c r="F72" s="34"/>
      <c r="G72" s="34"/>
      <c r="H72" s="34"/>
      <c r="I72" s="34"/>
      <c r="J72" s="34"/>
      <c r="K72" s="391"/>
      <c r="L72" s="391"/>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row>
    <row r="73" spans="1:61" x14ac:dyDescent="0.2">
      <c r="A73" s="34"/>
      <c r="B73" s="34"/>
      <c r="C73" s="34"/>
      <c r="D73" s="34"/>
      <c r="E73" s="34"/>
      <c r="F73" s="34"/>
      <c r="G73" s="34"/>
      <c r="H73" s="34"/>
      <c r="I73" s="34"/>
      <c r="J73" s="34"/>
      <c r="K73" s="391"/>
      <c r="L73" s="391"/>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row>
    <row r="74" spans="1:61" x14ac:dyDescent="0.2">
      <c r="A74" s="34"/>
      <c r="B74" s="34"/>
      <c r="C74" s="34"/>
      <c r="D74" s="34"/>
      <c r="E74" s="34"/>
      <c r="F74" s="34"/>
      <c r="G74" s="34"/>
      <c r="H74" s="34"/>
      <c r="I74" s="34"/>
      <c r="J74" s="34"/>
      <c r="K74" s="391"/>
      <c r="L74" s="391"/>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row>
    <row r="75" spans="1:61" x14ac:dyDescent="0.2">
      <c r="A75" s="34"/>
      <c r="B75" s="34"/>
      <c r="C75" s="34"/>
      <c r="D75" s="34"/>
      <c r="E75" s="34"/>
      <c r="F75" s="34"/>
      <c r="G75" s="34"/>
      <c r="H75" s="34"/>
      <c r="I75" s="34"/>
      <c r="J75" s="34"/>
      <c r="K75" s="391"/>
      <c r="L75" s="391"/>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row>
    <row r="76" spans="1:61" x14ac:dyDescent="0.2">
      <c r="A76" s="34"/>
      <c r="B76" s="34"/>
      <c r="C76" s="34"/>
      <c r="D76" s="34"/>
      <c r="E76" s="34"/>
      <c r="F76" s="34"/>
      <c r="G76" s="34"/>
      <c r="H76" s="34"/>
      <c r="I76" s="34"/>
      <c r="J76" s="34"/>
      <c r="K76" s="391"/>
      <c r="L76" s="391"/>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row>
    <row r="77" spans="1:61" x14ac:dyDescent="0.2">
      <c r="A77" s="34"/>
      <c r="B77" s="34"/>
      <c r="C77" s="34"/>
      <c r="D77" s="34"/>
      <c r="E77" s="34"/>
      <c r="F77" s="34"/>
      <c r="G77" s="34"/>
      <c r="H77" s="34"/>
      <c r="I77" s="34"/>
      <c r="J77" s="34"/>
      <c r="K77" s="391"/>
      <c r="L77" s="391"/>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row>
    <row r="78" spans="1:61" x14ac:dyDescent="0.2">
      <c r="A78" s="34"/>
      <c r="B78" s="34"/>
      <c r="C78" s="34"/>
      <c r="D78" s="34"/>
      <c r="E78" s="34"/>
      <c r="F78" s="34"/>
      <c r="G78" s="34"/>
      <c r="H78" s="34"/>
      <c r="I78" s="34"/>
      <c r="J78" s="34"/>
      <c r="K78" s="391"/>
      <c r="L78" s="391"/>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row>
    <row r="79" spans="1:61" x14ac:dyDescent="0.2">
      <c r="A79" s="34"/>
      <c r="B79" s="34"/>
      <c r="C79" s="34"/>
      <c r="D79" s="34"/>
      <c r="E79" s="34"/>
      <c r="F79" s="34"/>
      <c r="G79" s="34"/>
      <c r="H79" s="34"/>
      <c r="I79" s="34"/>
      <c r="J79" s="34"/>
      <c r="K79" s="391"/>
      <c r="L79" s="391"/>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row>
    <row r="80" spans="1:61" x14ac:dyDescent="0.2">
      <c r="A80" s="34"/>
      <c r="B80" s="34"/>
      <c r="C80" s="34"/>
      <c r="D80" s="34"/>
      <c r="E80" s="34"/>
      <c r="F80" s="34"/>
      <c r="G80" s="34"/>
      <c r="H80" s="34"/>
      <c r="I80" s="34"/>
      <c r="J80" s="34"/>
      <c r="K80" s="391"/>
      <c r="L80" s="391"/>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row>
    <row r="81" spans="1:61" x14ac:dyDescent="0.2">
      <c r="A81" s="34"/>
      <c r="B81" s="34"/>
      <c r="C81" s="34"/>
      <c r="D81" s="34"/>
      <c r="E81" s="34"/>
      <c r="F81" s="34"/>
      <c r="G81" s="34"/>
      <c r="H81" s="34"/>
      <c r="I81" s="34"/>
      <c r="J81" s="34"/>
      <c r="K81" s="391"/>
      <c r="L81" s="391"/>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row>
    <row r="82" spans="1:61" x14ac:dyDescent="0.2">
      <c r="A82" s="34"/>
      <c r="B82" s="34"/>
      <c r="C82" s="34"/>
      <c r="D82" s="34"/>
      <c r="E82" s="34"/>
      <c r="F82" s="34"/>
      <c r="G82" s="34"/>
      <c r="H82" s="34"/>
      <c r="I82" s="34"/>
      <c r="J82" s="34"/>
      <c r="K82" s="391"/>
      <c r="L82" s="391"/>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row>
    <row r="83" spans="1:61" x14ac:dyDescent="0.2">
      <c r="A83" s="34"/>
      <c r="B83" s="34"/>
      <c r="C83" s="34"/>
      <c r="D83" s="34"/>
      <c r="E83" s="34"/>
      <c r="F83" s="34"/>
      <c r="G83" s="34"/>
      <c r="H83" s="34"/>
      <c r="I83" s="34"/>
      <c r="J83" s="34"/>
      <c r="K83" s="391"/>
      <c r="L83" s="391"/>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row>
    <row r="84" spans="1:61" x14ac:dyDescent="0.2">
      <c r="A84" s="34"/>
      <c r="B84" s="34"/>
      <c r="C84" s="34"/>
      <c r="D84" s="34"/>
      <c r="E84" s="34"/>
      <c r="F84" s="34"/>
      <c r="G84" s="34"/>
      <c r="H84" s="34"/>
      <c r="I84" s="34"/>
      <c r="J84" s="34"/>
      <c r="K84" s="391"/>
      <c r="L84" s="391"/>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row>
    <row r="85" spans="1:61" x14ac:dyDescent="0.2">
      <c r="A85" s="34"/>
      <c r="B85" s="34"/>
      <c r="C85" s="34"/>
      <c r="D85" s="34"/>
      <c r="E85" s="34"/>
      <c r="F85" s="34"/>
      <c r="G85" s="34"/>
      <c r="H85" s="34"/>
      <c r="I85" s="34"/>
      <c r="J85" s="34"/>
      <c r="K85" s="391"/>
      <c r="L85" s="391"/>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row>
    <row r="86" spans="1:61" x14ac:dyDescent="0.2">
      <c r="A86" s="34"/>
      <c r="B86" s="34"/>
      <c r="C86" s="34"/>
      <c r="D86" s="34"/>
      <c r="E86" s="34"/>
      <c r="F86" s="34"/>
      <c r="G86" s="34"/>
      <c r="H86" s="34"/>
      <c r="I86" s="34"/>
      <c r="J86" s="34"/>
      <c r="K86" s="391"/>
      <c r="L86" s="391"/>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row>
    <row r="87" spans="1:61" x14ac:dyDescent="0.2">
      <c r="A87" s="34"/>
      <c r="B87" s="34"/>
      <c r="C87" s="34"/>
      <c r="D87" s="34"/>
      <c r="E87" s="34"/>
      <c r="F87" s="34"/>
      <c r="G87" s="34"/>
      <c r="H87" s="34"/>
      <c r="I87" s="34"/>
      <c r="J87" s="34"/>
      <c r="K87" s="391"/>
      <c r="L87" s="391"/>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row>
    <row r="88" spans="1:61" x14ac:dyDescent="0.2">
      <c r="A88" s="34"/>
      <c r="B88" s="34"/>
      <c r="C88" s="34"/>
      <c r="D88" s="34"/>
      <c r="E88" s="34"/>
      <c r="F88" s="34"/>
      <c r="G88" s="34"/>
      <c r="H88" s="34"/>
      <c r="I88" s="34"/>
      <c r="J88" s="34"/>
      <c r="K88" s="391"/>
      <c r="L88" s="391"/>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row>
    <row r="89" spans="1:61" x14ac:dyDescent="0.2">
      <c r="A89" s="34"/>
      <c r="B89" s="34"/>
      <c r="C89" s="34"/>
      <c r="D89" s="34"/>
      <c r="E89" s="34"/>
      <c r="F89" s="34"/>
      <c r="G89" s="34"/>
      <c r="H89" s="34"/>
      <c r="I89" s="34"/>
      <c r="J89" s="34"/>
      <c r="K89" s="391"/>
      <c r="L89" s="391"/>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row>
    <row r="90" spans="1:61" x14ac:dyDescent="0.2">
      <c r="A90" s="34"/>
      <c r="B90" s="34"/>
      <c r="C90" s="34"/>
      <c r="D90" s="34"/>
      <c r="E90" s="34"/>
      <c r="F90" s="34"/>
      <c r="G90" s="34"/>
      <c r="H90" s="34"/>
      <c r="I90" s="34"/>
      <c r="J90" s="34"/>
      <c r="K90" s="391"/>
      <c r="L90" s="391"/>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row>
    <row r="91" spans="1:61" x14ac:dyDescent="0.2">
      <c r="A91" s="34"/>
      <c r="B91" s="34"/>
      <c r="C91" s="34"/>
      <c r="D91" s="34"/>
      <c r="E91" s="34"/>
      <c r="F91" s="34"/>
      <c r="G91" s="34"/>
      <c r="H91" s="34"/>
      <c r="I91" s="34"/>
      <c r="J91" s="34"/>
      <c r="K91" s="391"/>
      <c r="L91" s="391"/>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row>
    <row r="92" spans="1:61" x14ac:dyDescent="0.2">
      <c r="A92" s="34"/>
      <c r="B92" s="34"/>
      <c r="C92" s="34"/>
      <c r="D92" s="34"/>
      <c r="E92" s="34"/>
      <c r="F92" s="34"/>
      <c r="G92" s="34"/>
      <c r="H92" s="34"/>
      <c r="I92" s="34"/>
      <c r="J92" s="34"/>
      <c r="K92" s="391"/>
      <c r="L92" s="391"/>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row>
    <row r="93" spans="1:61" x14ac:dyDescent="0.2">
      <c r="A93" s="34"/>
      <c r="B93" s="34"/>
      <c r="C93" s="34"/>
      <c r="D93" s="34"/>
      <c r="E93" s="34"/>
      <c r="F93" s="34"/>
      <c r="G93" s="34"/>
      <c r="H93" s="34"/>
      <c r="I93" s="34"/>
      <c r="J93" s="34"/>
      <c r="K93" s="391"/>
      <c r="L93" s="391"/>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row>
    <row r="94" spans="1:61" x14ac:dyDescent="0.2">
      <c r="A94" s="34"/>
      <c r="B94" s="34"/>
      <c r="C94" s="34"/>
      <c r="D94" s="34"/>
      <c r="E94" s="34"/>
      <c r="F94" s="34"/>
      <c r="G94" s="34"/>
      <c r="H94" s="34"/>
      <c r="I94" s="34"/>
      <c r="J94" s="34"/>
      <c r="K94" s="391"/>
      <c r="L94" s="391"/>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row>
    <row r="95" spans="1:61" x14ac:dyDescent="0.2">
      <c r="A95" s="34"/>
      <c r="B95" s="34"/>
      <c r="C95" s="34"/>
      <c r="D95" s="34"/>
      <c r="E95" s="34"/>
      <c r="F95" s="34"/>
      <c r="G95" s="34"/>
      <c r="H95" s="34"/>
      <c r="I95" s="34"/>
      <c r="J95" s="34"/>
      <c r="K95" s="391"/>
      <c r="L95" s="391"/>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row>
    <row r="96" spans="1:61" x14ac:dyDescent="0.2">
      <c r="A96" s="34"/>
      <c r="B96" s="34"/>
      <c r="C96" s="34"/>
      <c r="D96" s="34"/>
      <c r="E96" s="34"/>
      <c r="F96" s="34"/>
      <c r="G96" s="34"/>
      <c r="H96" s="34"/>
      <c r="I96" s="34"/>
      <c r="J96" s="34"/>
      <c r="K96" s="391"/>
      <c r="L96" s="391"/>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row>
    <row r="97" spans="1:61" x14ac:dyDescent="0.2">
      <c r="A97" s="34"/>
      <c r="B97" s="34"/>
      <c r="C97" s="34"/>
      <c r="D97" s="34"/>
      <c r="E97" s="34"/>
      <c r="F97" s="34"/>
      <c r="G97" s="34"/>
      <c r="H97" s="34"/>
      <c r="I97" s="34"/>
      <c r="J97" s="34"/>
      <c r="K97" s="391"/>
      <c r="L97" s="391"/>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row>
    <row r="98" spans="1:61" x14ac:dyDescent="0.2">
      <c r="A98" s="34"/>
      <c r="B98" s="34"/>
      <c r="C98" s="34"/>
      <c r="D98" s="34"/>
      <c r="E98" s="34"/>
      <c r="F98" s="34"/>
      <c r="G98" s="34"/>
      <c r="H98" s="34"/>
      <c r="I98" s="34"/>
      <c r="J98" s="34"/>
      <c r="K98" s="391"/>
      <c r="L98" s="391"/>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row>
    <row r="99" spans="1:61" x14ac:dyDescent="0.2">
      <c r="A99" s="34"/>
      <c r="B99" s="34"/>
      <c r="C99" s="34"/>
      <c r="D99" s="34"/>
      <c r="E99" s="34"/>
      <c r="F99" s="34"/>
      <c r="G99" s="34"/>
      <c r="H99" s="34"/>
      <c r="I99" s="34"/>
      <c r="J99" s="34"/>
      <c r="K99" s="391"/>
      <c r="L99" s="391"/>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row>
    <row r="100" spans="1:61" x14ac:dyDescent="0.2">
      <c r="A100" s="34"/>
      <c r="B100" s="34"/>
      <c r="C100" s="34"/>
      <c r="D100" s="34"/>
      <c r="E100" s="34"/>
      <c r="F100" s="34"/>
      <c r="G100" s="34"/>
      <c r="H100" s="34"/>
      <c r="I100" s="34"/>
      <c r="J100" s="34"/>
      <c r="K100" s="391"/>
      <c r="L100" s="391"/>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row>
    <row r="101" spans="1:61" x14ac:dyDescent="0.2">
      <c r="A101" s="34"/>
      <c r="B101" s="34"/>
      <c r="C101" s="34"/>
      <c r="D101" s="34"/>
      <c r="E101" s="34"/>
      <c r="F101" s="34"/>
      <c r="G101" s="34"/>
      <c r="H101" s="34"/>
      <c r="I101" s="34"/>
      <c r="J101" s="34"/>
      <c r="K101" s="391"/>
      <c r="L101" s="391"/>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row>
    <row r="102" spans="1:61" x14ac:dyDescent="0.2">
      <c r="A102" s="34"/>
      <c r="B102" s="34"/>
      <c r="C102" s="34"/>
      <c r="D102" s="34"/>
      <c r="E102" s="34"/>
      <c r="F102" s="34"/>
      <c r="G102" s="34"/>
      <c r="H102" s="34"/>
      <c r="I102" s="34"/>
      <c r="J102" s="34"/>
      <c r="K102" s="391"/>
      <c r="L102" s="391"/>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row>
    <row r="103" spans="1:61" x14ac:dyDescent="0.2">
      <c r="A103" s="34"/>
      <c r="B103" s="34"/>
      <c r="C103" s="34"/>
      <c r="D103" s="34"/>
      <c r="E103" s="34"/>
      <c r="F103" s="34"/>
      <c r="G103" s="34"/>
      <c r="H103" s="34"/>
      <c r="I103" s="34"/>
      <c r="J103" s="34"/>
      <c r="K103" s="391"/>
      <c r="L103" s="391"/>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row>
    <row r="104" spans="1:61" x14ac:dyDescent="0.2">
      <c r="A104" s="34"/>
      <c r="B104" s="34"/>
      <c r="C104" s="34"/>
      <c r="D104" s="34"/>
      <c r="E104" s="34"/>
      <c r="F104" s="34"/>
      <c r="G104" s="34"/>
      <c r="H104" s="34"/>
      <c r="I104" s="34"/>
      <c r="J104" s="34"/>
      <c r="K104" s="391"/>
      <c r="L104" s="391"/>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row>
    <row r="105" spans="1:61" x14ac:dyDescent="0.2">
      <c r="A105" s="34"/>
      <c r="B105" s="34"/>
      <c r="C105" s="34"/>
      <c r="D105" s="34"/>
      <c r="E105" s="34"/>
      <c r="F105" s="34"/>
      <c r="G105" s="34"/>
      <c r="H105" s="34"/>
      <c r="I105" s="34"/>
      <c r="J105" s="34"/>
      <c r="K105" s="391"/>
      <c r="L105" s="391"/>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row>
    <row r="106" spans="1:61" x14ac:dyDescent="0.2">
      <c r="A106" s="34"/>
      <c r="B106" s="34"/>
      <c r="C106" s="34"/>
      <c r="D106" s="34"/>
      <c r="E106" s="34"/>
      <c r="F106" s="34"/>
      <c r="G106" s="34"/>
      <c r="H106" s="34"/>
      <c r="I106" s="34"/>
      <c r="J106" s="34"/>
      <c r="K106" s="391"/>
      <c r="L106" s="391"/>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row>
    <row r="107" spans="1:61" x14ac:dyDescent="0.2">
      <c r="A107" s="34"/>
      <c r="B107" s="34"/>
      <c r="C107" s="34"/>
      <c r="D107" s="34"/>
      <c r="E107" s="34"/>
      <c r="F107" s="34"/>
      <c r="G107" s="34"/>
      <c r="H107" s="34"/>
      <c r="I107" s="34"/>
      <c r="J107" s="34"/>
      <c r="K107" s="391"/>
      <c r="L107" s="391"/>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row>
    <row r="108" spans="1:61" x14ac:dyDescent="0.2">
      <c r="A108" s="34"/>
      <c r="B108" s="34"/>
      <c r="C108" s="34"/>
      <c r="D108" s="34"/>
      <c r="E108" s="34"/>
      <c r="F108" s="34"/>
      <c r="G108" s="34"/>
      <c r="H108" s="34"/>
      <c r="I108" s="34"/>
      <c r="J108" s="34"/>
      <c r="K108" s="391"/>
      <c r="L108" s="391"/>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row>
    <row r="109" spans="1:61" x14ac:dyDescent="0.2">
      <c r="A109" s="34"/>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34"/>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41" workbookViewId="0">
      <selection activeCell="E51" sqref="E51"/>
    </sheetView>
  </sheetViews>
  <sheetFormatPr defaultRowHeight="14.25" x14ac:dyDescent="0.2"/>
  <cols>
    <col min="1" max="1" width="8.375" customWidth="1"/>
    <col min="2" max="2" width="21.25" customWidth="1"/>
    <col min="3" max="3" width="16.75" style="6" customWidth="1"/>
    <col min="4" max="4" width="18.5" style="6" customWidth="1"/>
    <col min="5" max="5" width="19.375" style="6" customWidth="1"/>
    <col min="6" max="6" width="6.125" customWidth="1"/>
    <col min="7" max="7" width="11.5" customWidth="1"/>
    <col min="8" max="8" width="19" customWidth="1"/>
    <col min="9" max="9" width="40.625" customWidth="1"/>
    <col min="11" max="11" width="9" customWidth="1"/>
  </cols>
  <sheetData>
    <row r="1" spans="1:14" x14ac:dyDescent="0.2">
      <c r="A1" s="34"/>
      <c r="B1" s="34"/>
      <c r="C1" s="34"/>
      <c r="D1" s="34"/>
      <c r="E1" s="34"/>
      <c r="F1" s="34"/>
      <c r="G1" s="34"/>
      <c r="H1" s="34"/>
      <c r="I1" s="34"/>
      <c r="J1" s="34"/>
      <c r="K1" s="34"/>
      <c r="L1" s="34"/>
      <c r="M1" s="34"/>
      <c r="N1" s="34"/>
    </row>
    <row r="2" spans="1:14" ht="133.5" customHeight="1" x14ac:dyDescent="0.45">
      <c r="B2" s="1124" t="s">
        <v>165</v>
      </c>
      <c r="C2" s="1124"/>
      <c r="D2" s="1124"/>
      <c r="E2" s="1124"/>
      <c r="F2" s="435"/>
      <c r="G2" s="404"/>
      <c r="H2" s="404"/>
      <c r="I2" s="404"/>
      <c r="J2" s="404"/>
      <c r="K2" s="404"/>
      <c r="L2" s="34"/>
      <c r="M2" s="34"/>
      <c r="N2" s="34"/>
    </row>
    <row r="3" spans="1:14" ht="27" customHeight="1" x14ac:dyDescent="0.3">
      <c r="A3" s="405" t="str">
        <f>S.General.RulemakingTitle</f>
        <v>Caption</v>
      </c>
      <c r="B3" s="34"/>
      <c r="D3" s="405"/>
      <c r="E3" s="405"/>
      <c r="F3" s="405"/>
      <c r="G3" s="34"/>
      <c r="H3" s="34"/>
      <c r="I3" s="34"/>
      <c r="J3" s="34"/>
      <c r="K3" s="34"/>
      <c r="L3" s="34"/>
      <c r="M3" s="34"/>
      <c r="N3" s="34"/>
    </row>
    <row r="4" spans="1:14" ht="21" customHeight="1" x14ac:dyDescent="0.3">
      <c r="A4" s="441" t="str">
        <f>"Code: "&amp;S.General.CodeName</f>
        <v>Code: CodeName</v>
      </c>
      <c r="B4" s="406"/>
      <c r="C4" s="406"/>
      <c r="E4" s="406"/>
      <c r="F4" s="34"/>
      <c r="G4" s="406"/>
      <c r="H4" s="34"/>
      <c r="I4" s="34"/>
      <c r="J4" s="34"/>
      <c r="K4" s="34"/>
      <c r="L4" s="34"/>
      <c r="M4" s="34"/>
      <c r="N4" s="34"/>
    </row>
    <row r="5" spans="1:14" s="6" customFormat="1" ht="31.5" customHeight="1" x14ac:dyDescent="0.25">
      <c r="A5" s="34"/>
      <c r="B5" s="407" t="s">
        <v>166</v>
      </c>
      <c r="C5" s="34"/>
      <c r="D5" s="34"/>
      <c r="E5" s="34"/>
      <c r="F5" s="34"/>
      <c r="G5" s="34"/>
      <c r="H5" s="34"/>
      <c r="I5" s="34"/>
      <c r="J5" s="34"/>
      <c r="K5" s="34"/>
      <c r="L5" s="34"/>
      <c r="M5" s="34"/>
      <c r="N5" s="34"/>
    </row>
    <row r="6" spans="1:14" ht="27.75" customHeight="1" x14ac:dyDescent="0.2">
      <c r="A6" s="34"/>
      <c r="B6" s="408" t="s">
        <v>176</v>
      </c>
      <c r="C6" s="409"/>
      <c r="D6" s="409"/>
      <c r="E6" s="409"/>
      <c r="F6" s="34"/>
      <c r="G6" s="409"/>
      <c r="H6" s="409"/>
      <c r="I6" s="409"/>
      <c r="J6" s="34"/>
      <c r="K6" s="34"/>
      <c r="L6" s="34"/>
      <c r="M6" s="34"/>
      <c r="N6" s="34"/>
    </row>
    <row r="7" spans="1:14" ht="11.25" customHeight="1" x14ac:dyDescent="0.2">
      <c r="A7" s="34"/>
      <c r="B7" s="34"/>
      <c r="C7" s="34"/>
      <c r="D7" s="34"/>
      <c r="E7" s="34"/>
      <c r="F7" s="34"/>
      <c r="G7" s="34"/>
      <c r="H7" s="34"/>
      <c r="I7" s="34"/>
      <c r="J7" s="34"/>
      <c r="K7" s="34"/>
      <c r="L7" s="34"/>
      <c r="M7" s="34"/>
      <c r="N7" s="34"/>
    </row>
    <row r="8" spans="1:14" s="6" customFormat="1" ht="24" customHeight="1" x14ac:dyDescent="0.25">
      <c r="A8" s="34"/>
      <c r="B8" s="407" t="s">
        <v>167</v>
      </c>
      <c r="C8" s="34"/>
      <c r="D8" s="34"/>
      <c r="E8" s="34"/>
      <c r="F8" s="34"/>
      <c r="G8" s="34"/>
      <c r="H8" s="34"/>
      <c r="I8" s="34"/>
      <c r="J8" s="34"/>
      <c r="K8" s="34"/>
      <c r="L8" s="34"/>
      <c r="M8" s="34"/>
      <c r="N8" s="34"/>
    </row>
    <row r="9" spans="1:14" s="6" customFormat="1" ht="25.5" customHeight="1" x14ac:dyDescent="0.2">
      <c r="A9" s="34"/>
      <c r="B9" s="408" t="s">
        <v>177</v>
      </c>
      <c r="C9" s="409"/>
      <c r="D9" s="409"/>
      <c r="E9" s="409"/>
      <c r="F9" s="34"/>
      <c r="G9" s="409"/>
      <c r="H9" s="409"/>
      <c r="I9" s="409"/>
      <c r="J9" s="34"/>
      <c r="K9" s="34"/>
      <c r="L9" s="34"/>
      <c r="M9" s="34"/>
      <c r="N9" s="34"/>
    </row>
    <row r="10" spans="1:14" ht="9.75" customHeight="1" x14ac:dyDescent="0.2">
      <c r="A10" s="34"/>
      <c r="B10" s="34"/>
      <c r="C10" s="34"/>
      <c r="D10" s="34"/>
      <c r="E10" s="34"/>
      <c r="F10" s="34"/>
      <c r="G10" s="34"/>
      <c r="H10" s="34"/>
      <c r="I10" s="34"/>
      <c r="J10" s="34"/>
      <c r="K10" s="34"/>
      <c r="L10" s="34"/>
      <c r="M10" s="34"/>
      <c r="N10" s="34"/>
    </row>
    <row r="11" spans="1:14" s="6" customFormat="1" ht="24" customHeight="1" x14ac:dyDescent="0.25">
      <c r="A11" s="34"/>
      <c r="B11" s="407" t="s">
        <v>168</v>
      </c>
      <c r="C11" s="34"/>
      <c r="D11" s="34"/>
      <c r="E11" s="34"/>
      <c r="F11" s="34"/>
      <c r="G11" s="34"/>
      <c r="H11" s="34"/>
      <c r="I11" s="34"/>
      <c r="J11" s="34"/>
      <c r="K11" s="34"/>
      <c r="L11" s="34"/>
      <c r="M11" s="34"/>
      <c r="N11" s="34"/>
    </row>
    <row r="12" spans="1:14" s="6" customFormat="1" ht="25.5" customHeight="1" x14ac:dyDescent="0.2">
      <c r="A12" s="34"/>
      <c r="B12" s="408" t="s">
        <v>178</v>
      </c>
      <c r="C12" s="409"/>
      <c r="D12" s="409"/>
      <c r="E12" s="409"/>
      <c r="F12" s="34"/>
      <c r="G12" s="409"/>
      <c r="H12" s="409"/>
      <c r="I12" s="409"/>
      <c r="J12" s="34"/>
      <c r="K12" s="34"/>
      <c r="L12" s="34"/>
      <c r="M12" s="34"/>
      <c r="N12" s="34"/>
    </row>
    <row r="13" spans="1:14" x14ac:dyDescent="0.2">
      <c r="A13" s="34"/>
      <c r="B13" s="34"/>
      <c r="C13" s="34"/>
      <c r="D13" s="34"/>
      <c r="E13" s="34"/>
      <c r="F13" s="34"/>
      <c r="G13" s="34"/>
      <c r="H13" s="34"/>
      <c r="I13" s="34"/>
      <c r="J13" s="34"/>
      <c r="K13" s="34"/>
      <c r="L13" s="34"/>
      <c r="M13" s="34"/>
      <c r="N13" s="34"/>
    </row>
    <row r="14" spans="1:14" ht="20.25" x14ac:dyDescent="0.3">
      <c r="A14" s="405" t="s">
        <v>161</v>
      </c>
      <c r="B14" s="34"/>
      <c r="C14" s="34"/>
      <c r="D14" s="34"/>
      <c r="E14" s="34"/>
      <c r="F14" s="34"/>
      <c r="G14" s="34"/>
      <c r="H14" s="34"/>
      <c r="I14" s="34"/>
      <c r="J14" s="34"/>
      <c r="K14" s="34"/>
      <c r="L14" s="34"/>
      <c r="M14" s="34"/>
      <c r="N14" s="34"/>
    </row>
    <row r="15" spans="1:14" ht="33" customHeight="1" x14ac:dyDescent="0.2">
      <c r="A15" s="34"/>
      <c r="B15" s="1126" t="s">
        <v>213</v>
      </c>
      <c r="C15" s="1126"/>
      <c r="D15" s="1126"/>
      <c r="E15" s="1126"/>
      <c r="F15" s="1126"/>
      <c r="G15" s="34"/>
      <c r="H15" s="34"/>
      <c r="I15" s="34"/>
      <c r="J15" s="34"/>
      <c r="K15" s="34"/>
      <c r="L15" s="34"/>
      <c r="M15" s="34"/>
      <c r="N15" s="34"/>
    </row>
    <row r="16" spans="1:14" s="6" customFormat="1" ht="21" customHeight="1" x14ac:dyDescent="0.2">
      <c r="A16" s="34"/>
      <c r="B16" s="469"/>
      <c r="C16" s="34"/>
      <c r="D16" s="34"/>
      <c r="E16" s="34"/>
      <c r="F16" s="34"/>
      <c r="G16" s="34"/>
      <c r="H16" s="34"/>
      <c r="I16" s="34"/>
      <c r="J16" s="34"/>
      <c r="K16" s="34"/>
      <c r="L16" s="34"/>
      <c r="M16" s="34"/>
      <c r="N16" s="34"/>
    </row>
    <row r="17" spans="1:14" ht="25.5" customHeight="1" x14ac:dyDescent="0.25">
      <c r="B17" s="407" t="s">
        <v>184</v>
      </c>
      <c r="C17" s="1125" t="str">
        <f>S.Staff.Program.Mgr.FullName&amp;", "&amp;S.Staff.Program.Mgr.Div&amp;": "&amp;S.Staff.Program.Mgr.SectionName&amp;""</f>
        <v xml:space="preserve"> ,  :  </v>
      </c>
      <c r="D17" s="1125"/>
      <c r="E17" s="1125"/>
      <c r="F17" s="34"/>
      <c r="G17" s="34"/>
      <c r="H17" s="34"/>
      <c r="I17" s="34"/>
      <c r="J17" s="34"/>
      <c r="K17" s="34"/>
      <c r="L17" s="34"/>
      <c r="M17" s="34"/>
      <c r="N17" s="34"/>
    </row>
    <row r="18" spans="1:14" ht="25.5" customHeight="1" x14ac:dyDescent="0.25">
      <c r="B18" s="407" t="s">
        <v>277</v>
      </c>
      <c r="C18" s="1125" t="str">
        <f>S.Staff.Subject.Expert.FullName&amp;", "&amp;S.Staff.Program.Mgr.Div&amp;": "&amp;S.Staff.Program.Mgr.SectionName&amp;""</f>
        <v xml:space="preserve"> ,  :  </v>
      </c>
      <c r="D18" s="1125"/>
      <c r="E18" s="1125"/>
      <c r="F18" s="34"/>
      <c r="G18" s="34"/>
      <c r="H18" s="34"/>
      <c r="I18" s="34"/>
      <c r="J18" s="34"/>
      <c r="K18" s="34"/>
      <c r="L18" s="34"/>
      <c r="M18" s="34"/>
      <c r="N18" s="34"/>
    </row>
    <row r="19" spans="1:14" ht="25.5" customHeight="1" x14ac:dyDescent="0.25">
      <c r="B19" s="407" t="s">
        <v>278</v>
      </c>
      <c r="C19" s="1125" t="str">
        <f>S.Staff.RG.Lead.Full.Name&amp;", "&amp;S.Staff.RG.Lead.Div&amp;": "&amp;S.Staff.RG.Lead.SectionName&amp;""</f>
        <v xml:space="preserve"> ,  :  </v>
      </c>
      <c r="D19" s="1125"/>
      <c r="E19" s="1125"/>
      <c r="F19" s="34"/>
      <c r="G19" s="34"/>
      <c r="H19" s="34"/>
      <c r="I19" s="34"/>
      <c r="J19" s="34"/>
      <c r="K19" s="34"/>
      <c r="L19" s="34"/>
      <c r="M19" s="34"/>
      <c r="N19" s="34"/>
    </row>
    <row r="20" spans="1:14" ht="12" customHeight="1" x14ac:dyDescent="0.2">
      <c r="B20" s="1127" t="s">
        <v>300</v>
      </c>
      <c r="C20" s="1127"/>
      <c r="D20" s="1127"/>
      <c r="E20" s="1127"/>
      <c r="F20" s="34"/>
      <c r="G20" s="34"/>
      <c r="H20" s="34"/>
      <c r="I20" s="34"/>
      <c r="J20" s="34"/>
      <c r="K20" s="34"/>
      <c r="L20" s="34"/>
      <c r="M20" s="34"/>
      <c r="N20" s="34"/>
    </row>
    <row r="21" spans="1:14" ht="29.25" customHeight="1" x14ac:dyDescent="0.3">
      <c r="A21" s="405" t="s">
        <v>169</v>
      </c>
      <c r="B21" s="34"/>
      <c r="C21" s="412"/>
      <c r="D21" s="412"/>
      <c r="E21" s="412"/>
      <c r="F21" s="34"/>
      <c r="G21" s="34"/>
      <c r="H21" s="34"/>
      <c r="I21" s="34"/>
      <c r="J21" s="34"/>
      <c r="K21" s="34"/>
      <c r="L21" s="34"/>
      <c r="M21" s="34"/>
      <c r="N21" s="34"/>
    </row>
    <row r="22" spans="1:14" s="102" customFormat="1" ht="40.5" customHeight="1" x14ac:dyDescent="0.2">
      <c r="A22" s="448" t="s">
        <v>266</v>
      </c>
      <c r="B22" s="449"/>
      <c r="C22" s="450"/>
      <c r="D22" s="450"/>
      <c r="E22" s="450"/>
      <c r="F22" s="450"/>
      <c r="G22" s="451"/>
      <c r="H22" s="451"/>
      <c r="I22" s="451"/>
      <c r="J22" s="451"/>
      <c r="K22" s="451"/>
      <c r="L22" s="451"/>
      <c r="M22" s="451"/>
      <c r="N22" s="451"/>
    </row>
    <row r="23" spans="1:14" s="436" customFormat="1" ht="24" customHeight="1" x14ac:dyDescent="0.2">
      <c r="A23" s="415" t="s">
        <v>170</v>
      </c>
      <c r="B23" s="415" t="s">
        <v>191</v>
      </c>
      <c r="C23" s="415" t="s">
        <v>172</v>
      </c>
      <c r="D23" s="415" t="s">
        <v>175</v>
      </c>
      <c r="E23" s="415" t="s">
        <v>274</v>
      </c>
      <c r="F23" s="415" t="s">
        <v>174</v>
      </c>
      <c r="G23" s="440"/>
      <c r="H23" s="440"/>
    </row>
    <row r="24" spans="1:14" s="426" customFormat="1" ht="36" customHeight="1" x14ac:dyDescent="0.2">
      <c r="A24" s="459">
        <f ca="1">S.PlanningKickoff</f>
        <v>42009</v>
      </c>
      <c r="B24" s="456" t="str">
        <f>"Rules Group Partner: "&amp;S.Staff.RG.Lead.Full.Name</f>
        <v xml:space="preserve">Rules Group Partner:  </v>
      </c>
      <c r="C24" s="456" t="s">
        <v>276</v>
      </c>
      <c r="D24" s="456" t="s">
        <v>275</v>
      </c>
      <c r="E24" s="456" t="str">
        <f>S.Staff.Program.Mgr.FullName</f>
        <v xml:space="preserve"> </v>
      </c>
      <c r="F24" s="473" t="s">
        <v>77</v>
      </c>
      <c r="G24" s="34"/>
      <c r="H24" s="442"/>
    </row>
    <row r="25" spans="1:14" s="426" customFormat="1" ht="51" customHeight="1" x14ac:dyDescent="0.2">
      <c r="A25" s="460">
        <f ca="1">S.Planning.DraftWorkbooksEnd</f>
        <v>42009</v>
      </c>
      <c r="B25" s="457" t="str">
        <f>"Sponsoring Partner: "&amp;S.Staff.Program.Mgr.FullName</f>
        <v xml:space="preserve">Sponsoring Partner:  </v>
      </c>
      <c r="C25" s="457" t="s">
        <v>223</v>
      </c>
      <c r="D25" s="457" t="s">
        <v>185</v>
      </c>
      <c r="E25" s="458" t="str">
        <f>S.Staff.Assistant.DA.LongName&amp;" and "&amp;
S.Staff.RG.Lead.FirstName</f>
        <v xml:space="preserve">  and RGLead</v>
      </c>
      <c r="F25" s="472" t="s">
        <v>77</v>
      </c>
      <c r="G25" s="34"/>
      <c r="H25" s="34"/>
    </row>
    <row r="26" spans="1:14" s="426" customFormat="1" ht="66" customHeight="1" x14ac:dyDescent="0.2">
      <c r="A26" s="479">
        <f ca="1">S.Planning.AddConceptToPlanDate</f>
        <v>42009</v>
      </c>
      <c r="B26" s="438" t="str">
        <f>"Sponsoring Partner's Manager: "&amp;S.Staff.Assistant.DA.ShortName</f>
        <v>Sponsoring Partner's Manager: MediaLead</v>
      </c>
      <c r="C26" s="437" t="s">
        <v>224</v>
      </c>
      <c r="D26" s="437" t="s">
        <v>185</v>
      </c>
      <c r="E26" s="437" t="str">
        <f>S.Staff.Program.Mgr.FirstName&amp;" and "&amp;S.Staff.RG.Lead.FirstName</f>
        <v>ProgMgr and RGLead</v>
      </c>
      <c r="F26" s="420" t="s">
        <v>77</v>
      </c>
      <c r="G26" s="34"/>
      <c r="H26" s="34"/>
    </row>
    <row r="27" spans="1:14" s="426" customFormat="1" ht="52.5" customHeight="1" x14ac:dyDescent="0.2">
      <c r="A27" s="459"/>
      <c r="B27" s="456" t="str">
        <f>"Rules Group Partner: "&amp;S.Staff.RG.Lead.FirstName</f>
        <v>Rules Group Partner: RGLead</v>
      </c>
      <c r="C27" s="456" t="s">
        <v>283</v>
      </c>
      <c r="D27" s="456" t="str">
        <f>"Determine capacity
Prioritize rulemakings
Validate with "&amp;S.Staff.Program.Mgr.FirstName</f>
        <v>Determine capacity
Prioritize rulemakings
Validate with ProgMgr</v>
      </c>
      <c r="E27" s="456" t="s">
        <v>193</v>
      </c>
      <c r="F27" s="473" t="s">
        <v>77</v>
      </c>
      <c r="G27" s="34"/>
      <c r="H27" s="442"/>
    </row>
    <row r="28" spans="1:14" s="426" customFormat="1" ht="48" customHeight="1" x14ac:dyDescent="0.2">
      <c r="A28" s="459" t="s">
        <v>0</v>
      </c>
      <c r="B28" s="456" t="str">
        <f>"Rules Group Partner: "&amp;S.Staff.RG.Lead.FirstName</f>
        <v>Rules Group Partner: RGLead</v>
      </c>
      <c r="C28" s="456" t="s">
        <v>225</v>
      </c>
      <c r="D28" s="456" t="s">
        <v>226</v>
      </c>
      <c r="E28" s="456" t="str">
        <f>S.Staff.Director</f>
        <v>Dick</v>
      </c>
      <c r="F28" s="473" t="s">
        <v>77</v>
      </c>
      <c r="G28" s="34"/>
      <c r="H28" s="34"/>
    </row>
    <row r="29" spans="1:14" s="464" customFormat="1" ht="40.5" customHeight="1" x14ac:dyDescent="0.2">
      <c r="A29" s="461" t="s">
        <v>284</v>
      </c>
      <c r="B29" s="462"/>
      <c r="C29" s="463"/>
      <c r="D29" s="463"/>
      <c r="E29" s="463"/>
      <c r="F29" s="462"/>
      <c r="G29" s="462"/>
      <c r="H29" s="462"/>
      <c r="I29" s="462"/>
      <c r="J29" s="462"/>
      <c r="K29" s="462"/>
      <c r="L29" s="462"/>
      <c r="M29" s="462"/>
      <c r="N29" s="462"/>
    </row>
    <row r="30" spans="1:14" s="12" customFormat="1" ht="25.5" x14ac:dyDescent="0.2">
      <c r="A30" s="452" t="s">
        <v>170</v>
      </c>
      <c r="B30" s="453" t="s">
        <v>171</v>
      </c>
      <c r="C30" s="452" t="s">
        <v>172</v>
      </c>
      <c r="D30" s="452" t="s">
        <v>175</v>
      </c>
      <c r="E30" s="452" t="s">
        <v>285</v>
      </c>
      <c r="F30" s="452" t="s">
        <v>174</v>
      </c>
      <c r="G30" s="454"/>
      <c r="H30" s="454"/>
      <c r="I30" s="454"/>
      <c r="J30" s="454"/>
      <c r="K30" s="454"/>
      <c r="L30" s="454"/>
      <c r="M30" s="454"/>
      <c r="N30" s="454"/>
    </row>
    <row r="31" spans="1:14" s="6" customFormat="1" ht="57" x14ac:dyDescent="0.2">
      <c r="A31" s="457"/>
      <c r="B31" s="457" t="str">
        <f>"Sponsoring Partner: "&amp;S.Staff.Program.Mgr.FirstName</f>
        <v>Sponsoring Partner: ProgMgr</v>
      </c>
      <c r="C31" s="457" t="s">
        <v>222</v>
      </c>
      <c r="D31" s="457" t="s">
        <v>187</v>
      </c>
      <c r="E31" s="466" t="s">
        <v>188</v>
      </c>
      <c r="F31" s="472" t="s">
        <v>77</v>
      </c>
      <c r="G31" s="34"/>
      <c r="H31" s="34"/>
      <c r="I31" s="34"/>
      <c r="J31" s="34"/>
      <c r="K31" s="34"/>
      <c r="L31" s="34"/>
      <c r="M31" s="34"/>
      <c r="N31" s="34"/>
    </row>
    <row r="32" spans="1:14" s="6" customFormat="1" ht="48.75" customHeight="1" x14ac:dyDescent="0.2">
      <c r="A32" s="457"/>
      <c r="B32" s="457" t="str">
        <f>"Sponsoring Partner: "&amp;S.Staff.Program.Mgr.FirstName</f>
        <v>Sponsoring Partner: ProgMgr</v>
      </c>
      <c r="C32" s="467" t="s">
        <v>219</v>
      </c>
      <c r="D32" s="468" t="s">
        <v>295</v>
      </c>
      <c r="E32" s="466" t="s">
        <v>188</v>
      </c>
      <c r="F32" s="472" t="s">
        <v>77</v>
      </c>
      <c r="G32" s="34"/>
      <c r="H32" s="34"/>
      <c r="I32" s="34"/>
      <c r="J32" s="34"/>
      <c r="K32" s="34"/>
      <c r="L32" s="34"/>
      <c r="M32" s="34"/>
      <c r="N32" s="34"/>
    </row>
    <row r="34" spans="1:14" s="6" customFormat="1" ht="20.25" x14ac:dyDescent="0.3">
      <c r="A34" s="407" t="s">
        <v>179</v>
      </c>
      <c r="B34" s="34"/>
      <c r="C34" s="412"/>
      <c r="D34" s="412"/>
      <c r="E34" s="412"/>
      <c r="F34" s="34"/>
      <c r="G34" s="34"/>
      <c r="H34" s="34"/>
      <c r="I34" s="34"/>
      <c r="J34" s="34"/>
      <c r="K34" s="34"/>
      <c r="L34" s="34"/>
      <c r="M34" s="34"/>
      <c r="N34" s="34"/>
    </row>
    <row r="35" spans="1:14" s="6" customFormat="1" ht="14.25" customHeight="1" x14ac:dyDescent="0.3">
      <c r="A35" s="411"/>
      <c r="B35" s="413" t="s">
        <v>180</v>
      </c>
      <c r="C35" s="412"/>
      <c r="D35" s="412"/>
      <c r="E35" s="412"/>
      <c r="F35" s="34"/>
      <c r="G35" s="34"/>
      <c r="H35" s="34"/>
      <c r="I35" s="34"/>
      <c r="J35" s="34"/>
      <c r="K35" s="34"/>
      <c r="L35" s="34"/>
      <c r="M35" s="34"/>
      <c r="N35" s="34"/>
    </row>
    <row r="36" spans="1:14" s="6" customFormat="1" ht="13.5" customHeight="1" x14ac:dyDescent="0.3">
      <c r="A36" s="411"/>
      <c r="B36" s="413" t="s">
        <v>182</v>
      </c>
      <c r="C36" s="412"/>
      <c r="D36" s="412"/>
      <c r="E36" s="412"/>
      <c r="F36" s="34"/>
      <c r="G36" s="34"/>
      <c r="H36" s="34"/>
      <c r="I36" s="34"/>
      <c r="J36" s="34"/>
      <c r="K36" s="34"/>
      <c r="L36" s="34"/>
      <c r="M36" s="34"/>
      <c r="N36" s="34"/>
    </row>
    <row r="37" spans="1:14" s="6" customFormat="1" ht="13.5" customHeight="1" x14ac:dyDescent="0.3">
      <c r="A37" s="411"/>
      <c r="B37" s="413" t="s">
        <v>181</v>
      </c>
      <c r="C37" s="412"/>
      <c r="D37" s="412"/>
      <c r="E37" s="412"/>
      <c r="F37" s="34"/>
      <c r="G37" s="34"/>
      <c r="H37" s="34"/>
      <c r="I37" s="34"/>
      <c r="J37" s="34"/>
      <c r="K37" s="34"/>
      <c r="L37" s="34"/>
      <c r="M37" s="34"/>
      <c r="N37" s="34"/>
    </row>
    <row r="38" spans="1:14" s="6" customFormat="1" ht="13.5" customHeight="1" x14ac:dyDescent="0.3">
      <c r="A38" s="412"/>
      <c r="B38" s="413" t="s">
        <v>183</v>
      </c>
      <c r="C38" s="412"/>
      <c r="D38" s="412"/>
      <c r="E38" s="412"/>
      <c r="F38" s="34"/>
      <c r="G38" s="34"/>
      <c r="H38" s="34"/>
      <c r="I38" s="34"/>
      <c r="J38" s="34"/>
      <c r="K38" s="34"/>
      <c r="L38" s="34"/>
      <c r="M38" s="34"/>
      <c r="N38" s="34"/>
    </row>
    <row r="39" spans="1:14" ht="10.5" customHeight="1" x14ac:dyDescent="0.2">
      <c r="A39" s="34"/>
      <c r="B39" s="34"/>
      <c r="C39" s="34"/>
      <c r="D39" s="34"/>
      <c r="E39" s="34"/>
      <c r="F39" s="34"/>
      <c r="G39" s="34"/>
      <c r="H39" s="34"/>
      <c r="I39" s="34"/>
      <c r="J39" s="34"/>
      <c r="K39" s="34"/>
      <c r="L39" s="34"/>
      <c r="M39" s="34"/>
      <c r="N39" s="34"/>
    </row>
    <row r="40" spans="1:14" ht="25.5" x14ac:dyDescent="0.2">
      <c r="A40" s="414" t="s">
        <v>170</v>
      </c>
      <c r="B40" s="415" t="s">
        <v>171</v>
      </c>
      <c r="C40" s="414" t="s">
        <v>172</v>
      </c>
      <c r="D40" s="414" t="s">
        <v>175</v>
      </c>
      <c r="E40" s="415" t="s">
        <v>285</v>
      </c>
      <c r="F40" s="416" t="s">
        <v>174</v>
      </c>
      <c r="G40" s="34"/>
      <c r="H40" s="34"/>
      <c r="I40" s="34"/>
      <c r="J40" s="34"/>
      <c r="K40" s="34"/>
      <c r="L40" s="34"/>
      <c r="M40" s="34"/>
      <c r="N40" s="34"/>
    </row>
    <row r="41" spans="1:14" ht="32.25" customHeight="1" x14ac:dyDescent="0.2">
      <c r="A41" s="476" t="e">
        <f>S.Notice.StartInvolveResources</f>
        <v>#NAME?</v>
      </c>
      <c r="B41" s="457" t="str">
        <f>"Sponsoring Partner: "&amp;S.Staff.Program.Mgr.FirstName</f>
        <v>Sponsoring Partner: ProgMgr</v>
      </c>
      <c r="C41" s="466" t="s">
        <v>186</v>
      </c>
      <c r="D41" s="477" t="s">
        <v>187</v>
      </c>
      <c r="E41" s="466" t="s">
        <v>188</v>
      </c>
      <c r="F41" s="472" t="s">
        <v>77</v>
      </c>
      <c r="G41" s="34"/>
      <c r="H41" s="34"/>
      <c r="I41" s="34"/>
      <c r="J41" s="34"/>
      <c r="K41" s="34"/>
      <c r="L41" s="34"/>
      <c r="M41" s="34"/>
      <c r="N41" s="34"/>
    </row>
    <row r="42" spans="1:14" s="6" customFormat="1" ht="31.5" customHeight="1" x14ac:dyDescent="0.2">
      <c r="A42" s="421" t="e">
        <f>S.Notice.EndInvolveResources</f>
        <v>#NAME?</v>
      </c>
      <c r="B42" s="482" t="s">
        <v>188</v>
      </c>
      <c r="C42" s="419" t="s">
        <v>185</v>
      </c>
      <c r="D42" s="418" t="s">
        <v>189</v>
      </c>
      <c r="E42" s="481" t="str">
        <f>S.Staff.Program.Mgr.FirstName</f>
        <v>ProgMgr</v>
      </c>
      <c r="F42" s="420" t="s">
        <v>77</v>
      </c>
      <c r="G42" s="34"/>
      <c r="H42" s="34"/>
      <c r="I42" s="34"/>
      <c r="J42" s="34"/>
      <c r="K42" s="34"/>
      <c r="L42" s="34"/>
      <c r="M42" s="34"/>
      <c r="N42" s="34"/>
    </row>
    <row r="43" spans="1:14" s="6" customFormat="1" ht="30.75" customHeight="1" x14ac:dyDescent="0.2">
      <c r="A43" s="468"/>
      <c r="B43" s="457" t="str">
        <f>"Sponsoring Partner: "&amp;S.Staff.Program.Mgr.FirstName</f>
        <v>Sponsoring Partner: ProgMgr</v>
      </c>
      <c r="C43" s="466" t="s">
        <v>186</v>
      </c>
      <c r="D43" s="466" t="s">
        <v>288</v>
      </c>
      <c r="E43" s="466" t="str">
        <f>S.Staff.RG.Lead.FirstName</f>
        <v>RGLead</v>
      </c>
      <c r="F43" s="472" t="s">
        <v>77</v>
      </c>
      <c r="G43" s="34"/>
      <c r="H43" s="34"/>
      <c r="I43" s="34"/>
      <c r="J43" s="34"/>
      <c r="K43" s="34"/>
      <c r="L43" s="34"/>
      <c r="M43" s="34"/>
      <c r="N43" s="34"/>
    </row>
    <row r="44" spans="1:14" ht="121.5" customHeight="1" x14ac:dyDescent="0.2">
      <c r="A44" s="480"/>
      <c r="B44" s="456" t="str">
        <f>"Rules Group Partner: "&amp;S.Staff.RG.Lead.FirstName</f>
        <v>Rules Group Partner: RGLead</v>
      </c>
      <c r="C44" s="456" t="s">
        <v>186</v>
      </c>
      <c r="D44" s="465" t="s">
        <v>190</v>
      </c>
      <c r="E44" s="481" t="str">
        <f>S.Staff.Program.Mgr.FirstName</f>
        <v>ProgMgr</v>
      </c>
      <c r="F44" s="473" t="s">
        <v>77</v>
      </c>
      <c r="G44" s="34"/>
      <c r="H44" s="34"/>
      <c r="I44" s="34"/>
      <c r="J44" s="34"/>
      <c r="K44" s="34"/>
      <c r="L44" s="34"/>
      <c r="M44" s="34"/>
      <c r="N44" s="34"/>
    </row>
    <row r="45" spans="1:14" s="6" customFormat="1" ht="62.25" customHeight="1" x14ac:dyDescent="0.2">
      <c r="A45" s="468"/>
      <c r="B45" s="457" t="str">
        <f>"Sponsoring Partner: "&amp;S.Staff.Program.Mgr.FirstName</f>
        <v>Sponsoring Partner: ProgMgr</v>
      </c>
      <c r="C45" s="466" t="s">
        <v>289</v>
      </c>
      <c r="D45" s="466" t="s">
        <v>296</v>
      </c>
      <c r="E45" s="466" t="str">
        <f>S.Staff.RG.Lead.FirstName</f>
        <v>RGLead</v>
      </c>
      <c r="F45" s="472" t="s">
        <v>77</v>
      </c>
      <c r="G45" s="34"/>
      <c r="H45" s="34"/>
      <c r="I45" s="34"/>
      <c r="J45" s="34"/>
      <c r="K45" s="34"/>
      <c r="L45" s="34"/>
      <c r="M45" s="34"/>
      <c r="N45" s="34"/>
    </row>
    <row r="46" spans="1:14" ht="61.5" customHeight="1" x14ac:dyDescent="0.2">
      <c r="A46" s="468">
        <f>S.Notice.PreviewBegin</f>
        <v>42156</v>
      </c>
      <c r="B46" s="457" t="str">
        <f>"Sponsoring Partner: "&amp;S.Staff.Program.Mgr.FirstName</f>
        <v>Sponsoring Partner: ProgMgr</v>
      </c>
      <c r="C46" s="466" t="s">
        <v>290</v>
      </c>
      <c r="D46" s="477" t="s">
        <v>32</v>
      </c>
      <c r="E46" s="466" t="str">
        <f>S.Staff.Assistant.DA.ShortName</f>
        <v>MediaLead</v>
      </c>
      <c r="F46" s="472" t="s">
        <v>77</v>
      </c>
      <c r="G46" s="34"/>
      <c r="H46" s="34"/>
      <c r="I46" s="34"/>
      <c r="J46" s="34"/>
      <c r="K46" s="34"/>
      <c r="L46" s="34"/>
      <c r="M46" s="34"/>
      <c r="N46" s="34"/>
    </row>
    <row r="47" spans="1:14" s="6" customFormat="1" ht="35.25" customHeight="1" x14ac:dyDescent="0.2">
      <c r="A47" s="421">
        <f>CodeName.ScheduleOfTasks!AH592</f>
        <v>42165</v>
      </c>
      <c r="B47" s="438" t="str">
        <f>"Sponsoring Partner's Manager: "&amp;S.Staff.Assistant.DA.ShortName</f>
        <v>Sponsoring Partner's Manager: MediaLead</v>
      </c>
      <c r="C47" s="438" t="s">
        <v>289</v>
      </c>
      <c r="D47" s="438" t="s">
        <v>194</v>
      </c>
      <c r="E47" s="481" t="str">
        <f>S.Staff.Program.Mgr.FirstName</f>
        <v>ProgMgr</v>
      </c>
      <c r="F47" s="438"/>
      <c r="G47" s="34"/>
      <c r="H47" s="34"/>
      <c r="I47" s="34"/>
      <c r="J47" s="34"/>
      <c r="K47" s="34"/>
      <c r="L47" s="34"/>
      <c r="M47" s="34"/>
      <c r="N47" s="34"/>
    </row>
    <row r="48" spans="1:14" s="6" customFormat="1" ht="34.5" customHeight="1" x14ac:dyDescent="0.2">
      <c r="A48" s="438"/>
      <c r="B48" s="438" t="str">
        <f>"Division Administrator "&amp;S.Staff.DA.ForProgram.FirstName</f>
        <v>Division Administrator DA.Program</v>
      </c>
      <c r="C48" s="438" t="s">
        <v>214</v>
      </c>
      <c r="D48" s="438" t="s">
        <v>192</v>
      </c>
      <c r="E48" s="481" t="str">
        <f>S.Staff.Program.Mgr.FirstName</f>
        <v>ProgMgr</v>
      </c>
      <c r="F48" s="438"/>
      <c r="G48" s="34"/>
      <c r="H48" s="34"/>
      <c r="I48" s="34"/>
      <c r="J48" s="34"/>
      <c r="K48" s="34"/>
      <c r="L48" s="34"/>
      <c r="M48" s="34"/>
      <c r="N48" s="34"/>
    </row>
    <row r="49" spans="1:14" s="6" customFormat="1" ht="46.5" customHeight="1" x14ac:dyDescent="0.2">
      <c r="A49" s="438"/>
      <c r="B49" s="438" t="str">
        <f>"Sponsoring Partner's Manager: "&amp;S.Staff.Assistant.DA.ShortName</f>
        <v>Sponsoring Partner's Manager: MediaLead</v>
      </c>
      <c r="C49" s="438" t="s">
        <v>195</v>
      </c>
      <c r="D49" s="438" t="s">
        <v>196</v>
      </c>
      <c r="E49" s="438" t="str">
        <f>S.Staff.RG.Lead.FirstName</f>
        <v>RGLead</v>
      </c>
      <c r="F49" s="438"/>
      <c r="G49" s="34"/>
      <c r="H49" s="34"/>
      <c r="I49" s="34"/>
      <c r="J49" s="34"/>
      <c r="K49" s="34"/>
      <c r="L49" s="34"/>
      <c r="M49" s="34"/>
      <c r="N49" s="34"/>
    </row>
    <row r="50" spans="1:14" s="6" customFormat="1" ht="33" customHeight="1" x14ac:dyDescent="0.2">
      <c r="A50" s="475"/>
      <c r="B50" s="475" t="str">
        <f>"Rules Group Partner: "&amp;S.Staff.RG.Lead.FirstName</f>
        <v>Rules Group Partner: RGLead</v>
      </c>
      <c r="C50" s="475" t="s">
        <v>197</v>
      </c>
      <c r="D50" s="475" t="s">
        <v>198</v>
      </c>
      <c r="E50" s="475" t="s">
        <v>199</v>
      </c>
      <c r="F50" s="475"/>
      <c r="G50" s="34"/>
      <c r="H50" s="34"/>
      <c r="I50" s="34"/>
      <c r="J50" s="34"/>
      <c r="K50" s="34"/>
      <c r="L50" s="34"/>
      <c r="M50" s="34"/>
      <c r="N50" s="34"/>
    </row>
    <row r="51" spans="1:14" s="6" customFormat="1" ht="28.5" x14ac:dyDescent="0.2">
      <c r="A51" s="478"/>
      <c r="B51" s="457" t="str">
        <f>"Sponsoring Partner: "&amp;S.Staff.Program.Mgr.FirstName</f>
        <v>Sponsoring Partner: ProgMgr</v>
      </c>
      <c r="C51" s="478" t="s">
        <v>200</v>
      </c>
      <c r="D51" s="478" t="s">
        <v>32</v>
      </c>
      <c r="E51" s="466" t="str">
        <f>S.Staff.RG.Lead.FirstName</f>
        <v>RGLead</v>
      </c>
      <c r="F51" s="478"/>
      <c r="G51" s="34"/>
      <c r="H51" s="34"/>
      <c r="I51" s="34"/>
      <c r="J51" s="34"/>
      <c r="K51" s="34"/>
      <c r="L51" s="34"/>
      <c r="M51" s="34"/>
      <c r="N51" s="34"/>
    </row>
    <row r="52" spans="1:14" s="6" customFormat="1" ht="85.5" x14ac:dyDescent="0.2">
      <c r="A52" s="478"/>
      <c r="B52" s="457" t="str">
        <f>"Sponsoring Partner: "&amp;S.Staff.Program.Mgr.FirstName</f>
        <v>Sponsoring Partner: ProgMgr</v>
      </c>
      <c r="C52" s="478" t="s">
        <v>215</v>
      </c>
      <c r="D52" s="466" t="s">
        <v>288</v>
      </c>
      <c r="E52" s="478" t="e">
        <f>S.Staff.Subject.Expert.FirstName&amp;", "&amp;S.Staff.HearingsOfficer&amp;" and "&amp;S.Staff.RG.Lead.FirstName</f>
        <v>#NAME?</v>
      </c>
      <c r="F52" s="478"/>
      <c r="G52" s="34"/>
      <c r="H52" s="34"/>
      <c r="I52" s="34"/>
      <c r="J52" s="34"/>
      <c r="K52" s="34"/>
      <c r="L52" s="34"/>
      <c r="M52" s="34"/>
      <c r="N52" s="34"/>
    </row>
    <row r="53" spans="1:14" s="6" customFormat="1" x14ac:dyDescent="0.2">
      <c r="A53" s="470"/>
      <c r="B53" s="470"/>
      <c r="C53" s="470"/>
      <c r="D53" s="470"/>
      <c r="E53" s="470"/>
      <c r="F53" s="470"/>
      <c r="G53" s="34"/>
    </row>
    <row r="54" spans="1:14" s="6" customFormat="1" ht="15" x14ac:dyDescent="0.25">
      <c r="A54" s="407" t="s">
        <v>201</v>
      </c>
      <c r="B54" s="34"/>
      <c r="C54" s="34"/>
      <c r="D54" s="34"/>
      <c r="E54" s="34"/>
      <c r="F54" s="34"/>
      <c r="G54" s="34"/>
    </row>
    <row r="55" spans="1:14" s="6" customFormat="1" x14ac:dyDescent="0.2">
      <c r="A55" s="411"/>
      <c r="B55" s="34"/>
      <c r="C55" s="34"/>
      <c r="D55" s="34"/>
      <c r="E55" s="34"/>
      <c r="F55" s="34"/>
      <c r="G55" s="34"/>
    </row>
    <row r="56" spans="1:14" s="426" customFormat="1" ht="25.5" x14ac:dyDescent="0.2">
      <c r="A56" s="415" t="s">
        <v>170</v>
      </c>
      <c r="B56" s="415" t="s">
        <v>191</v>
      </c>
      <c r="C56" s="415" t="s">
        <v>172</v>
      </c>
      <c r="D56" s="415" t="s">
        <v>175</v>
      </c>
      <c r="E56" s="415" t="s">
        <v>285</v>
      </c>
      <c r="F56" s="415" t="s">
        <v>174</v>
      </c>
    </row>
    <row r="57" spans="1:14" s="426" customFormat="1" ht="99.75" x14ac:dyDescent="0.2">
      <c r="A57" s="466"/>
      <c r="B57" s="457" t="str">
        <f>"Sponsoring Partner: "&amp;S.Staff.Program.Mgr.FirstName</f>
        <v>Sponsoring Partner: ProgMgr</v>
      </c>
      <c r="C57" s="466" t="s">
        <v>220</v>
      </c>
      <c r="D57" s="466" t="s">
        <v>288</v>
      </c>
      <c r="E57" s="466" t="str">
        <f>S.Staff.RG.Lead.FirstName</f>
        <v>RGLead</v>
      </c>
      <c r="F57" s="472" t="s">
        <v>77</v>
      </c>
    </row>
    <row r="58" spans="1:14" s="426" customFormat="1" ht="85.5" x14ac:dyDescent="0.2">
      <c r="A58" s="474"/>
      <c r="B58" s="475" t="str">
        <f>"Rules Group Partner: "&amp;S.Staff.RG.Lead.FirstName</f>
        <v>Rules Group Partner: RGLead</v>
      </c>
      <c r="C58" s="475" t="s">
        <v>291</v>
      </c>
      <c r="D58" s="474" t="s">
        <v>202</v>
      </c>
      <c r="E58" s="475" t="str">
        <f>S.Staff.DA.Support.ForProgram.FirstName&amp;", Legislative staff and Web staff"</f>
        <v>DAAssistant, Legislative staff and Web staff</v>
      </c>
      <c r="F58" s="474" t="s">
        <v>77</v>
      </c>
    </row>
    <row r="59" spans="1:14" s="426" customFormat="1" x14ac:dyDescent="0.2">
      <c r="A59" s="470"/>
      <c r="B59" s="470"/>
      <c r="C59" s="470"/>
      <c r="D59" s="470"/>
      <c r="E59" s="470"/>
      <c r="F59" s="470"/>
      <c r="G59" s="34"/>
    </row>
    <row r="60" spans="1:14" s="426" customFormat="1" ht="15" x14ac:dyDescent="0.25">
      <c r="A60" s="407" t="s">
        <v>203</v>
      </c>
      <c r="B60" s="34"/>
      <c r="C60" s="34"/>
      <c r="D60" s="34"/>
      <c r="E60" s="34"/>
      <c r="F60" s="34"/>
      <c r="G60" s="34"/>
    </row>
    <row r="61" spans="1:14" s="426" customFormat="1" x14ac:dyDescent="0.2">
      <c r="A61" s="34"/>
      <c r="B61" s="413" t="s">
        <v>204</v>
      </c>
      <c r="C61" s="34"/>
      <c r="D61" s="34"/>
      <c r="E61" s="34"/>
      <c r="F61" s="34"/>
      <c r="G61" s="34"/>
    </row>
    <row r="62" spans="1:14" s="426" customFormat="1" x14ac:dyDescent="0.2">
      <c r="A62" s="34"/>
      <c r="B62" s="413" t="s">
        <v>181</v>
      </c>
      <c r="C62" s="34"/>
      <c r="D62" s="34"/>
      <c r="E62" s="34"/>
      <c r="F62" s="34"/>
      <c r="G62" s="34"/>
    </row>
    <row r="63" spans="1:14" s="426" customFormat="1" x14ac:dyDescent="0.2">
      <c r="A63" s="471"/>
      <c r="B63" s="34"/>
      <c r="C63" s="34"/>
      <c r="D63" s="34"/>
      <c r="E63" s="34"/>
      <c r="F63" s="34"/>
      <c r="G63" s="34"/>
    </row>
    <row r="64" spans="1:14" s="436" customFormat="1" ht="25.5" x14ac:dyDescent="0.2">
      <c r="A64" s="415" t="s">
        <v>170</v>
      </c>
      <c r="B64" s="415" t="s">
        <v>191</v>
      </c>
      <c r="C64" s="415" t="s">
        <v>172</v>
      </c>
      <c r="D64" s="415" t="s">
        <v>175</v>
      </c>
      <c r="E64" s="415" t="s">
        <v>285</v>
      </c>
      <c r="F64" s="415" t="s">
        <v>174</v>
      </c>
    </row>
    <row r="65" spans="1:7" s="426" customFormat="1" ht="42.75" x14ac:dyDescent="0.2">
      <c r="A65" s="478"/>
      <c r="B65" s="457" t="str">
        <f>"Sponsoring Partner: "&amp;S.Staff.Program.Mgr.FirstName</f>
        <v>Sponsoring Partner: ProgMgr</v>
      </c>
      <c r="C65" s="478" t="s">
        <v>205</v>
      </c>
      <c r="D65" s="477" t="s">
        <v>187</v>
      </c>
      <c r="E65" s="466" t="s">
        <v>188</v>
      </c>
      <c r="F65" s="472" t="s">
        <v>77</v>
      </c>
    </row>
    <row r="66" spans="1:7" s="426" customFormat="1" ht="34.5" customHeight="1" x14ac:dyDescent="0.2">
      <c r="A66" s="473"/>
      <c r="B66" s="475" t="str">
        <f>"Rules Group Partner: "&amp;S.Staff.RG.Lead.FirstName</f>
        <v>Rules Group Partner: RGLead</v>
      </c>
      <c r="C66" s="475" t="s">
        <v>294</v>
      </c>
      <c r="D66" s="475" t="s">
        <v>288</v>
      </c>
      <c r="E66" s="474" t="str">
        <f>S.Staff.Program.Mgr.FirstName</f>
        <v>ProgMgr</v>
      </c>
      <c r="F66" s="473" t="s">
        <v>77</v>
      </c>
    </row>
    <row r="67" spans="1:7" s="426" customFormat="1" ht="27.75" customHeight="1" x14ac:dyDescent="0.2">
      <c r="A67" s="438"/>
      <c r="B67" s="438" t="s">
        <v>206</v>
      </c>
      <c r="C67" s="438" t="s">
        <v>294</v>
      </c>
      <c r="D67" s="438" t="s">
        <v>292</v>
      </c>
      <c r="E67" s="438" t="str">
        <f>S.Staff.Program.Mgr.FirstName</f>
        <v>ProgMgr</v>
      </c>
      <c r="F67" s="420" t="s">
        <v>77</v>
      </c>
    </row>
    <row r="68" spans="1:7" s="426" customFormat="1" ht="28.5" x14ac:dyDescent="0.2">
      <c r="A68" s="478"/>
      <c r="B68" s="457" t="str">
        <f>"Sponsoring Partner: "&amp;S.Staff.Program.Mgr.FirstName</f>
        <v>Sponsoring Partner: ProgMgr</v>
      </c>
      <c r="C68" s="478" t="s">
        <v>207</v>
      </c>
      <c r="D68" s="478" t="s">
        <v>194</v>
      </c>
      <c r="E68" s="478" t="str">
        <f>S.Staff.Assistant.DA.ShortName</f>
        <v>MediaLead</v>
      </c>
      <c r="F68" s="472" t="s">
        <v>77</v>
      </c>
    </row>
    <row r="69" spans="1:7" s="426" customFormat="1" ht="32.25" customHeight="1" x14ac:dyDescent="0.2">
      <c r="A69" s="438"/>
      <c r="B69" s="438" t="str">
        <f>"Division Administrator: "&amp;S.Staff.DA.ForProgram.FirstName</f>
        <v>Division Administrator: DA.Program</v>
      </c>
      <c r="C69" s="438" t="s">
        <v>221</v>
      </c>
      <c r="D69" s="438" t="s">
        <v>192</v>
      </c>
      <c r="E69" s="438" t="str">
        <f>S.Staff.Program.Mgr.FirstName</f>
        <v>ProgMgr</v>
      </c>
      <c r="F69" s="420" t="s">
        <v>77</v>
      </c>
    </row>
    <row r="70" spans="1:7" s="426" customFormat="1" ht="28.5" x14ac:dyDescent="0.2">
      <c r="A70" s="478"/>
      <c r="B70" s="457" t="str">
        <f>"Sponsoring Partner: "&amp;S.Staff.Program.Mgr.FirstName</f>
        <v>Sponsoring Partner: ProgMgr</v>
      </c>
      <c r="C70" s="478" t="s">
        <v>208</v>
      </c>
      <c r="D70" s="478" t="s">
        <v>196</v>
      </c>
      <c r="E70" s="466" t="str">
        <f>S.Staff.RG.Lead.FirstName</f>
        <v>RGLead</v>
      </c>
      <c r="F70" s="472" t="s">
        <v>77</v>
      </c>
    </row>
    <row r="71" spans="1:7" s="426" customFormat="1" ht="28.5" x14ac:dyDescent="0.2">
      <c r="A71" s="474"/>
      <c r="B71" s="475" t="str">
        <f>"Rules Group Partner: "&amp;S.Staff.RG.Lead.FirstName</f>
        <v>Rules Group Partner: RGLead</v>
      </c>
      <c r="C71" s="474" t="s">
        <v>197</v>
      </c>
      <c r="D71" s="474" t="s">
        <v>209</v>
      </c>
      <c r="E71" s="474" t="str">
        <f>S.Staff.EQCAssistant</f>
        <v>StephanieC</v>
      </c>
      <c r="F71" s="473" t="s">
        <v>77</v>
      </c>
    </row>
    <row r="72" spans="1:7" s="426" customFormat="1" x14ac:dyDescent="0.2">
      <c r="A72" s="34"/>
      <c r="B72" s="34"/>
      <c r="C72" s="34"/>
      <c r="D72" s="34"/>
      <c r="E72" s="34"/>
      <c r="F72" s="34"/>
      <c r="G72" s="34"/>
    </row>
    <row r="73" spans="1:7" s="426" customFormat="1" x14ac:dyDescent="0.2">
      <c r="A73" s="34"/>
      <c r="B73" s="34"/>
      <c r="C73" s="34"/>
      <c r="D73" s="34"/>
      <c r="E73" s="34"/>
      <c r="F73" s="34"/>
      <c r="G73" s="34"/>
    </row>
    <row r="74" spans="1:7" s="426" customFormat="1" ht="15" x14ac:dyDescent="0.25">
      <c r="A74" s="407" t="s">
        <v>210</v>
      </c>
      <c r="B74" s="34"/>
      <c r="C74" s="34"/>
      <c r="D74" s="34"/>
      <c r="E74" s="34"/>
      <c r="F74" s="34"/>
      <c r="G74" s="34"/>
    </row>
    <row r="75" spans="1:7" s="426" customFormat="1" x14ac:dyDescent="0.2">
      <c r="A75" s="471"/>
      <c r="B75" s="34"/>
      <c r="C75" s="34"/>
      <c r="D75" s="34"/>
      <c r="E75" s="34"/>
      <c r="F75" s="34"/>
      <c r="G75" s="34"/>
    </row>
    <row r="76" spans="1:7" s="426" customFormat="1" ht="25.5" x14ac:dyDescent="0.2">
      <c r="A76" s="415" t="s">
        <v>170</v>
      </c>
      <c r="B76" s="415" t="s">
        <v>191</v>
      </c>
      <c r="C76" s="415" t="s">
        <v>172</v>
      </c>
      <c r="D76" s="415" t="s">
        <v>175</v>
      </c>
      <c r="E76" s="415" t="s">
        <v>173</v>
      </c>
      <c r="F76" s="415" t="s">
        <v>174</v>
      </c>
    </row>
    <row r="77" spans="1:7" s="426" customFormat="1" ht="85.5" x14ac:dyDescent="0.2">
      <c r="A77" s="466"/>
      <c r="B77" s="457" t="str">
        <f>"Sponsoring Partner: "&amp;S.Staff.Program.Mgr.FirstName</f>
        <v>Sponsoring Partner: ProgMgr</v>
      </c>
      <c r="C77" s="466" t="s">
        <v>216</v>
      </c>
      <c r="D77" s="466" t="s">
        <v>288</v>
      </c>
      <c r="E77" s="466" t="str">
        <f>S.Staff.RG.Lead.FirstName</f>
        <v>RGLead</v>
      </c>
      <c r="F77" s="472" t="s">
        <v>77</v>
      </c>
    </row>
    <row r="78" spans="1:7" s="426" customFormat="1" ht="32.25" customHeight="1" x14ac:dyDescent="0.2">
      <c r="A78" s="465"/>
      <c r="B78" s="456" t="str">
        <f>"Rules Group Partner: "&amp;S.Staff.RG.Lead.FirstName</f>
        <v>Rules Group Partner: RGLead</v>
      </c>
      <c r="C78" s="465" t="s">
        <v>287</v>
      </c>
      <c r="D78" s="465" t="s">
        <v>209</v>
      </c>
      <c r="E78" s="474" t="str">
        <f>S.Staff.EQCAssistant</f>
        <v>StephanieC</v>
      </c>
      <c r="F78" s="473" t="s">
        <v>77</v>
      </c>
    </row>
    <row r="79" spans="1:7" s="426" customFormat="1" ht="75" customHeight="1" x14ac:dyDescent="0.2">
      <c r="A79" s="465"/>
      <c r="B79" s="456" t="str">
        <f>"Rules Group Partner: "&amp;S.Staff.RG.Lead.FirstName</f>
        <v>Rules Group Partner: RGLead</v>
      </c>
      <c r="C79" s="465" t="s">
        <v>293</v>
      </c>
      <c r="D79" s="465" t="s">
        <v>211</v>
      </c>
      <c r="E79" s="465" t="s">
        <v>217</v>
      </c>
      <c r="F79" s="473" t="s">
        <v>77</v>
      </c>
    </row>
    <row r="80" spans="1:7" s="426" customFormat="1" x14ac:dyDescent="0.2">
      <c r="A80" s="428"/>
    </row>
    <row r="81" spans="1:14" s="426" customFormat="1" x14ac:dyDescent="0.2">
      <c r="A81" s="427"/>
    </row>
    <row r="82" spans="1:14" s="426" customFormat="1" ht="15" x14ac:dyDescent="0.25">
      <c r="A82" s="407" t="s">
        <v>212</v>
      </c>
    </row>
    <row r="83" spans="1:14" s="426" customFormat="1" x14ac:dyDescent="0.2">
      <c r="A83" s="428"/>
    </row>
    <row r="84" spans="1:14" s="426" customFormat="1" ht="25.5" x14ac:dyDescent="0.2">
      <c r="A84" s="415" t="s">
        <v>170</v>
      </c>
      <c r="B84" s="415" t="s">
        <v>191</v>
      </c>
      <c r="C84" s="415" t="s">
        <v>172</v>
      </c>
      <c r="D84" s="415" t="s">
        <v>175</v>
      </c>
      <c r="E84" s="415" t="s">
        <v>173</v>
      </c>
      <c r="F84" s="415" t="s">
        <v>174</v>
      </c>
    </row>
    <row r="85" spans="1:14" s="426" customFormat="1" ht="71.25" x14ac:dyDescent="0.2">
      <c r="A85" s="478"/>
      <c r="B85" s="457" t="str">
        <f>"Sponsoring Partner: "&amp;S.Staff.Program.Mgr.FirstName</f>
        <v>Sponsoring Partner: ProgMgr</v>
      </c>
      <c r="C85" s="457" t="s">
        <v>298</v>
      </c>
      <c r="D85" s="478" t="s">
        <v>32</v>
      </c>
      <c r="E85" s="466" t="str">
        <f>S.Staff.RG.Lead.FirstName</f>
        <v>RGLead</v>
      </c>
      <c r="F85" s="472" t="s">
        <v>77</v>
      </c>
    </row>
    <row r="86" spans="1:14" s="426" customFormat="1" ht="71.25" x14ac:dyDescent="0.2">
      <c r="A86" s="475"/>
      <c r="B86" s="456" t="str">
        <f>"Rules Group Partner: "&amp;S.Staff.RG.Lead.FirstName</f>
        <v>Rules Group Partner: RGLead</v>
      </c>
      <c r="C86" s="465" t="s">
        <v>297</v>
      </c>
      <c r="D86" s="465" t="s">
        <v>299</v>
      </c>
      <c r="E86" s="465" t="s">
        <v>122</v>
      </c>
      <c r="F86" s="473" t="s">
        <v>77</v>
      </c>
    </row>
    <row r="87" spans="1:14" s="426" customFormat="1" ht="15.75" x14ac:dyDescent="0.25">
      <c r="A87" s="429"/>
    </row>
    <row r="88" spans="1:14" s="6" customFormat="1" ht="20.25" x14ac:dyDescent="0.3">
      <c r="A88" s="423"/>
    </row>
    <row r="89" spans="1:14" ht="184.5" customHeight="1" x14ac:dyDescent="0.3">
      <c r="A89" s="424" t="s">
        <v>0</v>
      </c>
    </row>
    <row r="92" spans="1:14" x14ac:dyDescent="0.2">
      <c r="A92" s="425"/>
    </row>
    <row r="94" spans="1:14" s="6" customFormat="1" ht="15" x14ac:dyDescent="0.25">
      <c r="A94" s="407" t="s">
        <v>218</v>
      </c>
      <c r="B94" s="439"/>
      <c r="C94" s="439"/>
      <c r="D94" s="439"/>
      <c r="E94" s="439"/>
      <c r="F94" s="439"/>
      <c r="G94" s="34"/>
      <c r="H94" s="219"/>
      <c r="I94" s="34"/>
      <c r="J94" s="34"/>
      <c r="K94" s="34"/>
      <c r="L94" s="34"/>
      <c r="M94" s="34"/>
      <c r="N94" s="34"/>
    </row>
    <row r="95" spans="1:14" s="6" customFormat="1" ht="15" x14ac:dyDescent="0.25">
      <c r="A95" s="407"/>
      <c r="B95" s="439"/>
      <c r="C95" s="439"/>
      <c r="D95" s="439"/>
      <c r="E95" s="439"/>
      <c r="F95" s="439"/>
      <c r="G95" s="34"/>
      <c r="H95" s="447"/>
      <c r="I95" s="34"/>
      <c r="J95" s="34"/>
      <c r="K95" s="34"/>
      <c r="L95" s="34"/>
      <c r="M95" s="34"/>
      <c r="N95" s="34"/>
    </row>
    <row r="96" spans="1:14" s="6" customFormat="1" ht="25.5" x14ac:dyDescent="0.2">
      <c r="A96" s="414" t="s">
        <v>170</v>
      </c>
      <c r="B96" s="415" t="s">
        <v>171</v>
      </c>
      <c r="C96" s="414" t="s">
        <v>172</v>
      </c>
      <c r="D96" s="414" t="s">
        <v>175</v>
      </c>
      <c r="E96" s="416" t="s">
        <v>173</v>
      </c>
      <c r="F96" s="416" t="s">
        <v>174</v>
      </c>
      <c r="G96" s="34"/>
      <c r="H96" s="219"/>
      <c r="I96" s="34"/>
      <c r="J96" s="34"/>
      <c r="K96" s="34"/>
      <c r="L96" s="34"/>
      <c r="M96" s="34"/>
      <c r="N96" s="34"/>
    </row>
    <row r="97" spans="1:14" s="6" customFormat="1" x14ac:dyDescent="0.2">
      <c r="A97" s="421"/>
      <c r="B97" s="422"/>
      <c r="C97" s="421"/>
      <c r="D97" s="421"/>
      <c r="E97" s="421"/>
      <c r="F97" s="421"/>
      <c r="G97" s="34"/>
      <c r="H97" s="447"/>
      <c r="I97" s="34"/>
      <c r="J97" s="34"/>
      <c r="K97" s="34"/>
      <c r="L97" s="34"/>
      <c r="M97" s="34"/>
      <c r="N97" s="34"/>
    </row>
    <row r="98" spans="1:14" s="6" customFormat="1" x14ac:dyDescent="0.2">
      <c r="A98" s="421"/>
      <c r="B98" s="417"/>
      <c r="C98" s="421"/>
      <c r="D98" s="421"/>
      <c r="E98" s="421"/>
      <c r="F98" s="421"/>
      <c r="G98" s="34"/>
      <c r="H98" s="447"/>
      <c r="I98" s="34"/>
      <c r="J98" s="34"/>
      <c r="K98" s="34"/>
      <c r="L98" s="34"/>
      <c r="M98" s="34"/>
      <c r="N98" s="34"/>
    </row>
    <row r="99" spans="1:14" s="6" customFormat="1" x14ac:dyDescent="0.2">
      <c r="A99" s="421"/>
      <c r="B99" s="421"/>
      <c r="C99" s="421"/>
      <c r="D99" s="421"/>
      <c r="E99" s="421"/>
      <c r="F99" s="421"/>
      <c r="G99" s="34"/>
      <c r="H99" s="34"/>
      <c r="I99" s="34"/>
      <c r="J99" s="34"/>
      <c r="K99" s="34"/>
      <c r="L99" s="34"/>
      <c r="M99" s="34"/>
      <c r="N99" s="34"/>
    </row>
    <row r="100" spans="1:14" s="6" customFormat="1" x14ac:dyDescent="0.2">
      <c r="A100" s="421"/>
      <c r="B100" s="421"/>
      <c r="C100" s="421"/>
      <c r="D100" s="421"/>
      <c r="E100" s="421"/>
      <c r="F100" s="421"/>
      <c r="G100" s="34"/>
      <c r="H100" s="34"/>
      <c r="I100" s="34"/>
      <c r="J100" s="34"/>
      <c r="K100" s="34"/>
      <c r="L100" s="34"/>
      <c r="M100" s="34"/>
      <c r="N100" s="34"/>
    </row>
    <row r="101" spans="1:14" s="6" customFormat="1" x14ac:dyDescent="0.2">
      <c r="A101" s="439"/>
      <c r="B101" s="439"/>
      <c r="C101" s="439"/>
      <c r="D101" s="439"/>
      <c r="E101" s="439"/>
      <c r="F101" s="439"/>
      <c r="G101" s="34"/>
      <c r="H101" s="34"/>
      <c r="I101" s="34"/>
      <c r="J101" s="34"/>
      <c r="K101" s="34"/>
      <c r="L101" s="34"/>
      <c r="M101" s="34"/>
      <c r="N101" s="34"/>
    </row>
    <row r="103" spans="1:14" s="6" customFormat="1" ht="15" thickBot="1" x14ac:dyDescent="0.25">
      <c r="A103" s="1128" t="s">
        <v>162</v>
      </c>
      <c r="B103" s="1128"/>
      <c r="C103" s="410"/>
      <c r="D103" s="410"/>
      <c r="E103" s="410"/>
      <c r="F103" s="34"/>
      <c r="G103" s="34"/>
      <c r="H103" s="34"/>
      <c r="I103" s="34"/>
      <c r="J103" s="34"/>
      <c r="K103" s="34"/>
      <c r="L103" s="34"/>
      <c r="M103" s="34"/>
      <c r="N103" s="34"/>
    </row>
    <row r="104" spans="1:14" s="6" customFormat="1" ht="20.25" x14ac:dyDescent="0.25">
      <c r="A104" s="411"/>
      <c r="B104" s="34"/>
      <c r="C104" s="1129" t="str">
        <f>S.Staff.Program.Mgr.FullName&amp;", "&amp;S.Staff.Program.Mgr.Div&amp;": "&amp;S.Staff.Program.Mgr.SectionName&amp;"     DATE"</f>
        <v xml:space="preserve"> ,  :       DATE</v>
      </c>
      <c r="D104" s="1129"/>
      <c r="E104" s="1129"/>
      <c r="F104" s="34"/>
      <c r="G104" s="34"/>
      <c r="H104" s="34"/>
      <c r="I104" s="34"/>
      <c r="J104" s="34"/>
      <c r="K104" s="34"/>
      <c r="L104" s="34"/>
      <c r="M104" s="34"/>
      <c r="N104" s="34"/>
    </row>
    <row r="105" spans="1:14" s="6" customFormat="1" ht="33" customHeight="1" x14ac:dyDescent="0.2">
      <c r="A105" s="34"/>
      <c r="B105" s="34"/>
      <c r="C105" s="34"/>
      <c r="D105" s="34"/>
      <c r="E105" s="34"/>
      <c r="F105" s="34"/>
      <c r="G105" s="34"/>
      <c r="H105" s="34"/>
      <c r="I105" s="34"/>
      <c r="J105" s="34"/>
      <c r="K105" s="34"/>
      <c r="L105" s="34"/>
      <c r="M105" s="34"/>
      <c r="N105" s="34"/>
    </row>
    <row r="106" spans="1:14" s="6" customFormat="1" ht="15" thickBot="1" x14ac:dyDescent="0.25">
      <c r="A106" s="1128" t="s">
        <v>278</v>
      </c>
      <c r="B106" s="1128"/>
      <c r="C106" s="410"/>
      <c r="D106" s="410"/>
      <c r="E106" s="410"/>
      <c r="F106" s="34"/>
      <c r="G106" s="34"/>
      <c r="H106" s="34"/>
      <c r="I106" s="34"/>
      <c r="J106" s="34"/>
      <c r="K106" s="34"/>
      <c r="L106" s="34"/>
      <c r="M106" s="34"/>
      <c r="N106" s="34"/>
    </row>
    <row r="107" spans="1:14" s="6" customFormat="1" ht="30.75" customHeight="1" x14ac:dyDescent="0.2">
      <c r="A107" s="34"/>
      <c r="B107" s="34"/>
      <c r="C107" s="1130" t="str">
        <f>S.Staff.RG.Lead.Full.Name&amp;", "&amp;S.Staff.RG.Lead.Div&amp;": "&amp;S.Staff.RG.Lead.SectionName&amp;"     DATE"</f>
        <v xml:space="preserve"> ,  :       DATE</v>
      </c>
      <c r="D107" s="1130"/>
      <c r="E107" s="1130"/>
      <c r="F107" s="34"/>
      <c r="G107" s="34"/>
      <c r="H107" s="34"/>
      <c r="I107" s="34"/>
      <c r="J107" s="34"/>
      <c r="K107" s="34"/>
      <c r="L107" s="34"/>
      <c r="M107" s="34"/>
      <c r="N107" s="34"/>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7C38F2A0F1DA4393AAE5B6E01B7E2E" ma:contentTypeVersion="" ma:contentTypeDescription="Create a new document." ma:contentTypeScope="" ma:versionID="ddc4d3e83d5e0bf8b4d5fa023fc25229">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ListId:docs;"/>
    <ds:schemaRef ds:uri="http://www.w3.org/XML/1998/namespace"/>
  </ds:schemaRefs>
</ds:datastoreItem>
</file>

<file path=customXml/itemProps2.xml><?xml version="1.0" encoding="utf-8"?>
<ds:datastoreItem xmlns:ds="http://schemas.openxmlformats.org/officeDocument/2006/customXml" ds:itemID="{713C5C5F-8C29-4538-BCAC-F58619FCE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211</vt:i4>
      </vt:variant>
    </vt:vector>
  </HeadingPairs>
  <TitlesOfParts>
    <vt:vector size="218" baseType="lpstr">
      <vt:lpstr>CodeName.ScheduleOfTasks</vt:lpstr>
      <vt:lpstr>GetStarted</vt:lpstr>
      <vt:lpstr>Lists.TableLookups</vt:lpstr>
      <vt:lpstr>HearingAndAdDates</vt:lpstr>
      <vt:lpstr>Documentation</vt:lpstr>
      <vt:lpstr>CodeName.Calendar</vt:lpstr>
      <vt:lpstr>ActivitySequence</vt:lpstr>
      <vt:lpstr>CodeName.Calendar!Print_Area</vt:lpstr>
      <vt:lpstr>CodeName.ScheduleOfTasks!Print_Area</vt:lpstr>
      <vt:lpstr>S.0Overview.BEGIN</vt:lpstr>
      <vt:lpstr>S.0Overview.END</vt:lpstr>
      <vt:lpstr>S.1Planning.BEGIN</vt:lpstr>
      <vt:lpstr>S.1Planning.END</vt:lpstr>
      <vt:lpstr>S.2AC.BEGIN</vt:lpstr>
      <vt:lpstr>S.2AC.END</vt:lpstr>
      <vt:lpstr>S.3Fee.BEGIN</vt:lpstr>
      <vt:lpstr>S.3Fee.END</vt:lpstr>
      <vt:lpstr>S.4Notice.BEGIN</vt:lpstr>
      <vt:lpstr>S.4Notice.END</vt:lpstr>
      <vt:lpstr>S.5Comment.BEGIN</vt:lpstr>
      <vt:lpstr>S.5Comment.END</vt:lpstr>
      <vt:lpstr>S.6EQC.BEGIN</vt:lpstr>
      <vt:lpstr>S.6EQC.END</vt:lpstr>
      <vt:lpstr>S.7PostEQC.BEGIN</vt:lpstr>
      <vt:lpstr>S.7PostEQC.END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S.Comment.ApproveResponseLoop2</vt:lpstr>
      <vt:lpstr>S.Comment.ApproveResponseLoop3</vt:lpstr>
      <vt:lpstr>S.Comment.ApproveResponseLoop4</vt:lpstr>
      <vt:lpstr>S.DDL.BudgetAnalyst</vt:lpstr>
      <vt:lpstr>S.DDL.EQC.FacHearingDates</vt:lpstr>
      <vt:lpstr>S.DDL.LegLiason</vt:lpstr>
      <vt:lpstr>S.DDL.MediaManager</vt:lpstr>
      <vt:lpstr>S.DDL_AAG</vt:lpstr>
      <vt:lpstr>S.DDL_Bulletin</vt:lpstr>
      <vt:lpstr>S.DDL_DEQClosed</vt:lpstr>
      <vt:lpstr>S.DDL_EQCMeeting</vt:lpstr>
      <vt:lpstr>S.DDL_Newspapers</vt:lpstr>
      <vt:lpstr>S.DIRECTOR.Approves.ForDEQRulemakingPlan</vt:lpstr>
      <vt:lpstr>S.EQC.1on1Briefing</vt:lpstr>
      <vt:lpstr>S.EQC.ApprovePresentationLoop2</vt:lpstr>
      <vt:lpstr>S.EQC.ApprovePresentationLoop3</vt:lpstr>
      <vt:lpstr>S.EQC.ApprovePresentationLoop4</vt:lpstr>
      <vt:lpstr>S.EQC.DirectorsReport1</vt:lpstr>
      <vt:lpstr>S.EQC.DirectorsReport2</vt:lpstr>
      <vt:lpstr>S.EQC.DirReport</vt:lpstr>
      <vt:lpstr>S.EQC.FacHearing</vt:lpstr>
      <vt:lpstr>S.EQC.FacHearing1</vt:lpstr>
      <vt:lpstr>S.EQC.FacHearing2</vt:lpstr>
      <vt:lpstr>S.EQC.InfoItem</vt:lpstr>
      <vt:lpstr>S.EQC.InfoItem1</vt:lpstr>
      <vt:lpstr>S.EQC.InfoItem2</vt:lpstr>
      <vt:lpstr>S.EQC.Meeting</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S.Fee.DASApprovalRequired</vt:lpstr>
      <vt:lpstr>S.Fee.Involved</vt:lpstr>
      <vt:lpstr>S.Fee.SubmitToDAS</vt:lpstr>
      <vt:lpstr>S.General.CodeName</vt:lpstr>
      <vt:lpstr>S.General.Complexity</vt:lpstr>
      <vt:lpstr>S.General.DaysRecommended</vt:lpstr>
      <vt:lpstr>S.General.Last.G.Cell</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S.HearingsOfficers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S.Planning.AddConceptToPlanDate</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S.Version</vt:lpstr>
      <vt:lpstr>S.VL_Bulletin</vt:lpstr>
      <vt:lpstr>S.VL_EQCActivities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AGarten</cp:lastModifiedBy>
  <cp:lastPrinted>2014-11-10T23:11:04Z</cp:lastPrinted>
  <dcterms:created xsi:type="dcterms:W3CDTF">2012-04-11T21:44:01Z</dcterms:created>
  <dcterms:modified xsi:type="dcterms:W3CDTF">2015-01-06T00:08:22Z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0x010100407C38F2A0F1DA4393AAE5B6E01B7E2E</vt:lpwstr>
  </property>
</Properties>
</file>