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120" yWindow="-96" windowWidth="15576" windowHeight="8856" tabRatio="960" firstSheet="2" activeTab="3"/>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 name="Sheet1" sheetId="121" r:id="rId20"/>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'1ProjectRecord'!$C$2:$S$24</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G21" i="89"/>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17"/>
  <c r="I272"/>
  <c r="I288"/>
  <c r="I290"/>
  <c r="I291"/>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161"/>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0"/>
  <c r="F159"/>
  <c r="F158"/>
  <c r="F157"/>
  <c r="F156"/>
  <c r="F155"/>
  <c r="F154"/>
  <c r="F153"/>
  <c r="F152"/>
  <c r="F151"/>
  <c r="F150"/>
  <c r="F149"/>
  <c r="F148"/>
  <c r="F147"/>
  <c r="F146"/>
  <c r="F145"/>
  <c r="F144"/>
  <c r="F143"/>
  <c r="F142"/>
  <c r="F141"/>
  <c r="F140"/>
  <c r="F139"/>
  <c r="F138"/>
  <c r="F137"/>
  <c r="F136"/>
  <c r="F135"/>
  <c r="F134"/>
  <c r="F133"/>
  <c r="F132"/>
  <c r="F131"/>
  <c r="F130"/>
  <c r="F129"/>
  <c r="A159"/>
  <c r="A160"/>
  <c r="A161"/>
  <c r="A186"/>
  <c r="B159"/>
  <c r="B160"/>
  <c r="B161"/>
  <c r="B186"/>
  <c r="A187"/>
  <c r="A188"/>
  <c r="A189"/>
  <c r="A190"/>
  <c r="B187"/>
  <c r="B188"/>
  <c r="B189"/>
  <c r="B190"/>
  <c r="A191"/>
  <c r="A192"/>
  <c r="A193"/>
  <c r="A194"/>
  <c r="B191"/>
  <c r="B192"/>
  <c r="B193"/>
  <c r="B194"/>
  <c r="F128"/>
  <c r="F127"/>
  <c r="F126"/>
  <c r="F125"/>
  <c r="F124"/>
  <c r="F123"/>
  <c r="F122"/>
  <c r="F121"/>
  <c r="F120"/>
  <c r="F119"/>
  <c r="F118"/>
  <c r="F117"/>
  <c r="F116"/>
  <c r="F115"/>
  <c r="F114"/>
  <c r="F113"/>
  <c r="A113"/>
  <c r="A114"/>
  <c r="A115"/>
  <c r="A116"/>
  <c r="A117"/>
  <c r="A118"/>
  <c r="A119"/>
  <c r="A120"/>
  <c r="A121"/>
  <c r="A122"/>
  <c r="A123"/>
  <c r="A124"/>
  <c r="B113"/>
  <c r="B114"/>
  <c r="B115"/>
  <c r="B116"/>
  <c r="B117"/>
  <c r="B118"/>
  <c r="B119"/>
  <c r="B120"/>
  <c r="B121"/>
  <c r="B122"/>
  <c r="B123"/>
  <c r="B124"/>
  <c r="A125"/>
  <c r="A126"/>
  <c r="A127"/>
  <c r="A128"/>
  <c r="A129"/>
  <c r="A130"/>
  <c r="A131"/>
  <c r="A132"/>
  <c r="A133"/>
  <c r="A134"/>
  <c r="A135"/>
  <c r="A136"/>
  <c r="B125"/>
  <c r="B126"/>
  <c r="B127"/>
  <c r="B128"/>
  <c r="B129"/>
  <c r="B130"/>
  <c r="B131"/>
  <c r="B132"/>
  <c r="B133"/>
  <c r="B134"/>
  <c r="B135"/>
  <c r="B136"/>
  <c r="A137"/>
  <c r="A138"/>
  <c r="A139"/>
  <c r="A140"/>
  <c r="A141"/>
  <c r="A142"/>
  <c r="A143"/>
  <c r="A144"/>
  <c r="A145"/>
  <c r="A146"/>
  <c r="A147"/>
  <c r="A148"/>
  <c r="B137"/>
  <c r="B138"/>
  <c r="B139"/>
  <c r="B140"/>
  <c r="B141"/>
  <c r="B142"/>
  <c r="B143"/>
  <c r="B144"/>
  <c r="B145"/>
  <c r="B146"/>
  <c r="B147"/>
  <c r="B148"/>
  <c r="F112"/>
  <c r="F111"/>
  <c r="F110"/>
  <c r="F109"/>
  <c r="F108"/>
  <c r="F107"/>
  <c r="F106"/>
  <c r="F105"/>
  <c r="F104"/>
  <c r="F103"/>
  <c r="F102"/>
  <c r="F101"/>
  <c r="F100"/>
  <c r="F99"/>
  <c r="F98"/>
  <c r="F97"/>
  <c r="F93"/>
  <c r="F96"/>
  <c r="F95"/>
  <c r="F94"/>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B158"/>
  <c r="B157"/>
  <c r="B156"/>
  <c r="B155"/>
  <c r="B154"/>
  <c r="B153"/>
  <c r="B152"/>
  <c r="B151"/>
  <c r="B150"/>
  <c r="B149"/>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F20"/>
  <c r="F19"/>
  <c r="F18"/>
  <c r="F17"/>
  <c r="F16"/>
  <c r="F15"/>
  <c r="F13"/>
  <c r="F14"/>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49"/>
  <c r="A150"/>
  <c r="A151"/>
  <c r="A152"/>
  <c r="A153"/>
  <c r="A154"/>
  <c r="A155"/>
  <c r="A156"/>
  <c r="A157"/>
  <c r="A158"/>
  <c r="F12"/>
  <c r="F11"/>
  <c r="F10"/>
  <c r="F8"/>
  <c r="F9"/>
  <c r="F7"/>
  <c r="F6"/>
  <c r="F5"/>
  <c r="F4"/>
  <c r="F3"/>
  <c r="D14"/>
  <c r="D13"/>
  <c r="D9"/>
  <c r="D8"/>
  <c r="S48" i="105"/>
  <c r="G76" i="119" s="1"/>
  <c r="H76" s="1"/>
  <c r="H22" i="88"/>
  <c r="E22"/>
  <c r="T14" i="109"/>
  <c r="S14"/>
  <c r="U14" s="1"/>
  <c r="T16"/>
  <c r="S16"/>
  <c r="U16" s="1"/>
  <c r="T17"/>
  <c r="S17"/>
  <c r="U17" s="1"/>
  <c r="T15"/>
  <c r="S15"/>
  <c r="U15" s="1"/>
  <c r="T18"/>
  <c r="S18"/>
  <c r="U18" s="1"/>
  <c r="I289" i="119" l="1"/>
  <c r="J296"/>
  <c r="J279"/>
  <c r="J295"/>
  <c r="J280"/>
  <c r="G19"/>
  <c r="H19" s="1"/>
  <c r="I281"/>
  <c r="J273"/>
  <c r="G18"/>
  <c r="H18" s="1"/>
  <c r="I282"/>
  <c r="I265"/>
  <c r="G16"/>
  <c r="H16" s="1"/>
  <c r="I283"/>
  <c r="I266"/>
  <c r="I274"/>
  <c r="I275"/>
  <c r="I267"/>
  <c r="I76"/>
  <c r="J76"/>
  <c r="I277"/>
  <c r="J292"/>
  <c r="J284"/>
  <c r="J276"/>
  <c r="J268"/>
  <c r="J293"/>
  <c r="J285"/>
  <c r="J269"/>
  <c r="I270"/>
  <c r="J294"/>
  <c r="J278"/>
  <c r="I223"/>
  <c r="J223"/>
  <c r="G20"/>
  <c r="H20" s="1"/>
  <c r="G17"/>
  <c r="H17" s="1"/>
  <c r="V18" i="109"/>
  <c r="V15"/>
  <c r="V17"/>
  <c r="V16"/>
  <c r="V14"/>
  <c r="V4" i="89"/>
  <c r="H7"/>
  <c r="H19"/>
  <c r="H8"/>
  <c r="H9"/>
  <c r="H10"/>
  <c r="G12"/>
  <c r="G13"/>
  <c r="G15"/>
  <c r="G14"/>
  <c r="D4" i="88"/>
  <c r="D9"/>
  <c r="G2" i="89" l="1"/>
  <c r="E2" i="114"/>
  <c r="E2" i="117"/>
  <c r="E2" i="112"/>
  <c r="E2" i="95"/>
  <c r="E2" i="106"/>
  <c r="E2" i="108"/>
  <c r="F2" i="90"/>
  <c r="E2" i="116"/>
  <c r="E2" i="115"/>
  <c r="E2" i="113"/>
  <c r="E2" i="110"/>
  <c r="E2" i="105"/>
  <c r="E2" i="109"/>
  <c r="E2" i="107"/>
  <c r="J18" i="119"/>
  <c r="I18"/>
  <c r="I17"/>
  <c r="J17"/>
  <c r="J19"/>
  <c r="I19"/>
  <c r="J16"/>
  <c r="I16"/>
  <c r="I20"/>
  <c r="J20"/>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09" i="119"/>
  <c r="H109" s="1"/>
  <c r="U23" i="110"/>
  <c r="G110" i="119"/>
  <c r="H110"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0"/>
  <c r="J110"/>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09"/>
  <c r="J109"/>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69" i="119" s="1"/>
  <c r="H169" s="1"/>
  <c r="T25" i="113"/>
  <c r="S25"/>
  <c r="T24"/>
  <c r="S24"/>
  <c r="T23"/>
  <c r="S23"/>
  <c r="T22"/>
  <c r="S22"/>
  <c r="T18"/>
  <c r="S18"/>
  <c r="T17"/>
  <c r="S17"/>
  <c r="T16"/>
  <c r="S16"/>
  <c r="G162" i="119" s="1"/>
  <c r="H162" s="1"/>
  <c r="T15" i="113"/>
  <c r="S15"/>
  <c r="G161" i="119" s="1"/>
  <c r="H161"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1" i="119" s="1"/>
  <c r="H131" s="1"/>
  <c r="T16" i="112"/>
  <c r="S16"/>
  <c r="T15"/>
  <c r="S15"/>
  <c r="U4"/>
  <c r="T4"/>
  <c r="U2"/>
  <c r="T2"/>
  <c r="S2"/>
  <c r="D13" i="88"/>
  <c r="D12"/>
  <c r="D11"/>
  <c r="D10"/>
  <c r="T27" i="109"/>
  <c r="S27"/>
  <c r="G24" i="119" s="1"/>
  <c r="H24" s="1"/>
  <c r="T26" i="109"/>
  <c r="S26"/>
  <c r="G23" i="119" s="1"/>
  <c r="H23" s="1"/>
  <c r="T25" i="109"/>
  <c r="S25"/>
  <c r="G22" i="119" s="1"/>
  <c r="H22" s="1"/>
  <c r="T24" i="109"/>
  <c r="S24"/>
  <c r="G21" i="119" s="1"/>
  <c r="H21" s="1"/>
  <c r="T13" i="109"/>
  <c r="S13"/>
  <c r="I212" i="119" l="1"/>
  <c r="J212"/>
  <c r="I215"/>
  <c r="J215"/>
  <c r="J234"/>
  <c r="I234"/>
  <c r="I198"/>
  <c r="J198"/>
  <c r="J221"/>
  <c r="I221"/>
  <c r="I207"/>
  <c r="J207"/>
  <c r="I161"/>
  <c r="J161"/>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23"/>
  <c r="J23"/>
  <c r="I21"/>
  <c r="J21"/>
  <c r="I241"/>
  <c r="J241"/>
  <c r="I254"/>
  <c r="J254"/>
  <c r="I196"/>
  <c r="J196"/>
  <c r="J199"/>
  <c r="I199"/>
  <c r="I224"/>
  <c r="J224"/>
  <c r="I246"/>
  <c r="J246"/>
  <c r="I230"/>
  <c r="J230"/>
  <c r="I210"/>
  <c r="J210"/>
  <c r="I203"/>
  <c r="J203"/>
  <c r="J200"/>
  <c r="I200"/>
  <c r="J237"/>
  <c r="I237"/>
  <c r="I209"/>
  <c r="J209"/>
  <c r="I195"/>
  <c r="J195"/>
  <c r="I204"/>
  <c r="J204"/>
  <c r="I24"/>
  <c r="J24"/>
  <c r="I197"/>
  <c r="J197"/>
  <c r="J240"/>
  <c r="I240"/>
  <c r="I213"/>
  <c r="J213"/>
  <c r="I131"/>
  <c r="J131"/>
  <c r="I169"/>
  <c r="J169"/>
  <c r="J253"/>
  <c r="I253"/>
  <c r="I201"/>
  <c r="J201"/>
  <c r="J248"/>
  <c r="I248"/>
  <c r="I255"/>
  <c r="J255"/>
  <c r="J202"/>
  <c r="I202"/>
  <c r="J252"/>
  <c r="I252"/>
  <c r="J232"/>
  <c r="I232"/>
  <c r="I22"/>
  <c r="J22"/>
  <c r="J229"/>
  <c r="I229"/>
  <c r="I247"/>
  <c r="J247"/>
  <c r="J222"/>
  <c r="I222"/>
  <c r="J243"/>
  <c r="I243"/>
  <c r="J162"/>
  <c r="I162"/>
  <c r="I228"/>
  <c r="J228"/>
  <c r="J227"/>
  <c r="I227"/>
  <c r="I226"/>
  <c r="J226"/>
  <c r="E24" i="88"/>
  <c r="E20"/>
  <c r="G15" i="119"/>
  <c r="H15" s="1"/>
  <c r="U18" i="113"/>
  <c r="G164" i="119"/>
  <c r="H164" s="1"/>
  <c r="U34" i="113"/>
  <c r="G172" i="119"/>
  <c r="H172" s="1"/>
  <c r="U50" i="113"/>
  <c r="G180" i="119"/>
  <c r="H180" s="1"/>
  <c r="U57" i="113"/>
  <c r="G184" i="119"/>
  <c r="H184" s="1"/>
  <c r="U22" i="112"/>
  <c r="G133" i="119"/>
  <c r="H133" s="1"/>
  <c r="U47" i="112"/>
  <c r="G145" i="119"/>
  <c r="H145" s="1"/>
  <c r="U17" i="113"/>
  <c r="G163" i="119"/>
  <c r="H163" s="1"/>
  <c r="U40" i="113"/>
  <c r="G175" i="119"/>
  <c r="H175" s="1"/>
  <c r="U18" i="112"/>
  <c r="G132" i="119"/>
  <c r="H132" s="1"/>
  <c r="U41" i="112"/>
  <c r="G144" i="119"/>
  <c r="H144" s="1"/>
  <c r="U66" i="112"/>
  <c r="G156" i="119"/>
  <c r="H156" s="1"/>
  <c r="U23" i="113"/>
  <c r="G166" i="119"/>
  <c r="H166" s="1"/>
  <c r="U32" i="113"/>
  <c r="G170" i="119"/>
  <c r="H170" s="1"/>
  <c r="U39" i="113"/>
  <c r="G174" i="119"/>
  <c r="H174" s="1"/>
  <c r="U48" i="113"/>
  <c r="G178" i="119"/>
  <c r="H178" s="1"/>
  <c r="U55" i="113"/>
  <c r="G182" i="119"/>
  <c r="H182" s="1"/>
  <c r="U24" i="113"/>
  <c r="G167" i="119"/>
  <c r="H167" s="1"/>
  <c r="U50" i="112"/>
  <c r="G148" i="119"/>
  <c r="H148" s="1"/>
  <c r="U24" i="112"/>
  <c r="G135" i="119"/>
  <c r="H135" s="1"/>
  <c r="U33" i="112"/>
  <c r="G139" i="119"/>
  <c r="H139" s="1"/>
  <c r="U40" i="112"/>
  <c r="G143" i="119"/>
  <c r="H143" s="1"/>
  <c r="U49" i="112"/>
  <c r="G147" i="119"/>
  <c r="H147" s="1"/>
  <c r="U56" i="112"/>
  <c r="G151" i="119"/>
  <c r="H151" s="1"/>
  <c r="U65" i="112"/>
  <c r="G155" i="119"/>
  <c r="H155" s="1"/>
  <c r="U72" i="112"/>
  <c r="G159" i="119"/>
  <c r="H159" s="1"/>
  <c r="U25" i="113"/>
  <c r="G168" i="119"/>
  <c r="H168" s="1"/>
  <c r="S7" i="112"/>
  <c r="G129" i="119"/>
  <c r="H129" s="1"/>
  <c r="U38" i="112"/>
  <c r="G141" i="119"/>
  <c r="H141" s="1"/>
  <c r="U63" i="112"/>
  <c r="G153" i="119"/>
  <c r="H153" s="1"/>
  <c r="U49" i="113"/>
  <c r="G179" i="119"/>
  <c r="H179" s="1"/>
  <c r="U34" i="112"/>
  <c r="G140" i="119"/>
  <c r="H140" s="1"/>
  <c r="U73" i="112"/>
  <c r="G160" i="119"/>
  <c r="H160" s="1"/>
  <c r="U38" i="113"/>
  <c r="G173" i="119"/>
  <c r="H173" s="1"/>
  <c r="U47" i="113"/>
  <c r="G177" i="119"/>
  <c r="H177" s="1"/>
  <c r="U54" i="113"/>
  <c r="G181" i="119"/>
  <c r="H181" s="1"/>
  <c r="U41" i="113"/>
  <c r="G176" i="119"/>
  <c r="H176" s="1"/>
  <c r="U31" i="112"/>
  <c r="G137" i="119"/>
  <c r="H137" s="1"/>
  <c r="U54" i="112"/>
  <c r="G149" i="119"/>
  <c r="H149" s="1"/>
  <c r="U70" i="112"/>
  <c r="G157" i="119"/>
  <c r="H157" s="1"/>
  <c r="U33" i="113"/>
  <c r="G171" i="119"/>
  <c r="H171" s="1"/>
  <c r="U56" i="113"/>
  <c r="G183" i="119"/>
  <c r="H183" s="1"/>
  <c r="U25" i="112"/>
  <c r="G136" i="119"/>
  <c r="H136" s="1"/>
  <c r="U57" i="112"/>
  <c r="G152" i="119"/>
  <c r="H152" s="1"/>
  <c r="U22" i="113"/>
  <c r="G165" i="119"/>
  <c r="H165" s="1"/>
  <c r="U16" i="112"/>
  <c r="G130" i="119"/>
  <c r="H130" s="1"/>
  <c r="U23" i="112"/>
  <c r="G134" i="119"/>
  <c r="H134" s="1"/>
  <c r="U32" i="112"/>
  <c r="G138" i="119"/>
  <c r="H138" s="1"/>
  <c r="U39" i="112"/>
  <c r="G142" i="119"/>
  <c r="H142" s="1"/>
  <c r="U48" i="112"/>
  <c r="G146" i="119"/>
  <c r="H146" s="1"/>
  <c r="U55" i="112"/>
  <c r="G150" i="119"/>
  <c r="H150" s="1"/>
  <c r="U64" i="112"/>
  <c r="G154" i="119"/>
  <c r="H154" s="1"/>
  <c r="U71" i="112"/>
  <c r="G158" i="119"/>
  <c r="H158"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07" i="119" s="1"/>
  <c r="H107" s="1"/>
  <c r="T16" i="110"/>
  <c r="S16"/>
  <c r="T15"/>
  <c r="S15"/>
  <c r="U5"/>
  <c r="T5"/>
  <c r="D29" i="109"/>
  <c r="U4"/>
  <c r="T4"/>
  <c r="U2"/>
  <c r="T2"/>
  <c r="S2"/>
  <c r="T37" i="108"/>
  <c r="S37"/>
  <c r="T31"/>
  <c r="S31"/>
  <c r="D39"/>
  <c r="T25"/>
  <c r="S25"/>
  <c r="G12" i="119" s="1"/>
  <c r="H12" s="1"/>
  <c r="T19" i="108"/>
  <c r="S19"/>
  <c r="G11" i="119" s="1"/>
  <c r="H11" s="1"/>
  <c r="T13" i="108"/>
  <c r="S13"/>
  <c r="U4"/>
  <c r="T4"/>
  <c r="U2"/>
  <c r="T2"/>
  <c r="S2"/>
  <c r="T49" i="107"/>
  <c r="S49"/>
  <c r="G9" i="119" s="1"/>
  <c r="H9" s="1"/>
  <c r="T43" i="107"/>
  <c r="S43"/>
  <c r="G8" i="119" s="1"/>
  <c r="H8" s="1"/>
  <c r="T37" i="107"/>
  <c r="S37"/>
  <c r="G7" i="119" s="1"/>
  <c r="H7" s="1"/>
  <c r="T31" i="107"/>
  <c r="S31"/>
  <c r="G6" i="119" s="1"/>
  <c r="H6" s="1"/>
  <c r="T19" i="107"/>
  <c r="S19"/>
  <c r="G4" i="119" s="1"/>
  <c r="H4" s="1"/>
  <c r="S13" i="107"/>
  <c r="T13"/>
  <c r="T25"/>
  <c r="S25"/>
  <c r="G5" i="119" s="1"/>
  <c r="H5" s="1"/>
  <c r="U4" i="107"/>
  <c r="T4"/>
  <c r="U2"/>
  <c r="T2"/>
  <c r="S2"/>
  <c r="T75" i="106"/>
  <c r="S75"/>
  <c r="T74"/>
  <c r="S74"/>
  <c r="T73"/>
  <c r="S73"/>
  <c r="T72"/>
  <c r="S72"/>
  <c r="T67"/>
  <c r="S67"/>
  <c r="T66"/>
  <c r="S66"/>
  <c r="T65"/>
  <c r="S65"/>
  <c r="T64"/>
  <c r="S64"/>
  <c r="G49" i="119" s="1"/>
  <c r="H49" s="1"/>
  <c r="S2" i="106"/>
  <c r="U2"/>
  <c r="T2"/>
  <c r="T57"/>
  <c r="S57"/>
  <c r="T56"/>
  <c r="S56"/>
  <c r="T55"/>
  <c r="S55"/>
  <c r="G46" i="119" s="1"/>
  <c r="H46" s="1"/>
  <c r="T54" i="106"/>
  <c r="S54"/>
  <c r="T50"/>
  <c r="S50"/>
  <c r="T49"/>
  <c r="S49"/>
  <c r="T48"/>
  <c r="S48"/>
  <c r="T47"/>
  <c r="S47"/>
  <c r="G41" i="119" s="1"/>
  <c r="H41" s="1"/>
  <c r="T40" i="106"/>
  <c r="S40"/>
  <c r="T39"/>
  <c r="S39"/>
  <c r="T38"/>
  <c r="S38"/>
  <c r="T37"/>
  <c r="S37"/>
  <c r="T33"/>
  <c r="S33"/>
  <c r="T32"/>
  <c r="S32"/>
  <c r="T31"/>
  <c r="S31"/>
  <c r="T30"/>
  <c r="S30"/>
  <c r="G33" i="119" s="1"/>
  <c r="H33" s="1"/>
  <c r="T23" i="106"/>
  <c r="S23"/>
  <c r="T22"/>
  <c r="S22"/>
  <c r="T21"/>
  <c r="S21"/>
  <c r="T20"/>
  <c r="S20"/>
  <c r="T16"/>
  <c r="S16"/>
  <c r="T15"/>
  <c r="S15"/>
  <c r="T14"/>
  <c r="S14"/>
  <c r="T13"/>
  <c r="S13"/>
  <c r="G25" i="119" s="1"/>
  <c r="H25" s="1"/>
  <c r="U4" i="106"/>
  <c r="T4"/>
  <c r="T5" i="95"/>
  <c r="U5"/>
  <c r="U3"/>
  <c r="T3"/>
  <c r="S3"/>
  <c r="J107" i="119" l="1"/>
  <c r="I107"/>
  <c r="I134"/>
  <c r="J134"/>
  <c r="I144"/>
  <c r="J144"/>
  <c r="J152"/>
  <c r="I152"/>
  <c r="I151"/>
  <c r="J151"/>
  <c r="I9"/>
  <c r="J9"/>
  <c r="J49"/>
  <c r="I49"/>
  <c r="I150"/>
  <c r="J150"/>
  <c r="I177"/>
  <c r="J177"/>
  <c r="I25"/>
  <c r="J25"/>
  <c r="I157"/>
  <c r="J157"/>
  <c r="J129"/>
  <c r="I129"/>
  <c r="I156"/>
  <c r="J156"/>
  <c r="I12"/>
  <c r="J12"/>
  <c r="I6"/>
  <c r="J6"/>
  <c r="J158"/>
  <c r="I158"/>
  <c r="J142"/>
  <c r="I142"/>
  <c r="I165"/>
  <c r="J165"/>
  <c r="I160"/>
  <c r="J160"/>
  <c r="I141"/>
  <c r="J141"/>
  <c r="I155"/>
  <c r="J155"/>
  <c r="I139"/>
  <c r="J139"/>
  <c r="J15"/>
  <c r="I15"/>
  <c r="I8"/>
  <c r="J8"/>
  <c r="I149"/>
  <c r="J149"/>
  <c r="I148"/>
  <c r="J148"/>
  <c r="J41"/>
  <c r="I41"/>
  <c r="I5"/>
  <c r="J5"/>
  <c r="J138"/>
  <c r="I138"/>
  <c r="I181"/>
  <c r="J181"/>
  <c r="I135"/>
  <c r="J135"/>
  <c r="J11"/>
  <c r="I11"/>
  <c r="I136"/>
  <c r="J136"/>
  <c r="I147"/>
  <c r="J147"/>
  <c r="J145"/>
  <c r="I145"/>
  <c r="J33"/>
  <c r="I33"/>
  <c r="J7"/>
  <c r="I7"/>
  <c r="I154"/>
  <c r="J154"/>
  <c r="I140"/>
  <c r="J140"/>
  <c r="I4"/>
  <c r="J4"/>
  <c r="J146"/>
  <c r="I146"/>
  <c r="I130"/>
  <c r="J130"/>
  <c r="J137"/>
  <c r="I137"/>
  <c r="I173"/>
  <c r="J173"/>
  <c r="J153"/>
  <c r="I153"/>
  <c r="I159"/>
  <c r="J159"/>
  <c r="J143"/>
  <c r="I143"/>
  <c r="I132"/>
  <c r="J132"/>
  <c r="I133"/>
  <c r="J133"/>
  <c r="I163"/>
  <c r="J163"/>
  <c r="I164"/>
  <c r="J164"/>
  <c r="I166"/>
  <c r="J166"/>
  <c r="J168"/>
  <c r="I168"/>
  <c r="I167"/>
  <c r="J167"/>
  <c r="I171"/>
  <c r="J171"/>
  <c r="I172"/>
  <c r="J172"/>
  <c r="J170"/>
  <c r="I170"/>
  <c r="J176"/>
  <c r="I176"/>
  <c r="I175"/>
  <c r="J175"/>
  <c r="I174"/>
  <c r="J174"/>
  <c r="I179"/>
  <c r="J179"/>
  <c r="J178"/>
  <c r="I178"/>
  <c r="J180"/>
  <c r="I180"/>
  <c r="J182"/>
  <c r="I182"/>
  <c r="J183"/>
  <c r="I183"/>
  <c r="J184"/>
  <c r="I184"/>
  <c r="I46"/>
  <c r="J46"/>
  <c r="H24" i="88"/>
  <c r="H20"/>
  <c r="S4" i="114"/>
  <c r="M4" s="1"/>
  <c r="G13" i="119"/>
  <c r="H13" s="1"/>
  <c r="G14"/>
  <c r="H14" s="1"/>
  <c r="U66" i="106"/>
  <c r="G51" i="119"/>
  <c r="H51" s="1"/>
  <c r="U33" i="106"/>
  <c r="G36" i="119"/>
  <c r="H36" s="1"/>
  <c r="U57" i="106"/>
  <c r="G48" i="119"/>
  <c r="H48" s="1"/>
  <c r="U24" i="110"/>
  <c r="G111" i="119"/>
  <c r="H111" s="1"/>
  <c r="U49" i="110"/>
  <c r="G123" i="119"/>
  <c r="H123" s="1"/>
  <c r="U15" i="106"/>
  <c r="G27" i="119"/>
  <c r="H27" s="1"/>
  <c r="U56" i="106"/>
  <c r="G47" i="119"/>
  <c r="H47" s="1"/>
  <c r="U18" i="110"/>
  <c r="G108" i="119"/>
  <c r="H108" s="1"/>
  <c r="U32" i="110"/>
  <c r="G114" i="119"/>
  <c r="H114" s="1"/>
  <c r="U39" i="110"/>
  <c r="G118" i="119"/>
  <c r="H118" s="1"/>
  <c r="U48" i="110"/>
  <c r="G122" i="119"/>
  <c r="H122" s="1"/>
  <c r="U55" i="110"/>
  <c r="G126" i="119"/>
  <c r="H126" s="1"/>
  <c r="U72" i="106"/>
  <c r="G53" i="119"/>
  <c r="H53" s="1"/>
  <c r="U74" i="106"/>
  <c r="G55" i="119"/>
  <c r="H55" s="1"/>
  <c r="U16" i="106"/>
  <c r="G28" i="119"/>
  <c r="H28" s="1"/>
  <c r="U50" i="106"/>
  <c r="G44" i="119"/>
  <c r="H44" s="1"/>
  <c r="U33" i="110"/>
  <c r="G115" i="119"/>
  <c r="H115" s="1"/>
  <c r="U32" i="106"/>
  <c r="G35" i="119"/>
  <c r="H35" s="1"/>
  <c r="U49" i="106"/>
  <c r="G43" i="119"/>
  <c r="H43" s="1"/>
  <c r="U21" i="106"/>
  <c r="G30" i="119"/>
  <c r="H30" s="1"/>
  <c r="U31" i="106"/>
  <c r="G34" i="119"/>
  <c r="H34" s="1"/>
  <c r="U38" i="106"/>
  <c r="G38" i="119"/>
  <c r="H38" s="1"/>
  <c r="U48" i="106"/>
  <c r="G42" i="119"/>
  <c r="H42" s="1"/>
  <c r="U31" i="110"/>
  <c r="G113" i="119"/>
  <c r="H113" s="1"/>
  <c r="U38" i="110"/>
  <c r="G117" i="119"/>
  <c r="H117" s="1"/>
  <c r="U47" i="110"/>
  <c r="G121" i="119"/>
  <c r="H121" s="1"/>
  <c r="U54" i="110"/>
  <c r="G125" i="119"/>
  <c r="H125" s="1"/>
  <c r="U40" i="106"/>
  <c r="G40" i="119"/>
  <c r="H40" s="1"/>
  <c r="U65" i="106"/>
  <c r="G50" i="119"/>
  <c r="H50" s="1"/>
  <c r="U22" i="106"/>
  <c r="G31" i="119"/>
  <c r="H31" s="1"/>
  <c r="U67" i="106"/>
  <c r="G52" i="119"/>
  <c r="H52" s="1"/>
  <c r="U23" i="106"/>
  <c r="G32" i="119"/>
  <c r="H32" s="1"/>
  <c r="S7" i="110"/>
  <c r="G105" i="119"/>
  <c r="H105" s="1"/>
  <c r="U40" i="110"/>
  <c r="G119" i="119"/>
  <c r="H119" s="1"/>
  <c r="U56" i="110"/>
  <c r="G127" i="119"/>
  <c r="H127" s="1"/>
  <c r="U73" i="106"/>
  <c r="G54" i="119"/>
  <c r="H54" s="1"/>
  <c r="U39" i="106"/>
  <c r="G39" i="119"/>
  <c r="H39" s="1"/>
  <c r="U14" i="106"/>
  <c r="G26" i="119"/>
  <c r="H26" s="1"/>
  <c r="U75" i="106"/>
  <c r="G56" i="119"/>
  <c r="H56" s="1"/>
  <c r="U20" i="106"/>
  <c r="V23" s="1"/>
  <c r="G29" i="119"/>
  <c r="H29" s="1"/>
  <c r="U37" i="106"/>
  <c r="G37" i="119"/>
  <c r="H37" s="1"/>
  <c r="U54" i="106"/>
  <c r="G45" i="119"/>
  <c r="H45" s="1"/>
  <c r="U16" i="110"/>
  <c r="G106" i="119"/>
  <c r="H106" s="1"/>
  <c r="U25" i="110"/>
  <c r="G112" i="119"/>
  <c r="H112" s="1"/>
  <c r="U34" i="110"/>
  <c r="G116" i="119"/>
  <c r="H116" s="1"/>
  <c r="U41" i="110"/>
  <c r="G120" i="119"/>
  <c r="H120" s="1"/>
  <c r="U50" i="110"/>
  <c r="G124" i="119"/>
  <c r="H124" s="1"/>
  <c r="U57" i="110"/>
  <c r="G128" i="119"/>
  <c r="H128" s="1"/>
  <c r="U55" i="106"/>
  <c r="S7"/>
  <c r="H19" i="88"/>
  <c r="G3" i="119"/>
  <c r="H3" s="1"/>
  <c r="G10"/>
  <c r="H10"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1" i="119" s="1"/>
  <c r="H61" s="1"/>
  <c r="T16" i="105"/>
  <c r="S16"/>
  <c r="T15"/>
  <c r="S15"/>
  <c r="T14"/>
  <c r="S14"/>
  <c r="G58" i="119" s="1"/>
  <c r="H58" s="1"/>
  <c r="T13" i="105"/>
  <c r="S13"/>
  <c r="G57" i="119" s="1"/>
  <c r="H57" s="1"/>
  <c r="S6" i="107" l="1"/>
  <c r="I10" i="119"/>
  <c r="J10"/>
  <c r="I13"/>
  <c r="J13"/>
  <c r="I29"/>
  <c r="J29"/>
  <c r="I111"/>
  <c r="J111"/>
  <c r="I105"/>
  <c r="J105"/>
  <c r="I53"/>
  <c r="J53"/>
  <c r="I124"/>
  <c r="J124"/>
  <c r="I106"/>
  <c r="J106"/>
  <c r="I127"/>
  <c r="J127"/>
  <c r="J125"/>
  <c r="I125"/>
  <c r="J122"/>
  <c r="I122"/>
  <c r="J57"/>
  <c r="I57"/>
  <c r="I112"/>
  <c r="J112"/>
  <c r="I126"/>
  <c r="J126"/>
  <c r="J14"/>
  <c r="I14"/>
  <c r="I123"/>
  <c r="J123"/>
  <c r="J61"/>
  <c r="I61"/>
  <c r="I128"/>
  <c r="J128"/>
  <c r="I108"/>
  <c r="J108"/>
  <c r="I116"/>
  <c r="J116"/>
  <c r="I117"/>
  <c r="J117"/>
  <c r="J114"/>
  <c r="I114"/>
  <c r="I120"/>
  <c r="J120"/>
  <c r="I45"/>
  <c r="J45"/>
  <c r="J119"/>
  <c r="I119"/>
  <c r="I121"/>
  <c r="J121"/>
  <c r="J118"/>
  <c r="I118"/>
  <c r="J113"/>
  <c r="I113"/>
  <c r="I37"/>
  <c r="J37"/>
  <c r="I115"/>
  <c r="J115"/>
  <c r="J3"/>
  <c r="I3"/>
  <c r="J58"/>
  <c r="I58"/>
  <c r="I27"/>
  <c r="J27"/>
  <c r="I28"/>
  <c r="J28"/>
  <c r="J26"/>
  <c r="I26"/>
  <c r="I55"/>
  <c r="J55"/>
  <c r="J56"/>
  <c r="I56"/>
  <c r="I54"/>
  <c r="J54"/>
  <c r="J50"/>
  <c r="I50"/>
  <c r="I51"/>
  <c r="J51"/>
  <c r="I52"/>
  <c r="J52"/>
  <c r="I48"/>
  <c r="J48"/>
  <c r="I47"/>
  <c r="J47"/>
  <c r="V57" i="106"/>
  <c r="J42" i="119"/>
  <c r="I42"/>
  <c r="J43"/>
  <c r="I43"/>
  <c r="I44"/>
  <c r="J44"/>
  <c r="I38"/>
  <c r="J38"/>
  <c r="J40"/>
  <c r="I40"/>
  <c r="I39"/>
  <c r="J39"/>
  <c r="J30"/>
  <c r="I30"/>
  <c r="J31"/>
  <c r="I31"/>
  <c r="J32"/>
  <c r="I32"/>
  <c r="I35"/>
  <c r="J35"/>
  <c r="I36"/>
  <c r="J36"/>
  <c r="J34"/>
  <c r="I34"/>
  <c r="V75" i="106"/>
  <c r="V50"/>
  <c r="V40"/>
  <c r="U29" i="105"/>
  <c r="G65" i="119"/>
  <c r="H65" s="1"/>
  <c r="U16" i="105"/>
  <c r="G60" i="119"/>
  <c r="H60" s="1"/>
  <c r="U23" i="105"/>
  <c r="G64" i="119"/>
  <c r="H64" s="1"/>
  <c r="U15" i="105"/>
  <c r="G59" i="119"/>
  <c r="H59" s="1"/>
  <c r="U22" i="105"/>
  <c r="G63" i="119"/>
  <c r="H63" s="1"/>
  <c r="U31" i="105"/>
  <c r="G67" i="119"/>
  <c r="H67" s="1"/>
  <c r="G71"/>
  <c r="H71" s="1"/>
  <c r="U47" i="105"/>
  <c r="G75" i="119"/>
  <c r="H75" s="1"/>
  <c r="U54" i="105"/>
  <c r="G79" i="119"/>
  <c r="H79" s="1"/>
  <c r="V67" i="106"/>
  <c r="U32" i="105"/>
  <c r="G68" i="119"/>
  <c r="H68" s="1"/>
  <c r="G72"/>
  <c r="H72" s="1"/>
  <c r="W40" i="106"/>
  <c r="U52" i="105"/>
  <c r="G77" i="119"/>
  <c r="H77" s="1"/>
  <c r="U55" i="105"/>
  <c r="G80" i="119"/>
  <c r="H80" s="1"/>
  <c r="U21" i="105"/>
  <c r="G62" i="119"/>
  <c r="H62" s="1"/>
  <c r="U30" i="105"/>
  <c r="G66" i="119"/>
  <c r="H66" s="1"/>
  <c r="G70"/>
  <c r="H70" s="1"/>
  <c r="U53" i="105"/>
  <c r="G78" i="119"/>
  <c r="H78" s="1"/>
  <c r="U36" i="105"/>
  <c r="G69" i="119"/>
  <c r="H69" s="1"/>
  <c r="U45" i="105"/>
  <c r="G73" i="119"/>
  <c r="H73" s="1"/>
  <c r="U46" i="105"/>
  <c r="G74" i="119"/>
  <c r="H74"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81" i="119" s="1"/>
  <c r="H81" s="1"/>
  <c r="D14" i="88"/>
  <c r="D7"/>
  <c r="H2"/>
  <c r="I81" i="119" l="1"/>
  <c r="J81"/>
  <c r="I77"/>
  <c r="J77"/>
  <c r="J65"/>
  <c r="I65"/>
  <c r="I69"/>
  <c r="J69"/>
  <c r="I73"/>
  <c r="J73"/>
  <c r="J78"/>
  <c r="I78"/>
  <c r="I80"/>
  <c r="J80"/>
  <c r="I79"/>
  <c r="J79"/>
  <c r="J74"/>
  <c r="I74"/>
  <c r="J75"/>
  <c r="I75"/>
  <c r="I72"/>
  <c r="J72"/>
  <c r="I71"/>
  <c r="J71"/>
  <c r="I66"/>
  <c r="J66"/>
  <c r="I70"/>
  <c r="J70"/>
  <c r="I68"/>
  <c r="J68"/>
  <c r="I67"/>
  <c r="J67"/>
  <c r="I60"/>
  <c r="J60"/>
  <c r="I59"/>
  <c r="J59"/>
  <c r="I64"/>
  <c r="J64"/>
  <c r="I63"/>
  <c r="J63"/>
  <c r="I62"/>
  <c r="J62"/>
  <c r="U38" i="95"/>
  <c r="G93" i="119"/>
  <c r="H93" s="1"/>
  <c r="U24" i="95"/>
  <c r="G87" i="119"/>
  <c r="H87" s="1"/>
  <c r="U56" i="95"/>
  <c r="G103" i="119"/>
  <c r="H103" s="1"/>
  <c r="U32" i="95"/>
  <c r="G90" i="119"/>
  <c r="H90" s="1"/>
  <c r="U34" i="95"/>
  <c r="G92" i="119"/>
  <c r="H92" s="1"/>
  <c r="U33" i="95"/>
  <c r="G91" i="119"/>
  <c r="H91" s="1"/>
  <c r="U40" i="95"/>
  <c r="G95" i="119"/>
  <c r="H95" s="1"/>
  <c r="U22" i="95"/>
  <c r="G85" i="119"/>
  <c r="H85" s="1"/>
  <c r="U49" i="95"/>
  <c r="G99" i="119"/>
  <c r="H99" s="1"/>
  <c r="U16" i="95"/>
  <c r="G82" i="119"/>
  <c r="H82" s="1"/>
  <c r="U18" i="95"/>
  <c r="G84" i="119"/>
  <c r="H84" s="1"/>
  <c r="U55" i="95"/>
  <c r="G102" i="119"/>
  <c r="H102" s="1"/>
  <c r="U31" i="95"/>
  <c r="G89" i="119"/>
  <c r="H89" s="1"/>
  <c r="U17" i="95"/>
  <c r="G83" i="119"/>
  <c r="H83" s="1"/>
  <c r="U47" i="95"/>
  <c r="G97" i="119"/>
  <c r="H97" s="1"/>
  <c r="U54" i="95"/>
  <c r="G101" i="119"/>
  <c r="H101" s="1"/>
  <c r="U23" i="95"/>
  <c r="G86" i="119"/>
  <c r="H86" s="1"/>
  <c r="U39" i="95"/>
  <c r="G94" i="119"/>
  <c r="H94" s="1"/>
  <c r="U25" i="95"/>
  <c r="G88" i="119"/>
  <c r="H88" s="1"/>
  <c r="U41" i="95"/>
  <c r="G96" i="119"/>
  <c r="H96" s="1"/>
  <c r="U50" i="95"/>
  <c r="G100" i="119"/>
  <c r="H100" s="1"/>
  <c r="U57" i="95"/>
  <c r="G104" i="119"/>
  <c r="H104" s="1"/>
  <c r="U48" i="95"/>
  <c r="G98" i="119"/>
  <c r="H98" s="1"/>
  <c r="H12" i="88"/>
  <c r="S5" i="110"/>
  <c r="S7" i="95"/>
  <c r="H15" i="88"/>
  <c r="H10"/>
  <c r="T4" i="95"/>
  <c r="E14" i="88" s="1"/>
  <c r="S5" i="108"/>
  <c r="M5" s="1"/>
  <c r="S4"/>
  <c r="E10" i="88"/>
  <c r="E13"/>
  <c r="S4" i="107"/>
  <c r="T5"/>
  <c r="S5" s="1"/>
  <c r="M5" s="1"/>
  <c r="H9" i="88"/>
  <c r="U4" i="105"/>
  <c r="U15" i="95"/>
  <c r="S4"/>
  <c r="U16" i="88" s="1"/>
  <c r="Q16" s="1"/>
  <c r="J96" i="119" l="1"/>
  <c r="I96"/>
  <c r="I86"/>
  <c r="J86"/>
  <c r="I93"/>
  <c r="J93"/>
  <c r="J94"/>
  <c r="I94"/>
  <c r="I83"/>
  <c r="J83"/>
  <c r="J82"/>
  <c r="I82"/>
  <c r="I87"/>
  <c r="J87"/>
  <c r="I101"/>
  <c r="J101"/>
  <c r="J85"/>
  <c r="I85"/>
  <c r="J89"/>
  <c r="I89"/>
  <c r="I88"/>
  <c r="J88"/>
  <c r="I97"/>
  <c r="J97"/>
  <c r="I84"/>
  <c r="J84"/>
  <c r="J95"/>
  <c r="I95"/>
  <c r="I103"/>
  <c r="J103"/>
  <c r="J104"/>
  <c r="I104"/>
  <c r="I102"/>
  <c r="J102"/>
  <c r="I100"/>
  <c r="J100"/>
  <c r="I99"/>
  <c r="J99"/>
  <c r="I98"/>
  <c r="J98"/>
  <c r="I92"/>
  <c r="J92"/>
  <c r="I91"/>
  <c r="J91"/>
  <c r="I90"/>
  <c r="J90"/>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<sst xmlns="http://schemas.openxmlformats.org/spreadsheetml/2006/main" count="4468" uniqueCount="605">
  <si>
    <t xml:space="preserve"> </t>
  </si>
  <si>
    <t>Maggie Vandehey</t>
  </si>
  <si>
    <t>does not apply</t>
  </si>
  <si>
    <t>Post filing</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</si>
  <si>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</si>
  <si>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</si>
  <si>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</si>
  <si>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</si>
  <si>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</si>
  <si>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</si>
  <si>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</si>
  <si>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</si>
  <si>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</si>
  <si>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</si>
  <si>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</si>
  <si>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</si>
  <si>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</si>
  <si>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</si>
  <si>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</si>
  <si>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</si>
  <si>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</si>
  <si>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</si>
  <si>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</si>
  <si>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</si>
  <si>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</si>
  <si>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</si>
  <si>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</si>
  <si>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</si>
  <si>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</si>
  <si>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</si>
  <si>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</si>
  <si>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</si>
  <si>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</si>
  <si>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</si>
  <si>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</si>
  <si>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</si>
  <si>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</si>
  <si>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</si>
  <si>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</si>
  <si>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</si>
  <si>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Enter location of record</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</si>
  <si>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</si>
  <si>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</si>
  <si>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</si>
  <si>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</si>
  <si>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</si>
  <si>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</si>
  <si>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</si>
  <si>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</si>
  <si>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</si>
  <si>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</si>
  <si>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</si>
  <si>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</si>
  <si>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</si>
  <si>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</si>
  <si>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</si>
  <si>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</si>
  <si>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</si>
  <si>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</si>
  <si>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</si>
  <si>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</si>
  <si>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</si>
  <si>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</si>
  <si>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</si>
  <si>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</si>
  <si>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</si>
  <si>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</si>
  <si>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</si>
  <si>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</si>
  <si>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</si>
  <si>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</si>
  <si>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</si>
  <si>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</si>
  <si>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</si>
  <si>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</si>
  <si>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</si>
  <si>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</si>
  <si>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</si>
  <si>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</si>
  <si>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</si>
  <si>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</si>
  <si>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</si>
  <si>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</si>
  <si>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</si>
  <si>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</si>
  <si>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</si>
  <si>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</si>
  <si>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</si>
  <si>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</si>
  <si>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</si>
  <si>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</si>
  <si>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</si>
  <si>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</si>
  <si>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</si>
  <si>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</si>
  <si>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</si>
  <si>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</si>
  <si>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</si>
  <si>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</si>
  <si>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</si>
  <si>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</si>
  <si>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</si>
  <si>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</si>
  <si>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</si>
  <si>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</si>
  <si>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</si>
  <si>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</si>
  <si>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</si>
  <si>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</si>
  <si>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</si>
  <si>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</si>
  <si>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</si>
  <si>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</si>
  <si>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</si>
  <si>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</si>
  <si>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</si>
  <si>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</si>
  <si>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</si>
  <si>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</si>
  <si>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</si>
  <si>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</si>
  <si>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</si>
  <si>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</si>
  <si>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</si>
  <si>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</si>
  <si>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</si>
  <si>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</si>
  <si>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</si>
  <si>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</si>
  <si>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</si>
  <si>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</si>
  <si>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</si>
  <si>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</si>
  <si>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</si>
  <si>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</si>
  <si>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</si>
  <si>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</si>
  <si>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</si>
  <si>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</si>
  <si>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</si>
  <si>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</si>
  <si>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</si>
  <si>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</si>
  <si>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</si>
  <si>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</si>
  <si>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</si>
  <si>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</si>
  <si>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</si>
  <si>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</si>
  <si>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</si>
  <si>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</si>
  <si>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</si>
  <si>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</si>
  <si>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</si>
  <si>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William Knight</t>
  </si>
  <si>
    <t>Elle Kozlowski</t>
  </si>
  <si>
    <t>Posting program page and required public notice documents to proposed rulemaking page.</t>
  </si>
  <si>
    <t>Post to adopted rules page and archive notices to Q-Net.</t>
  </si>
  <si>
    <t>Risks</t>
  </si>
  <si>
    <t>Low</t>
  </si>
  <si>
    <t>Annual DEQ Rulemaking Plan year</t>
  </si>
  <si>
    <t xml:space="preserve">##### </t>
  </si>
  <si>
    <t>Shortened names</t>
  </si>
  <si>
    <t>Division</t>
  </si>
  <si>
    <t xml:space="preserve">Central rulemaking file, then offsite Archives </t>
  </si>
  <si>
    <t>Project number</t>
  </si>
  <si>
    <t>Y</t>
  </si>
  <si>
    <t>N</t>
  </si>
  <si>
    <t>Work off plate</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</si>
  <si>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 Participates in the EMT’s 2013 DEQ Annual Plan review </t>
    </r>
  </si>
  <si>
    <t>SIP Coordinator</t>
  </si>
  <si>
    <t>Potential messaging</t>
  </si>
  <si>
    <t>Budget analyst</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</si>
  <si>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</si>
  <si>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</si>
  <si>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</si>
  <si>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</si>
  <si>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</si>
  <si>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</si>
  <si>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</si>
  <si>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</si>
  <si>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</si>
  <si>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</si>
  <si>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</si>
  <si>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</si>
  <si>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</si>
  <si>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Jane O'Keeffee</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</si>
  <si>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</si>
  <si>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</si>
  <si>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</si>
  <si>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</si>
  <si>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</si>
  <si>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</si>
  <si>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</si>
  <si>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</si>
  <si>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</si>
  <si>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</si>
  <si>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</si>
  <si>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</si>
  <si>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</si>
  <si>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</si>
  <si>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</si>
  <si>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</si>
  <si>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</si>
  <si>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</si>
  <si>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</si>
  <si>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</si>
  <si>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</si>
  <si>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</si>
  <si>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</si>
  <si>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</si>
  <si>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</si>
  <si>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</si>
  <si>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</si>
  <si>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</si>
  <si>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</si>
  <si>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</si>
  <si>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</si>
  <si>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</si>
  <si>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CR1 name</t>
  </si>
  <si>
    <t>Cr2 name</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</si>
  <si>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</si>
  <si>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</si>
  <si>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</si>
  <si>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</si>
  <si>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</si>
  <si>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</si>
  <si>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</si>
  <si>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</si>
  <si>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</si>
  <si>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</si>
  <si>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</si>
  <si>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</si>
  <si>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</si>
  <si>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</si>
  <si>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</si>
  <si>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</si>
  <si>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</si>
  <si>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</si>
  <si>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</si>
  <si>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</si>
  <si>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</si>
  <si>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</si>
  <si>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</si>
  <si>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</si>
  <si>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</si>
  <si>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</si>
  <si>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</si>
  <si>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</si>
  <si>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</si>
  <si>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</si>
  <si>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</si>
  <si>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</si>
  <si>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</si>
  <si>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</si>
  <si>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</si>
  <si>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</si>
  <si>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</si>
  <si>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</si>
  <si>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</si>
  <si>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</si>
  <si>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</si>
  <si>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</si>
  <si>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</si>
  <si>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</si>
  <si>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</si>
  <si>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</si>
  <si>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</si>
  <si>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</si>
  <si>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</si>
  <si>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</si>
  <si>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</si>
  <si>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</si>
  <si>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</si>
  <si>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</si>
  <si>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</si>
  <si>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</si>
  <si>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</si>
  <si>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</si>
  <si>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</si>
  <si>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</si>
  <si>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</si>
  <si>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</si>
  <si>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</si>
  <si>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</si>
  <si>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</si>
  <si>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</si>
  <si>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</si>
  <si>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</si>
  <si>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</si>
  <si>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</si>
  <si>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</si>
  <si>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</si>
  <si>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</si>
  <si>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</si>
  <si>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</si>
  <si>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</si>
  <si>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</si>
  <si>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</si>
  <si>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</si>
  <si>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</si>
  <si>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</si>
  <si>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</si>
  <si>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</si>
  <si>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</si>
  <si>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</si>
  <si>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</si>
  <si>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</si>
  <si>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</si>
  <si>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</si>
  <si>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</si>
  <si>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</si>
  <si>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</si>
  <si>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</si>
  <si>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</si>
  <si>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</si>
  <si>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</si>
  <si>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</si>
  <si>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</si>
  <si>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</si>
  <si>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</si>
  <si>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</si>
  <si>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</si>
  <si>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</si>
  <si>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</si>
  <si>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</si>
  <si>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</si>
  <si>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</si>
  <si>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</si>
  <si>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</si>
  <si>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</si>
  <si>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</si>
  <si>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</si>
  <si>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</si>
  <si>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</si>
  <si>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</si>
  <si>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</si>
  <si>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</si>
  <si>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</si>
  <si>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</si>
  <si>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</si>
  <si>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</si>
  <si>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</si>
  <si>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</si>
  <si>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</si>
  <si>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</si>
  <si>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</si>
  <si>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</si>
  <si>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</si>
  <si>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</si>
  <si>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</si>
  <si>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</si>
  <si>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</si>
  <si>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</si>
  <si>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</si>
  <si>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</si>
  <si>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</si>
  <si>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</si>
  <si>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</si>
  <si>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</si>
  <si>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</si>
  <si>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</si>
  <si>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</si>
  <si>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</si>
  <si>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</si>
  <si>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</si>
  <si>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</si>
  <si>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</si>
  <si>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</si>
  <si>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</si>
  <si>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</si>
  <si>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</si>
  <si>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</si>
  <si>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</si>
  <si>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</si>
  <si>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</si>
  <si>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</si>
  <si>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</si>
  <si>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</si>
  <si>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</si>
  <si>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</si>
  <si>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</si>
  <si>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</si>
  <si>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</si>
  <si>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</si>
  <si>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</si>
  <si>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</si>
  <si>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</si>
  <si>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</si>
  <si>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</si>
  <si>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</si>
  <si>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</si>
  <si>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</si>
  <si>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</si>
  <si>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</si>
  <si>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</si>
  <si>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</si>
  <si>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</si>
  <si>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</si>
  <si>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</si>
  <si>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</si>
  <si>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</si>
  <si>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</si>
  <si>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</si>
  <si>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</si>
  <si>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</si>
  <si>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</si>
  <si>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</si>
  <si>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</si>
  <si>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</si>
  <si>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</si>
  <si>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</si>
  <si>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</si>
  <si>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</si>
  <si>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</si>
  <si>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</si>
  <si>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</si>
  <si>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</si>
  <si>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</si>
  <si>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</si>
  <si>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</si>
  <si>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</si>
  <si>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</si>
  <si>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</si>
  <si>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</si>
  <si>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</si>
  <si>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</si>
  <si>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</si>
  <si>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</si>
  <si>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</si>
  <si>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</si>
  <si>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</si>
  <si>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</si>
  <si>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</si>
  <si>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</si>
  <si>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</si>
  <si>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</si>
  <si>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</si>
  <si>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</si>
  <si>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</si>
  <si>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</si>
  <si>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</si>
  <si>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</si>
  <si>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</si>
  <si>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</si>
  <si>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</si>
  <si>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</si>
  <si>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</si>
  <si>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</si>
  <si>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</si>
  <si>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</si>
  <si>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</si>
  <si>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</si>
  <si>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</si>
  <si>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</si>
  <si>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</si>
  <si>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</si>
  <si>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</si>
  <si>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</si>
  <si>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</si>
  <si>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</si>
  <si>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</si>
  <si>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</si>
  <si>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</si>
  <si>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</si>
  <si>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</si>
  <si>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</si>
  <si>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</si>
  <si>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</si>
  <si>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</si>
  <si>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</si>
  <si>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</si>
  <si>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</si>
  <si>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</si>
  <si>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</si>
  <si>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</si>
  <si>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</si>
  <si>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</si>
  <si>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</si>
  <si>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</si>
  <si>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</si>
  <si>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</si>
  <si>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</si>
  <si>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</si>
  <si>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</si>
  <si>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</si>
  <si>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</si>
  <si>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</si>
  <si>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</si>
  <si>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</si>
  <si>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</si>
  <si>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</si>
  <si>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</si>
  <si>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</si>
  <si>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</si>
  <si>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</si>
  <si>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</si>
  <si>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</si>
  <si>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</si>
  <si>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</si>
  <si>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</si>
  <si>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</si>
  <si>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</si>
  <si>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</si>
  <si>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</si>
  <si>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</si>
  <si>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</si>
  <si>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</si>
  <si>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</si>
  <si>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</si>
  <si>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</si>
  <si>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</si>
  <si>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</si>
  <si>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</si>
  <si>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</si>
  <si>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</si>
  <si>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</si>
  <si>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</si>
  <si>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</si>
  <si>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</si>
  <si>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</si>
  <si>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</si>
  <si>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</si>
  <si>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</si>
  <si>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</si>
  <si>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</si>
  <si>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</si>
  <si>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</si>
  <si>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</si>
  <si>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</si>
  <si>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</si>
  <si>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</si>
  <si>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</si>
  <si>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</si>
  <si>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</si>
  <si>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</si>
  <si>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</si>
  <si>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</si>
  <si>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</si>
  <si>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</si>
  <si>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</si>
  <si>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</si>
  <si>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</si>
  <si>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</si>
  <si>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</si>
  <si>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</si>
  <si>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</si>
  <si>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</si>
  <si>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</si>
  <si>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</si>
  <si>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</si>
  <si>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</si>
  <si>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</si>
  <si>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</si>
  <si>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</si>
  <si>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</si>
  <si>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</si>
  <si>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</si>
  <si>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</si>
  <si>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</si>
  <si>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</si>
  <si>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</si>
  <si>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</si>
  <si>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</si>
  <si>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</si>
  <si>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</si>
  <si>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</si>
  <si>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</si>
  <si>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</si>
  <si>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</si>
  <si>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</si>
  <si>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</si>
  <si>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</si>
  <si>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</si>
  <si>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</si>
  <si>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</si>
  <si>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</si>
  <si>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</si>
  <si>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</si>
  <si>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</si>
  <si>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</si>
  <si>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</si>
  <si>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</si>
  <si>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</si>
  <si>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</si>
  <si>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</si>
  <si>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</si>
  <si>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</si>
  <si>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Christine Svetkovich</t>
  </si>
  <si>
    <t>AQ</t>
  </si>
  <si>
    <t>Updates to Oregon's State Implementation Plan</t>
  </si>
  <si>
    <t>not applicable</t>
  </si>
  <si>
    <t>Nancy Cardwell</t>
  </si>
  <si>
    <t>David Collier</t>
  </si>
  <si>
    <t>Uri Papish</t>
  </si>
  <si>
    <t>Andrea Gartenbaum</t>
  </si>
  <si>
    <t>Paul Garrahan</t>
  </si>
  <si>
    <t>Public notice document review</t>
  </si>
  <si>
    <t>Ensuring DEQ's rulemaking meets EPA standards for updating the SIP</t>
  </si>
  <si>
    <t>SIPPM25</t>
  </si>
  <si>
    <t>Kristin Hall</t>
  </si>
  <si>
    <t>AQ regional management team</t>
  </si>
  <si>
    <t>Affect on permits</t>
  </si>
  <si>
    <t>Stephanie Caldera, Brian White</t>
  </si>
  <si>
    <t>Update Oregon State Implementation Plan for PM 2.5 National Ambient Air Quality Standards</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</si>
</sst>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2">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58">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8" fillId="0" borderId="4" xfId="0" applyNumberFormat="1" applyFont="1" applyFill="1" applyBorder="1" applyAlignment="1">
      <alignment horizontal="left" vertical="top"/>
    </xf>
    <xf numFmtId="164" fontId="108"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9" fillId="2" borderId="12" xfId="1" applyNumberFormat="1" applyFont="1" applyFill="1" applyBorder="1" applyAlignment="1" applyProtection="1">
      <alignment horizontal="left" vertical="center"/>
    </xf>
    <xf numFmtId="0" fontId="109" fillId="2" borderId="4" xfId="1" applyNumberFormat="1" applyFont="1" applyFill="1" applyBorder="1" applyAlignment="1" applyProtection="1">
      <alignment horizontal="right" vertical="center"/>
    </xf>
    <xf numFmtId="164" fontId="111"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9" fillId="2" borderId="7" xfId="1" applyNumberFormat="1" applyFont="1" applyFill="1" applyBorder="1" applyAlignment="1" applyProtection="1">
      <alignment horizontal="left" vertical="center"/>
      <protection locked="0"/>
    </xf>
    <xf numFmtId="0" fontId="109"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8"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3" fillId="2" borderId="8" xfId="0" applyNumberFormat="1" applyFont="1" applyFill="1" applyBorder="1" applyAlignment="1">
      <alignment horizontal="right" vertical="center"/>
    </xf>
    <xf numFmtId="1" fontId="113" fillId="2" borderId="8" xfId="0" applyNumberFormat="1" applyFont="1" applyFill="1" applyBorder="1" applyAlignment="1" applyProtection="1">
      <alignment horizontal="right" vertical="center"/>
    </xf>
    <xf numFmtId="1" fontId="113" fillId="2" borderId="8" xfId="0" applyNumberFormat="1" applyFont="1" applyFill="1" applyBorder="1" applyAlignment="1">
      <alignment horizontal="right"/>
    </xf>
    <xf numFmtId="1" fontId="114"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2"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6" fillId="22" borderId="0" xfId="0" applyNumberFormat="1" applyFont="1" applyFill="1" applyAlignment="1">
      <alignment horizontal="center" vertical="top"/>
    </xf>
    <xf numFmtId="2" fontId="117"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5" fillId="20" borderId="0" xfId="0" applyNumberFormat="1" applyFont="1" applyFill="1" applyAlignment="1">
      <alignment horizontal="center" vertical="top"/>
    </xf>
    <xf numFmtId="2" fontId="118"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4" fontId="2" fillId="2" borderId="4" xfId="1" applyFill="1" applyBorder="1" applyAlignment="1" applyProtection="1">
      <alignment horizontal="left" vertical="center"/>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2" fillId="0" borderId="4" xfId="1" applyBorder="1" applyAlignment="1" applyProtection="1"/>
    <xf numFmtId="164" fontId="2" fillId="2" borderId="4" xfId="1" applyFill="1" applyBorder="1" applyAlignment="1" applyProtection="1">
      <alignment horizontal="left" vertical="center"/>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0" fontId="18" fillId="2" borderId="1"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protection locked="0"/>
    </xf>
    <xf numFmtId="0" fontId="109" fillId="0" borderId="4" xfId="1" applyNumberFormat="1" applyFont="1" applyFill="1" applyBorder="1" applyAlignment="1" applyProtection="1">
      <alignment horizontal="left" vertical="center"/>
    </xf>
    <xf numFmtId="0" fontId="109" fillId="0" borderId="4" xfId="1" applyNumberFormat="1" applyFont="1" applyFill="1" applyBorder="1" applyAlignment="1" applyProtection="1">
      <alignment horizontal="right" vertical="center"/>
    </xf>
    <xf numFmtId="169" fontId="119" fillId="25" borderId="0" xfId="0" applyNumberFormat="1" applyFont="1" applyFill="1" applyAlignment="1">
      <alignment horizontal="center"/>
    </xf>
    <xf numFmtId="169" fontId="79" fillId="7" borderId="0" xfId="0" applyNumberFormat="1" applyFont="1" applyFill="1" applyAlignment="1">
      <alignment horizontal="left" inden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77" fillId="2" borderId="0" xfId="0" applyFont="1" applyFill="1" applyBorder="1" applyAlignment="1">
      <alignment vertical="center"/>
    </xf>
    <xf numFmtId="164" fontId="0" fillId="0" borderId="0" xfId="0"/>
    <xf numFmtId="164" fontId="0" fillId="0" borderId="10" xfId="0" applyBorder="1"/>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4" fontId="70" fillId="0" borderId="12" xfId="0" applyFont="1" applyBorder="1" applyAlignment="1">
      <alignment horizontal="center"/>
    </xf>
    <xf numFmtId="1" fontId="73" fillId="0" borderId="1" xfId="0" applyNumberFormat="1" applyFont="1" applyBorder="1" applyAlignment="1">
      <alignment horizontal="right"/>
    </xf>
    <xf numFmtId="164" fontId="0" fillId="0" borderId="2" xfId="0" applyBorder="1"/>
    <xf numFmtId="164" fontId="0" fillId="0" borderId="3" xfId="0" applyBorder="1"/>
    <xf numFmtId="165" fontId="28" fillId="11" borderId="14" xfId="0" applyNumberFormat="1" applyFont="1" applyFill="1" applyBorder="1" applyAlignment="1"/>
    <xf numFmtId="164" fontId="93" fillId="2" borderId="0" xfId="0" applyFont="1" applyFill="1" applyAlignment="1">
      <alignment horizontal="right" vertical="top" wrapText="1"/>
    </xf>
    <xf numFmtId="1" fontId="73" fillId="0" borderId="1" xfId="0" applyNumberFormat="1" applyFont="1" applyBorder="1" applyAlignment="1"/>
    <xf numFmtId="164" fontId="37" fillId="2" borderId="0" xfId="0" applyFont="1" applyFill="1" applyBorder="1" applyAlignment="1">
      <alignment horizontal="right" vertical="center"/>
    </xf>
    <xf numFmtId="3" fontId="37" fillId="2" borderId="31" xfId="0" applyNumberFormat="1" applyFont="1" applyFill="1" applyBorder="1" applyAlignment="1">
      <alignment horizontal="right" vertical="center" wrapText="1"/>
    </xf>
    <xf numFmtId="167" fontId="37" fillId="2" borderId="9" xfId="12" applyNumberFormat="1" applyFont="1" applyFill="1" applyBorder="1" applyAlignment="1">
      <alignment horizontal="right" vertical="center" wrapText="1"/>
    </xf>
    <xf numFmtId="166" fontId="28" fillId="2" borderId="39" xfId="0" applyNumberFormat="1" applyFont="1" applyFill="1" applyBorder="1" applyAlignment="1">
      <alignment horizontal="right" vertical="top" wrapTex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164" fontId="7" fillId="12" borderId="24" xfId="0" applyFont="1" applyFill="1" applyBorder="1" applyAlignment="1">
      <alignment horizontal="left"/>
    </xf>
    <xf numFmtId="0" fontId="109" fillId="2" borderId="1" xfId="1" applyNumberFormat="1" applyFont="1" applyFill="1" applyBorder="1" applyAlignment="1" applyProtection="1">
      <alignment horizontal="left" vertical="center"/>
      <protection locked="0"/>
    </xf>
    <xf numFmtId="0" fontId="109" fillId="2" borderId="2" xfId="1" applyNumberFormat="1" applyFont="1" applyFill="1" applyBorder="1" applyAlignment="1" applyProtection="1">
      <alignment horizontal="left" vertical="center"/>
      <protection locked="0"/>
    </xf>
    <xf numFmtId="0" fontId="109"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09" fillId="2" borderId="1" xfId="1" applyNumberFormat="1" applyFont="1" applyFill="1" applyBorder="1" applyAlignment="1" applyProtection="1">
      <alignment horizontal="left" vertical="center"/>
    </xf>
    <xf numFmtId="0" fontId="110" fillId="2" borderId="1" xfId="1" applyNumberFormat="1" applyFont="1" applyFill="1" applyBorder="1" applyAlignment="1" applyProtection="1">
      <alignment horizontal="left" vertical="center"/>
    </xf>
    <xf numFmtId="0" fontId="110" fillId="2" borderId="2" xfId="1" applyNumberFormat="1" applyFont="1" applyFill="1" applyBorder="1" applyAlignment="1" applyProtection="1">
      <alignment horizontal="left" vertical="center"/>
    </xf>
    <xf numFmtId="0" fontId="110"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9" fillId="2" borderId="1" xfId="1" applyNumberFormat="1" applyFont="1" applyFill="1" applyBorder="1" applyAlignment="1" applyProtection="1">
      <alignment vertical="center"/>
      <protection locked="0"/>
    </xf>
    <xf numFmtId="49" fontId="109" fillId="2" borderId="2" xfId="1" applyNumberFormat="1" applyFont="1" applyFill="1" applyBorder="1" applyAlignment="1" applyProtection="1">
      <alignment vertical="center"/>
      <protection locked="0"/>
    </xf>
    <xf numFmtId="49" fontId="109"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9" fillId="2" borderId="1" xfId="1" applyNumberFormat="1" applyFont="1" applyFill="1" applyBorder="1" applyAlignment="1" applyProtection="1">
      <alignment horizontal="center" vertical="center"/>
      <protection locked="0"/>
    </xf>
    <xf numFmtId="0" fontId="109"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164" fontId="99"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31" fillId="2" borderId="2" xfId="0" applyFont="1" applyFill="1" applyBorder="1" applyAlignment="1">
      <alignment horizontal="center" wrapText="1"/>
    </xf>
    <xf numFmtId="164" fontId="112" fillId="2" borderId="0" xfId="0" applyFont="1" applyFill="1" applyBorder="1" applyAlignment="1">
      <alignmen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xf numFmtId="164" fontId="0" fillId="2" borderId="4" xfId="0" applyFill="1" applyBorder="1" applyAlignment="1">
      <alignment horizontal="left"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file:///\\DEQ001\StandardBuild\Configuration\DEQApplications" TargetMode="External"/><Relationship Id="rId7" Type="http://schemas.openxmlformats.org/officeDocument/2006/relationships/vmlDrawing" Target="../drawings/vmlDrawing2.vml"/><Relationship Id="rId2" Type="http://schemas.openxmlformats.org/officeDocument/2006/relationships/hyperlink" Target="mailto:Comment-AaaaAaaa@dep.state.or.us" TargetMode="External"/><Relationship Id="rId1" Type="http://schemas.openxmlformats.org/officeDocument/2006/relationships/hyperlink" Target="file:///\\deqhq1\Rule_Development\2013%20Plan"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Comment-AaaaAaaa@deq.state.or.us"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deq05/intranet/MSD/HR/ORGcharts/orgchart.pdf" TargetMode="External"/><Relationship Id="rId1" Type="http://schemas.openxmlformats.org/officeDocument/2006/relationships/hyperlink" Target="http://www.popstoolkit.com/riskmanagement/module/step4/approaches/individuals/brochures.aspx" TargetMode="Externa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7.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
  <cols>
    <col min="1" max="1" width="42.09765625" style="18" customWidth="1"/>
    <col min="2" max="2" width="26.8984375" style="18" customWidth="1"/>
    <col min="3" max="3" width="25.5" style="5" customWidth="1"/>
    <col min="4" max="4" width="17.19921875" style="5" customWidth="1"/>
    <col min="5" max="5" width="9.3984375" style="5" customWidth="1"/>
    <col min="6" max="6" width="15" style="5" bestFit="1" customWidth="1"/>
    <col min="7" max="16384" width="9" style="5"/>
  </cols>
  <sheetData>
    <row r="1" spans="1:6">
      <c r="A1" s="15"/>
      <c r="B1" s="15"/>
      <c r="C1" s="11"/>
      <c r="D1" s="11"/>
      <c r="E1" s="11"/>
    </row>
    <row r="2" spans="1:6">
      <c r="A2" s="15"/>
      <c r="B2" s="15"/>
      <c r="C2" s="11"/>
      <c r="D2" s="11"/>
      <c r="E2" s="11"/>
    </row>
    <row r="3" spans="1:6" ht="22.8">
      <c r="A3" s="17" t="s">
        <v>12</v>
      </c>
      <c r="B3" s="15"/>
      <c r="C3" s="11"/>
      <c r="D3" s="11"/>
      <c r="E3" s="11"/>
    </row>
    <row r="4" spans="1:6">
      <c r="A4" s="16" t="s">
        <v>73</v>
      </c>
      <c r="B4" s="14" t="s">
        <v>25</v>
      </c>
      <c r="C4" s="11" t="s">
        <v>0</v>
      </c>
      <c r="D4" s="11"/>
      <c r="E4" s="11"/>
    </row>
    <row r="5" spans="1:6">
      <c r="A5" s="21" t="s">
        <v>2</v>
      </c>
      <c r="B5" s="22">
        <v>0</v>
      </c>
      <c r="C5" s="11"/>
      <c r="D5" s="11"/>
      <c r="E5" s="11"/>
    </row>
    <row r="6" spans="1:6">
      <c r="A6" s="21" t="s">
        <v>20</v>
      </c>
      <c r="B6" s="22">
        <v>2</v>
      </c>
      <c r="C6" s="11"/>
      <c r="D6" s="11"/>
      <c r="E6" s="11"/>
    </row>
    <row r="7" spans="1:6">
      <c r="A7" s="21" t="s">
        <v>21</v>
      </c>
      <c r="B7" s="22">
        <v>4</v>
      </c>
      <c r="C7" s="11"/>
      <c r="D7" s="11"/>
      <c r="E7" s="11"/>
    </row>
    <row r="8" spans="1:6">
      <c r="A8" s="21" t="s">
        <v>22</v>
      </c>
      <c r="B8" s="22">
        <v>6</v>
      </c>
      <c r="C8" s="11"/>
      <c r="D8" s="11"/>
      <c r="E8" s="11"/>
    </row>
    <row r="9" spans="1:6">
      <c r="A9" s="21" t="s">
        <v>23</v>
      </c>
      <c r="B9" s="22">
        <v>8</v>
      </c>
      <c r="C9" s="11"/>
      <c r="D9" s="11"/>
      <c r="E9" s="11"/>
    </row>
    <row r="10" spans="1:6">
      <c r="A10" s="21" t="s">
        <v>24</v>
      </c>
      <c r="B10" s="22">
        <v>10</v>
      </c>
      <c r="C10" s="11"/>
      <c r="D10" s="11"/>
      <c r="E10" s="11"/>
    </row>
    <row r="11" spans="1:6">
      <c r="A11" s="19" t="s">
        <v>13</v>
      </c>
      <c r="B11" s="20"/>
      <c r="C11" s="11"/>
      <c r="D11" s="11"/>
      <c r="E11" s="11"/>
    </row>
    <row r="12" spans="1:6">
      <c r="A12" s="15"/>
      <c r="B12" s="15"/>
      <c r="C12" s="11"/>
      <c r="D12" s="11"/>
      <c r="E12" s="11"/>
    </row>
    <row r="13" spans="1:6">
      <c r="A13" s="15"/>
      <c r="B13" s="15" t="s">
        <v>318</v>
      </c>
      <c r="C13" s="11"/>
      <c r="D13" s="11"/>
      <c r="E13" s="11"/>
      <c r="F13" s="527"/>
    </row>
    <row r="14" spans="1:6">
      <c r="A14" s="16" t="s">
        <v>74</v>
      </c>
      <c r="B14" s="165" t="s">
        <v>75</v>
      </c>
      <c r="C14" s="165" t="s">
        <v>26</v>
      </c>
      <c r="D14" s="165" t="s">
        <v>27</v>
      </c>
      <c r="E14" s="11"/>
      <c r="F14" s="527"/>
    </row>
    <row r="15" spans="1:6">
      <c r="A15" s="21" t="s">
        <v>224</v>
      </c>
      <c r="B15" s="22">
        <v>0</v>
      </c>
      <c r="C15" s="22">
        <v>0</v>
      </c>
      <c r="D15" s="22">
        <v>0</v>
      </c>
      <c r="E15" s="11"/>
      <c r="F15" s="527"/>
    </row>
    <row r="16" spans="1:6">
      <c r="A16" s="21" t="s">
        <v>226</v>
      </c>
      <c r="B16" s="22">
        <v>1</v>
      </c>
      <c r="C16" s="22">
        <v>1</v>
      </c>
      <c r="D16" s="22">
        <v>8</v>
      </c>
      <c r="E16" s="11"/>
      <c r="F16" s="527"/>
    </row>
    <row r="17" spans="1:6">
      <c r="A17" s="21" t="s">
        <v>227</v>
      </c>
      <c r="B17" s="22">
        <v>2</v>
      </c>
      <c r="C17" s="22">
        <v>8</v>
      </c>
      <c r="D17" s="22">
        <v>40</v>
      </c>
      <c r="E17" s="11"/>
      <c r="F17" s="527"/>
    </row>
    <row r="18" spans="1:6">
      <c r="A18" s="21" t="s">
        <v>228</v>
      </c>
      <c r="B18" s="22">
        <v>3</v>
      </c>
      <c r="C18" s="22">
        <v>40</v>
      </c>
      <c r="D18" s="22">
        <v>80</v>
      </c>
      <c r="E18" s="11"/>
      <c r="F18" s="527"/>
    </row>
    <row r="19" spans="1:6">
      <c r="A19" s="21" t="s">
        <v>229</v>
      </c>
      <c r="B19" s="22">
        <v>4</v>
      </c>
      <c r="C19" s="22">
        <v>80</v>
      </c>
      <c r="D19" s="22">
        <v>170</v>
      </c>
      <c r="E19" s="11"/>
      <c r="F19" s="527"/>
    </row>
    <row r="20" spans="1:6">
      <c r="A20" s="21" t="s">
        <v>230</v>
      </c>
      <c r="B20" s="22">
        <v>5</v>
      </c>
      <c r="C20" s="22">
        <v>170</v>
      </c>
      <c r="D20" s="22">
        <v>340</v>
      </c>
      <c r="E20" s="11"/>
      <c r="F20" s="527"/>
    </row>
    <row r="21" spans="1:6">
      <c r="A21" s="21" t="s">
        <v>231</v>
      </c>
      <c r="B21" s="22">
        <v>6</v>
      </c>
      <c r="C21" s="22">
        <v>340</v>
      </c>
      <c r="D21" s="22">
        <v>680</v>
      </c>
      <c r="E21" s="11"/>
      <c r="F21" s="527">
        <v>25</v>
      </c>
    </row>
    <row r="22" spans="1:6">
      <c r="A22" s="21" t="s">
        <v>232</v>
      </c>
      <c r="B22" s="22">
        <v>7</v>
      </c>
      <c r="C22" s="22">
        <v>680</v>
      </c>
      <c r="D22" s="22">
        <v>1020</v>
      </c>
      <c r="E22" s="11"/>
      <c r="F22" s="528">
        <v>0.5</v>
      </c>
    </row>
    <row r="23" spans="1:6">
      <c r="A23" s="21" t="s">
        <v>233</v>
      </c>
      <c r="B23" s="22">
        <v>8</v>
      </c>
      <c r="C23" s="22">
        <v>1020</v>
      </c>
      <c r="D23" s="22">
        <v>1360</v>
      </c>
      <c r="E23" s="11"/>
      <c r="F23" s="527"/>
    </row>
    <row r="24" spans="1:6">
      <c r="A24" s="21" t="s">
        <v>225</v>
      </c>
      <c r="B24" s="22">
        <v>9</v>
      </c>
      <c r="C24" s="22">
        <v>1360</v>
      </c>
      <c r="D24" s="22">
        <v>2080</v>
      </c>
      <c r="E24" s="11"/>
      <c r="F24" s="527"/>
    </row>
    <row r="25" spans="1:6">
      <c r="A25" s="21" t="s">
        <v>234</v>
      </c>
      <c r="B25" s="22">
        <v>10</v>
      </c>
      <c r="C25" s="22">
        <v>2080</v>
      </c>
      <c r="D25" s="214" t="s">
        <v>90</v>
      </c>
      <c r="E25" s="11"/>
      <c r="F25" s="527"/>
    </row>
    <row r="26" spans="1:6">
      <c r="A26" s="19" t="s">
        <v>13</v>
      </c>
      <c r="B26" s="20"/>
      <c r="C26" s="11"/>
      <c r="D26" s="11"/>
      <c r="E26" s="11"/>
      <c r="F26" s="527"/>
    </row>
    <row r="27" spans="1:6">
      <c r="A27" s="15"/>
      <c r="B27" s="15"/>
      <c r="C27" s="11"/>
      <c r="D27" s="11"/>
      <c r="E27" s="11"/>
    </row>
    <row r="28" spans="1:6">
      <c r="A28" s="15"/>
      <c r="B28" s="15"/>
      <c r="C28" s="11"/>
      <c r="D28" s="11"/>
      <c r="E28" s="11"/>
    </row>
    <row r="29" spans="1:6">
      <c r="A29" s="16" t="s">
        <v>76</v>
      </c>
      <c r="B29" s="52"/>
      <c r="C29" s="11" t="s">
        <v>0</v>
      </c>
      <c r="D29" s="11"/>
      <c r="E29" s="11"/>
    </row>
    <row r="30" spans="1:6">
      <c r="A30" s="21" t="s">
        <v>0</v>
      </c>
      <c r="B30" s="52"/>
      <c r="C30" s="11"/>
      <c r="D30" s="11"/>
      <c r="E30" s="11"/>
    </row>
    <row r="31" spans="1:6">
      <c r="A31" s="21" t="s">
        <v>14</v>
      </c>
      <c r="B31" s="52"/>
      <c r="C31" s="11"/>
      <c r="D31" s="11"/>
      <c r="E31" s="11"/>
    </row>
    <row r="32" spans="1:6">
      <c r="A32" s="21" t="s">
        <v>15</v>
      </c>
      <c r="B32" s="52"/>
      <c r="C32" s="11"/>
      <c r="D32" s="11"/>
      <c r="E32" s="11"/>
    </row>
    <row r="33" spans="1:5">
      <c r="A33" s="21" t="s">
        <v>547</v>
      </c>
      <c r="B33" s="52"/>
      <c r="C33" s="52"/>
      <c r="D33" s="52"/>
      <c r="E33" s="52"/>
    </row>
    <row r="34" spans="1:5">
      <c r="A34" s="21" t="s">
        <v>548</v>
      </c>
      <c r="B34" s="52"/>
      <c r="C34" s="52"/>
      <c r="D34" s="52"/>
      <c r="E34" s="52"/>
    </row>
    <row r="35" spans="1:5">
      <c r="A35" s="21" t="s">
        <v>16</v>
      </c>
      <c r="B35" s="52"/>
      <c r="C35" s="11"/>
      <c r="D35" s="11"/>
      <c r="E35" s="11"/>
    </row>
    <row r="36" spans="1:5">
      <c r="A36" s="19" t="s">
        <v>13</v>
      </c>
      <c r="B36" s="20"/>
      <c r="C36" s="11"/>
      <c r="D36" s="11"/>
      <c r="E36" s="11"/>
    </row>
    <row r="37" spans="1:5">
      <c r="A37" s="15"/>
      <c r="B37" s="15"/>
      <c r="C37" s="11"/>
      <c r="D37" s="11"/>
      <c r="E37" s="11"/>
    </row>
    <row r="38" spans="1:5">
      <c r="A38" s="15"/>
      <c r="B38" s="15"/>
      <c r="C38" s="52"/>
      <c r="D38" s="52"/>
      <c r="E38" s="52"/>
    </row>
    <row r="39" spans="1:5">
      <c r="A39" s="16" t="s">
        <v>200</v>
      </c>
      <c r="B39" s="52"/>
      <c r="C39" s="52" t="s">
        <v>0</v>
      </c>
      <c r="D39" s="52"/>
      <c r="E39" s="52"/>
    </row>
    <row r="40" spans="1:5">
      <c r="A40" s="21" t="s">
        <v>53</v>
      </c>
      <c r="B40" s="52"/>
      <c r="C40" s="52"/>
      <c r="D40" s="52"/>
      <c r="E40" s="52"/>
    </row>
    <row r="41" spans="1:5">
      <c r="A41" s="21" t="s">
        <v>52</v>
      </c>
      <c r="B41" s="52"/>
      <c r="C41" s="52"/>
      <c r="D41" s="52"/>
      <c r="E41" s="52"/>
    </row>
    <row r="42" spans="1:5">
      <c r="A42" s="19" t="s">
        <v>13</v>
      </c>
      <c r="B42" s="20"/>
      <c r="C42" s="52"/>
      <c r="D42" s="52"/>
      <c r="E42" s="52"/>
    </row>
    <row r="43" spans="1:5">
      <c r="A43" s="15"/>
      <c r="B43" s="15"/>
      <c r="C43" s="52"/>
      <c r="D43" s="52"/>
      <c r="E43" s="52"/>
    </row>
    <row r="44" spans="1:5">
      <c r="A44" s="15"/>
      <c r="B44" s="15"/>
      <c r="C44" s="52"/>
      <c r="D44" s="52"/>
      <c r="E44" s="52"/>
    </row>
    <row r="45" spans="1:5">
      <c r="A45" s="16" t="s">
        <v>201</v>
      </c>
      <c r="B45" s="51"/>
      <c r="C45" s="51"/>
      <c r="D45" s="51"/>
      <c r="E45" s="51"/>
    </row>
    <row r="46" spans="1:5">
      <c r="A46" s="523" t="s">
        <v>251</v>
      </c>
      <c r="B46" s="51"/>
      <c r="C46" s="51"/>
      <c r="D46" s="51"/>
      <c r="E46" s="51"/>
    </row>
    <row r="47" spans="1:5">
      <c r="A47" s="523" t="s">
        <v>203</v>
      </c>
      <c r="B47" s="51"/>
      <c r="C47" s="51"/>
      <c r="D47" s="51"/>
      <c r="E47" s="51"/>
    </row>
    <row r="48" spans="1:5">
      <c r="A48" s="523" t="s">
        <v>252</v>
      </c>
      <c r="B48" s="51"/>
      <c r="C48" s="51"/>
      <c r="D48" s="51"/>
      <c r="E48" s="51"/>
    </row>
    <row r="49" spans="1:5">
      <c r="A49" s="523" t="s">
        <v>253</v>
      </c>
      <c r="B49" s="51"/>
      <c r="C49" s="51"/>
      <c r="D49" s="51"/>
      <c r="E49" s="51"/>
    </row>
    <row r="50" spans="1:5">
      <c r="A50" s="523" t="s">
        <v>254</v>
      </c>
      <c r="B50" s="51"/>
      <c r="C50" s="51"/>
      <c r="D50" s="51"/>
      <c r="E50" s="51"/>
    </row>
    <row r="51" spans="1:5">
      <c r="A51" s="523" t="s">
        <v>255</v>
      </c>
      <c r="B51" s="51"/>
      <c r="C51" s="51"/>
      <c r="D51" s="51"/>
      <c r="E51" s="51"/>
    </row>
    <row r="52" spans="1:5">
      <c r="A52" s="523" t="s">
        <v>256</v>
      </c>
      <c r="B52" s="51"/>
      <c r="C52" s="51"/>
      <c r="D52" s="51"/>
      <c r="E52" s="51"/>
    </row>
    <row r="53" spans="1:5">
      <c r="A53" s="523" t="s">
        <v>257</v>
      </c>
      <c r="B53" s="51"/>
      <c r="C53" s="51"/>
      <c r="D53" s="51"/>
      <c r="E53" s="51"/>
    </row>
    <row r="54" spans="1:5">
      <c r="A54" s="523" t="s">
        <v>258</v>
      </c>
      <c r="B54" s="51"/>
      <c r="C54" s="51"/>
      <c r="D54" s="51"/>
      <c r="E54" s="51"/>
    </row>
    <row r="55" spans="1:5">
      <c r="A55" s="523" t="s">
        <v>259</v>
      </c>
      <c r="B55" s="51"/>
      <c r="C55" s="51"/>
      <c r="D55" s="51"/>
      <c r="E55" s="51"/>
    </row>
    <row r="56" spans="1:5">
      <c r="A56" s="523" t="s">
        <v>260</v>
      </c>
      <c r="B56" s="51"/>
      <c r="C56" s="51"/>
      <c r="D56" s="51"/>
      <c r="E56" s="51"/>
    </row>
    <row r="57" spans="1:5">
      <c r="A57" s="523" t="s">
        <v>261</v>
      </c>
      <c r="B57" s="51"/>
      <c r="C57" s="51"/>
      <c r="D57" s="51"/>
      <c r="E57" s="51"/>
    </row>
    <row r="58" spans="1:5">
      <c r="A58" s="523" t="s">
        <v>262</v>
      </c>
      <c r="B58" s="51"/>
      <c r="C58" s="51"/>
      <c r="D58" s="51"/>
      <c r="E58" s="51"/>
    </row>
    <row r="59" spans="1:5" customFormat="1">
      <c r="A59" s="523" t="s">
        <v>185</v>
      </c>
      <c r="B59" s="51"/>
      <c r="C59" s="51"/>
      <c r="D59" s="51"/>
      <c r="E59" s="51"/>
    </row>
    <row r="60" spans="1:5">
      <c r="A60" s="19" t="s">
        <v>13</v>
      </c>
      <c r="B60" s="20"/>
      <c r="C60" s="52"/>
      <c r="D60" s="52"/>
      <c r="E60" s="52"/>
    </row>
    <row r="61" spans="1:5">
      <c r="A61" s="15"/>
      <c r="B61" s="15"/>
      <c r="C61" s="52"/>
      <c r="D61" s="52"/>
      <c r="E61" s="52"/>
    </row>
    <row r="62" spans="1:5">
      <c r="A62" s="16" t="s">
        <v>221</v>
      </c>
      <c r="B62" s="52"/>
      <c r="C62" s="52" t="s">
        <v>0</v>
      </c>
      <c r="D62" s="52"/>
      <c r="E62" s="52"/>
    </row>
    <row r="63" spans="1:5">
      <c r="A63" s="21" t="s">
        <v>166</v>
      </c>
      <c r="B63" s="52"/>
      <c r="C63" s="52"/>
      <c r="D63" s="52"/>
      <c r="E63" s="52"/>
    </row>
    <row r="64" spans="1:5">
      <c r="A64" s="21" t="s">
        <v>167</v>
      </c>
      <c r="B64" s="52"/>
      <c r="C64" s="52"/>
      <c r="D64" s="52"/>
      <c r="E64" s="52"/>
    </row>
    <row r="65" spans="1:5">
      <c r="A65" s="21" t="s">
        <v>222</v>
      </c>
      <c r="B65" s="52"/>
      <c r="C65" s="52"/>
      <c r="D65" s="52"/>
      <c r="E65" s="52"/>
    </row>
    <row r="66" spans="1:5">
      <c r="A66" s="21" t="s">
        <v>223</v>
      </c>
      <c r="B66" s="52"/>
      <c r="C66" s="52"/>
      <c r="D66" s="52"/>
      <c r="E66" s="52"/>
    </row>
    <row r="67" spans="1:5">
      <c r="A67" s="19" t="s">
        <v>13</v>
      </c>
      <c r="B67" s="20"/>
      <c r="C67" s="52"/>
      <c r="D67" s="52"/>
      <c r="E67" s="52"/>
    </row>
    <row r="68" spans="1:5">
      <c r="A68" s="15"/>
      <c r="B68" s="15"/>
      <c r="C68" s="52"/>
      <c r="D68" s="52"/>
      <c r="E68" s="52"/>
    </row>
    <row r="69" spans="1:5" customFormat="1" ht="13.8"/>
    <row r="70" spans="1:5" customFormat="1" ht="13.8"/>
    <row r="71" spans="1:5" customFormat="1" ht="13.8"/>
    <row r="72" spans="1:5" customFormat="1" ht="13.8"/>
    <row r="73" spans="1:5" customFormat="1" ht="13.8"/>
    <row r="74" spans="1:5" customFormat="1" ht="13.8"/>
    <row r="75" spans="1:5" customFormat="1" ht="13.8"/>
    <row r="76" spans="1:5" customFormat="1" ht="13.8"/>
    <row r="77" spans="1:5" customFormat="1" ht="13.8"/>
    <row r="78" spans="1:5" customFormat="1" ht="13.8"/>
    <row r="79" spans="1:5" customFormat="1" ht="13.8"/>
    <row r="80" spans="1:5" customFormat="1" ht="13.8"/>
    <row r="81" customFormat="1" ht="13.8"/>
    <row r="82" customFormat="1" ht="13.8"/>
    <row r="83" customFormat="1" ht="13.8"/>
    <row r="84" customFormat="1" ht="13.8"/>
    <row r="85" customFormat="1" ht="13.8"/>
    <row r="86" customFormat="1" ht="13.8"/>
    <row r="87" customFormat="1" ht="13.8"/>
    <row r="88" customFormat="1" ht="13.8"/>
    <row r="89" customFormat="1" ht="13.8"/>
    <row r="90" customFormat="1" ht="13.8"/>
    <row r="91" customFormat="1" ht="13.8"/>
    <row r="92" customFormat="1" ht="13.8"/>
    <row r="93" customFormat="1" ht="13.8"/>
    <row r="94" customFormat="1" ht="13.8"/>
    <row r="95" customFormat="1" ht="13.8"/>
    <row r="96" customFormat="1" ht="13.8"/>
    <row r="97" customFormat="1" ht="13.8"/>
    <row r="98" customFormat="1" ht="13.8"/>
    <row r="99" customFormat="1" ht="13.8"/>
    <row r="100" customFormat="1" ht="13.8"/>
    <row r="101" customFormat="1" ht="13.8"/>
    <row r="102" customFormat="1" ht="13.8"/>
    <row r="103" customFormat="1" ht="13.8"/>
    <row r="104" customFormat="1" ht="13.8"/>
    <row r="105" customFormat="1" ht="13.8"/>
    <row r="106" customFormat="1" ht="13.8"/>
    <row r="107" customFormat="1" ht="13.8"/>
    <row r="108" customFormat="1" ht="13.8"/>
    <row r="109" customFormat="1" ht="13.8"/>
    <row r="110" customFormat="1" ht="13.8"/>
    <row r="111" customFormat="1" ht="13.8"/>
    <row r="112" customFormat="1" ht="13.8"/>
    <row r="113" customFormat="1" ht="13.8"/>
    <row r="114" customFormat="1" ht="13.8"/>
    <row r="115" customFormat="1" ht="13.8"/>
    <row r="116" customFormat="1" ht="13.8"/>
    <row r="117" customFormat="1" ht="13.8"/>
    <row r="118" customFormat="1" ht="13.8"/>
    <row r="119" customFormat="1" ht="13.8"/>
    <row r="120" customFormat="1" ht="13.8"/>
    <row r="121" customFormat="1" ht="13.8"/>
    <row r="122" customFormat="1" ht="13.8"/>
    <row r="123" customFormat="1" ht="13.8"/>
    <row r="124" customFormat="1" ht="13.8"/>
    <row r="125" customFormat="1" ht="13.8"/>
    <row r="126" customFormat="1" ht="13.8"/>
    <row r="127" customFormat="1" ht="13.8"/>
    <row r="128" customFormat="1" ht="13.8"/>
    <row r="129" customFormat="1" ht="13.8"/>
    <row r="130" customFormat="1" ht="13.8"/>
    <row r="131" customFormat="1" ht="13.8"/>
    <row r="132" customFormat="1" ht="13.8"/>
    <row r="133" customFormat="1" ht="13.8"/>
    <row r="134" customFormat="1" ht="13.8"/>
    <row r="135" customFormat="1" ht="13.8"/>
    <row r="136" customFormat="1" ht="13.8"/>
    <row r="137" customFormat="1" ht="13.8"/>
    <row r="138" customFormat="1" ht="13.8"/>
    <row r="139" customFormat="1" ht="13.8"/>
    <row r="140" customFormat="1" ht="13.8"/>
    <row r="141" customFormat="1" ht="13.8"/>
    <row r="142" customFormat="1" ht="13.8"/>
    <row r="143" customFormat="1" ht="13.8"/>
    <row r="144" customFormat="1" ht="13.8"/>
    <row r="145" customFormat="1" ht="13.8"/>
    <row r="146" customFormat="1" ht="13.8"/>
    <row r="147" customFormat="1" ht="13.8"/>
    <row r="148" customFormat="1" ht="13.8"/>
    <row r="149" customFormat="1" ht="13.8"/>
    <row r="150" customFormat="1" ht="13.8"/>
    <row r="151" customFormat="1" ht="13.8"/>
    <row r="152" customFormat="1" ht="13.8"/>
    <row r="153" customFormat="1" ht="13.8"/>
    <row r="154" customFormat="1" ht="13.8"/>
    <row r="155" customFormat="1" ht="13.8"/>
    <row r="156" customFormat="1" ht="13.8"/>
    <row r="157" customFormat="1" ht="13.8"/>
    <row r="158" customFormat="1" ht="13.8"/>
    <row r="159" customFormat="1" ht="13.8"/>
    <row r="160" customFormat="1" ht="13.8"/>
    <row r="161" customFormat="1" ht="13.8"/>
    <row r="162" customFormat="1" ht="13.8"/>
    <row r="163" customFormat="1" ht="13.8"/>
    <row r="164" customFormat="1" ht="13.8"/>
    <row r="165" customFormat="1" ht="13.8"/>
    <row r="166" customFormat="1" ht="13.8"/>
    <row r="167" customFormat="1" ht="13.8"/>
    <row r="168" customFormat="1" ht="13.8"/>
    <row r="169" customFormat="1" ht="13.8"/>
    <row r="170" customFormat="1" ht="13.8"/>
    <row r="171" customFormat="1" ht="13.8"/>
    <row r="172" customFormat="1" ht="13.8"/>
    <row r="173" customFormat="1" ht="13.8"/>
    <row r="174" customFormat="1" ht="13.8"/>
    <row r="175" customFormat="1" ht="13.8"/>
    <row r="176" customFormat="1" ht="13.8"/>
    <row r="177" customFormat="1" ht="13.8"/>
    <row r="178" customFormat="1" ht="13.8"/>
    <row r="179" customFormat="1" ht="13.8"/>
    <row r="180" customFormat="1" ht="13.8"/>
    <row r="181" customFormat="1" ht="13.8"/>
    <row r="182" customFormat="1" ht="13.8"/>
    <row r="183" customFormat="1" ht="13.8"/>
    <row r="184" customFormat="1" ht="13.8"/>
    <row r="185" customFormat="1" ht="13.8"/>
    <row r="186" customFormat="1" ht="13.8"/>
    <row r="187" customFormat="1" ht="13.8"/>
    <row r="188" customFormat="1" ht="13.8"/>
    <row r="189" customFormat="1" ht="13.8"/>
    <row r="190" customFormat="1" ht="13.8"/>
    <row r="191" customFormat="1" ht="13.8"/>
    <row r="192" customFormat="1" ht="13.8"/>
    <row r="193" customFormat="1" ht="13.8"/>
    <row r="194" customFormat="1" ht="13.8"/>
    <row r="195" customFormat="1" ht="13.8"/>
    <row r="196" customFormat="1" ht="13.8"/>
    <row r="197" customFormat="1" ht="13.8"/>
    <row r="198" customFormat="1" ht="13.8"/>
    <row r="199" customFormat="1" ht="13.8"/>
    <row r="200" customFormat="1" ht="13.8"/>
    <row r="201" customFormat="1" ht="13.8"/>
    <row r="202" customFormat="1" ht="13.8"/>
    <row r="203" customFormat="1" ht="13.8"/>
    <row r="204" customFormat="1" ht="13.8"/>
    <row r="205" customFormat="1" ht="13.8"/>
    <row r="206" customFormat="1" ht="13.8"/>
    <row r="207" customFormat="1" ht="13.8"/>
    <row r="208" customFormat="1" ht="13.8"/>
    <row r="209" customFormat="1" ht="13.8"/>
    <row r="210" customFormat="1" ht="13.8"/>
    <row r="211" customFormat="1" ht="13.8"/>
    <row r="212" customFormat="1" ht="13.8"/>
    <row r="213" customFormat="1" ht="13.8"/>
    <row r="214" customFormat="1" ht="13.8"/>
    <row r="215" customFormat="1" ht="13.8"/>
    <row r="216" customFormat="1" ht="13.8"/>
    <row r="217" customFormat="1" ht="13.8"/>
    <row r="218" customFormat="1" ht="13.8"/>
    <row r="219" customFormat="1" ht="13.8"/>
    <row r="220" customFormat="1" ht="13.8"/>
    <row r="221" customFormat="1" ht="13.8"/>
    <row r="222" customFormat="1" ht="13.8"/>
    <row r="223" customFormat="1" ht="13.8"/>
    <row r="224" customFormat="1" ht="13.8"/>
    <row r="225" customFormat="1" ht="13.8"/>
    <row r="226" customFormat="1" ht="13.8"/>
    <row r="227" customFormat="1" ht="13.8"/>
    <row r="228" customFormat="1" ht="13.8"/>
    <row r="229" customFormat="1" ht="13.8"/>
    <row r="230" customFormat="1" ht="13.8"/>
    <row r="231" customFormat="1" ht="13.8"/>
    <row r="232" customFormat="1" ht="13.8"/>
    <row r="233" customFormat="1" ht="13.8"/>
    <row r="234" customFormat="1" ht="13.8"/>
    <row r="235" customFormat="1" ht="13.8"/>
    <row r="236" customFormat="1" ht="13.8"/>
    <row r="237" customFormat="1" ht="13.8"/>
    <row r="238" customFormat="1" ht="13.8"/>
    <row r="239" customFormat="1" ht="13.8"/>
    <row r="240" customFormat="1" ht="13.8"/>
    <row r="241" customFormat="1" ht="13.8"/>
    <row r="242" customFormat="1" ht="13.8"/>
    <row r="243" customFormat="1" ht="13.8"/>
    <row r="244" customFormat="1" ht="13.8"/>
    <row r="245" customFormat="1" ht="13.8"/>
    <row r="246" customFormat="1" ht="13.8"/>
    <row r="247" customFormat="1" ht="13.8"/>
    <row r="248" customFormat="1" ht="13.8"/>
    <row r="249" customFormat="1" ht="13.8"/>
    <row r="250" customFormat="1" ht="13.8"/>
    <row r="251" customFormat="1" ht="13.8"/>
    <row r="252" customFormat="1" ht="13.8"/>
    <row r="253" customFormat="1" ht="13.8"/>
    <row r="254" customFormat="1" ht="13.8"/>
    <row r="255" customFormat="1" ht="13.8"/>
    <row r="256" customFormat="1" ht="13.8"/>
    <row r="257" customFormat="1" ht="13.8"/>
    <row r="258" customFormat="1" ht="13.8"/>
    <row r="259" customFormat="1" ht="13.8"/>
    <row r="260" customFormat="1" ht="13.8"/>
    <row r="261" customFormat="1" ht="13.8"/>
    <row r="262" customFormat="1" ht="13.8"/>
    <row r="263" customFormat="1" ht="13.8"/>
    <row r="264" customFormat="1" ht="13.8"/>
    <row r="265" customFormat="1" ht="13.8"/>
    <row r="266" customFormat="1" ht="13.8"/>
    <row r="267" customFormat="1" ht="13.8"/>
    <row r="268" customFormat="1" ht="13.8"/>
    <row r="269" customFormat="1" ht="13.8"/>
    <row r="270" customFormat="1" ht="13.8"/>
    <row r="271" customFormat="1" ht="13.8"/>
    <row r="272" customFormat="1" ht="13.8"/>
    <row r="273" customFormat="1" ht="13.8"/>
    <row r="274" customFormat="1" ht="13.8"/>
    <row r="275" customFormat="1" ht="13.8"/>
    <row r="276" customFormat="1" ht="13.8"/>
    <row r="277" customFormat="1" ht="13.8"/>
    <row r="278" customFormat="1" ht="13.8"/>
    <row r="279" customFormat="1" ht="13.8"/>
    <row r="280" customFormat="1" ht="13.8"/>
    <row r="281" customFormat="1" ht="13.8"/>
    <row r="282" customFormat="1" ht="13.8"/>
    <row r="283" customFormat="1" ht="13.8"/>
    <row r="284" customFormat="1" ht="13.8"/>
    <row r="285" customFormat="1" ht="13.8"/>
    <row r="286" customFormat="1" ht="13.8"/>
    <row r="287" customFormat="1" ht="13.8"/>
    <row r="288" customFormat="1" ht="13.8"/>
    <row r="289" customFormat="1" ht="13.8"/>
    <row r="290" customFormat="1" ht="13.8"/>
    <row r="291" customFormat="1" ht="13.8"/>
    <row r="292" customFormat="1" ht="13.8"/>
    <row r="293" customFormat="1" ht="13.8"/>
    <row r="294" customFormat="1" ht="13.8"/>
    <row r="295" customFormat="1" ht="13.8"/>
    <row r="296" customFormat="1" ht="13.8"/>
    <row r="297" customFormat="1" ht="13.8"/>
    <row r="298" customFormat="1" ht="13.8"/>
    <row r="299" customFormat="1" ht="13.8"/>
    <row r="300" customFormat="1" ht="13.8"/>
    <row r="301" customFormat="1" ht="13.8"/>
    <row r="302" customFormat="1" ht="13.8"/>
    <row r="303" customFormat="1" ht="13.8"/>
    <row r="304" customFormat="1" ht="13.8"/>
    <row r="305" customFormat="1" ht="13.8"/>
    <row r="306" customFormat="1" ht="13.8"/>
    <row r="307" customFormat="1" ht="13.8"/>
    <row r="308" customFormat="1" ht="13.8"/>
    <row r="309" customFormat="1" ht="13.8"/>
    <row r="310" customFormat="1" ht="13.8"/>
    <row r="311" customFormat="1" ht="13.8"/>
    <row r="312" customFormat="1" ht="13.8"/>
    <row r="313" customFormat="1" ht="13.8"/>
    <row r="314" customFormat="1" ht="13.8"/>
    <row r="315" customFormat="1" ht="13.8"/>
    <row r="316" customFormat="1" ht="13.8"/>
    <row r="317" customFormat="1" ht="13.8"/>
    <row r="318" customFormat="1" ht="13.8"/>
    <row r="319" customFormat="1" ht="13.8"/>
    <row r="320" customFormat="1" ht="13.8"/>
    <row r="321" customFormat="1" ht="13.8"/>
    <row r="322" customFormat="1" ht="13.8"/>
    <row r="323" customFormat="1" ht="13.8"/>
    <row r="324" customFormat="1" ht="13.8"/>
    <row r="325" customFormat="1" ht="13.8"/>
    <row r="326" customFormat="1" ht="13.8"/>
    <row r="327" customFormat="1" ht="13.8"/>
    <row r="328" customFormat="1" ht="13.8"/>
    <row r="329" customFormat="1" ht="13.8"/>
    <row r="330" customFormat="1" ht="13.8"/>
    <row r="331" customFormat="1" ht="13.8"/>
    <row r="332" customFormat="1" ht="13.8"/>
    <row r="333" customFormat="1" ht="13.8"/>
    <row r="334" customFormat="1" ht="13.8"/>
    <row r="335" customFormat="1" ht="13.8"/>
    <row r="336" customFormat="1" ht="13.8"/>
    <row r="337" customFormat="1" ht="13.8"/>
    <row r="338" customFormat="1" ht="13.8"/>
    <row r="339" customFormat="1" ht="13.8"/>
    <row r="340" customFormat="1" ht="13.8"/>
    <row r="341" customFormat="1" ht="13.8"/>
    <row r="342" customFormat="1" ht="13.8"/>
    <row r="343" customFormat="1" ht="13.8"/>
    <row r="344" customFormat="1" ht="13.8"/>
    <row r="345" customFormat="1" ht="13.8"/>
    <row r="346" customFormat="1" ht="13.8"/>
    <row r="347" customFormat="1" ht="13.8"/>
    <row r="348" customFormat="1" ht="13.8"/>
    <row r="349" customFormat="1" ht="13.8"/>
    <row r="350" customFormat="1" ht="13.8"/>
    <row r="351" customFormat="1" ht="13.8"/>
    <row r="352" customFormat="1" ht="13.8"/>
    <row r="353" customFormat="1" ht="13.8"/>
    <row r="354" customFormat="1" ht="13.8"/>
    <row r="355" customFormat="1" ht="13.8"/>
    <row r="356" customFormat="1" ht="13.8"/>
    <row r="357" customFormat="1" ht="13.8"/>
    <row r="358" customFormat="1" ht="13.8"/>
    <row r="359" customFormat="1" ht="13.8"/>
    <row r="360" customFormat="1" ht="13.8"/>
    <row r="361" customFormat="1" ht="13.8"/>
    <row r="362" customFormat="1" ht="13.8"/>
    <row r="363" customFormat="1" ht="13.8"/>
    <row r="364" customFormat="1" ht="13.8"/>
    <row r="365" customFormat="1" ht="13.8"/>
    <row r="366" customFormat="1" ht="13.8"/>
    <row r="367" customFormat="1" ht="13.8"/>
    <row r="368" customFormat="1" ht="13.8"/>
    <row r="369" customFormat="1" ht="13.8"/>
    <row r="370" customFormat="1" ht="13.8"/>
    <row r="371" customFormat="1" ht="13.8"/>
    <row r="372" customFormat="1" ht="13.8"/>
    <row r="373" customFormat="1" ht="13.8"/>
    <row r="374" customFormat="1" ht="13.8"/>
    <row r="375" customFormat="1" ht="13.8"/>
    <row r="376" customFormat="1" ht="13.8"/>
    <row r="377" customFormat="1" ht="13.8"/>
    <row r="378" customFormat="1" ht="13.8"/>
    <row r="379" customFormat="1" ht="13.8"/>
    <row r="380" customFormat="1" ht="13.8"/>
    <row r="381" customFormat="1" ht="13.8"/>
    <row r="382" customFormat="1" ht="13.8"/>
    <row r="383" customFormat="1" ht="13.8"/>
    <row r="384" customFormat="1" ht="13.8"/>
    <row r="385" customFormat="1" ht="13.8"/>
    <row r="386" customFormat="1" ht="13.8"/>
    <row r="387" customFormat="1" ht="13.8"/>
    <row r="388" customFormat="1" ht="13.8"/>
    <row r="389" customFormat="1" ht="13.8"/>
    <row r="390" customFormat="1" ht="13.8"/>
    <row r="391" customFormat="1" ht="13.8"/>
    <row r="392" customFormat="1" ht="13.8"/>
    <row r="393" customFormat="1" ht="13.8"/>
    <row r="394" customFormat="1" ht="13.8"/>
    <row r="395" customFormat="1" ht="13.8"/>
    <row r="396" customFormat="1" ht="13.8"/>
    <row r="397" customFormat="1" ht="13.8"/>
    <row r="398" customFormat="1" ht="13.8"/>
    <row r="399" customFormat="1" ht="13.8"/>
    <row r="400" customFormat="1" ht="13.8"/>
    <row r="401" customFormat="1" ht="13.8"/>
    <row r="402" customFormat="1" ht="13.8"/>
    <row r="403" customFormat="1" ht="13.8"/>
    <row r="404" customFormat="1" ht="13.8"/>
    <row r="405" customFormat="1" ht="13.8"/>
    <row r="406" customFormat="1" ht="13.8"/>
    <row r="407" customFormat="1" ht="13.8"/>
    <row r="408" customFormat="1" ht="13.8"/>
    <row r="409" customFormat="1" ht="13.8"/>
    <row r="410" customFormat="1" ht="13.8"/>
    <row r="411" customFormat="1" ht="13.8"/>
    <row r="412" customFormat="1" ht="13.8"/>
    <row r="413" customFormat="1" ht="13.8"/>
    <row r="414" customFormat="1" ht="13.8"/>
    <row r="415" customFormat="1" ht="13.8"/>
    <row r="416" customFormat="1" ht="13.8"/>
    <row r="417" customFormat="1" ht="13.8"/>
    <row r="418" customFormat="1" ht="13.8"/>
    <row r="419" customFormat="1" ht="13.8"/>
    <row r="420" customFormat="1" ht="13.8"/>
    <row r="421" customFormat="1" ht="13.8"/>
    <row r="422" customFormat="1" ht="13.8"/>
    <row r="423" customFormat="1" ht="13.8"/>
    <row r="424" customFormat="1" ht="13.8"/>
    <row r="425" customFormat="1" ht="13.8"/>
    <row r="426" customFormat="1" ht="13.8"/>
    <row r="427" customFormat="1" ht="13.8"/>
    <row r="428" customFormat="1" ht="13.8"/>
    <row r="429" customFormat="1" ht="13.8"/>
    <row r="430" customFormat="1" ht="13.8"/>
    <row r="431" customFormat="1" ht="13.8"/>
    <row r="432" customFormat="1" ht="13.8"/>
    <row r="433" customFormat="1" ht="13.8"/>
    <row r="434" customFormat="1" ht="13.8"/>
    <row r="435" customFormat="1" ht="13.8"/>
    <row r="436" customFormat="1" ht="13.8"/>
    <row r="437" customFormat="1" ht="13.8"/>
    <row r="438" customFormat="1" ht="13.8"/>
    <row r="439" customFormat="1" ht="13.8"/>
    <row r="440" customFormat="1" ht="13.8"/>
    <row r="441" customFormat="1" ht="13.8"/>
    <row r="442" customFormat="1" ht="13.8"/>
    <row r="443" customFormat="1" ht="13.8"/>
    <row r="444" customFormat="1" ht="13.8"/>
    <row r="445" customFormat="1" ht="13.8"/>
    <row r="446" customFormat="1" ht="13.8"/>
    <row r="447" customFormat="1" ht="13.8"/>
    <row r="448" customFormat="1" ht="13.8"/>
    <row r="449" customFormat="1" ht="13.8"/>
    <row r="450" customFormat="1" ht="13.8"/>
    <row r="451" customFormat="1" ht="13.8"/>
    <row r="452" customFormat="1" ht="13.8"/>
    <row r="453" customFormat="1" ht="13.8"/>
    <row r="454" customFormat="1" ht="13.8"/>
    <row r="455" customFormat="1" ht="13.8"/>
    <row r="456" customFormat="1" ht="13.8"/>
    <row r="457" customFormat="1" ht="13.8"/>
    <row r="458" customFormat="1" ht="13.8"/>
    <row r="459" customFormat="1" ht="13.8"/>
    <row r="460" customFormat="1" ht="13.8"/>
    <row r="461" customFormat="1" ht="13.8"/>
    <row r="462" customFormat="1" ht="13.8"/>
    <row r="463" customFormat="1" ht="13.8"/>
    <row r="464" customFormat="1" ht="13.8"/>
    <row r="465" customFormat="1" ht="13.8"/>
    <row r="466" customFormat="1" ht="13.8"/>
    <row r="467" customFormat="1" ht="13.8"/>
    <row r="468" customFormat="1" ht="13.8"/>
    <row r="469" customFormat="1" ht="13.8"/>
    <row r="470" customFormat="1" ht="13.8"/>
    <row r="471" customFormat="1" ht="13.8"/>
    <row r="472" customFormat="1" ht="13.8"/>
    <row r="473" customFormat="1" ht="13.8"/>
    <row r="474" customFormat="1" ht="13.8"/>
    <row r="475" customFormat="1" ht="13.8"/>
    <row r="476" customFormat="1" ht="13.8"/>
    <row r="477" customFormat="1" ht="13.8"/>
    <row r="478" customFormat="1" ht="13.8"/>
    <row r="479" customFormat="1" ht="13.8"/>
    <row r="480" customFormat="1" ht="13.8"/>
    <row r="481" customFormat="1" ht="13.8"/>
    <row r="482" customFormat="1" ht="13.8"/>
    <row r="483" customFormat="1" ht="13.8"/>
    <row r="484" customFormat="1" ht="13.8"/>
    <row r="485" customFormat="1" ht="13.8"/>
    <row r="486" customFormat="1" ht="13.8"/>
    <row r="487" customFormat="1" ht="13.8"/>
    <row r="488" customFormat="1" ht="13.8"/>
    <row r="489" customFormat="1" ht="13.8"/>
    <row r="490" customFormat="1" ht="13.8"/>
    <row r="491" customFormat="1" ht="13.8"/>
    <row r="492" customFormat="1" ht="13.8"/>
    <row r="493" customFormat="1" ht="13.8"/>
    <row r="494" customFormat="1" ht="13.8"/>
    <row r="495" customFormat="1" ht="13.8"/>
    <row r="496" customFormat="1" ht="13.8"/>
    <row r="497" customFormat="1" ht="13.8"/>
    <row r="498" customFormat="1" ht="13.8"/>
    <row r="499" customFormat="1" ht="13.8"/>
    <row r="500" customFormat="1" ht="13.8"/>
    <row r="501" customFormat="1" ht="13.8"/>
    <row r="502" customFormat="1" ht="13.8"/>
    <row r="503" customFormat="1" ht="13.8"/>
    <row r="504" customFormat="1" ht="13.8"/>
    <row r="505" customFormat="1" ht="13.8"/>
    <row r="506" customFormat="1" ht="13.8"/>
    <row r="507" customFormat="1" ht="13.8"/>
    <row r="508" customFormat="1" ht="13.8"/>
    <row r="509" customFormat="1" ht="13.8"/>
    <row r="510" customFormat="1" ht="13.8"/>
    <row r="511" customFormat="1" ht="13.8"/>
    <row r="512" customFormat="1" ht="13.8"/>
    <row r="513" customFormat="1" ht="13.8"/>
    <row r="514" customFormat="1" ht="13.8"/>
    <row r="515" customFormat="1" ht="13.8"/>
    <row r="516" customFormat="1" ht="13.8"/>
    <row r="517" customFormat="1" ht="13.8"/>
    <row r="518" customFormat="1" ht="13.8"/>
    <row r="519" customFormat="1" ht="13.8"/>
    <row r="520" customFormat="1" ht="13.8"/>
    <row r="521" customFormat="1" ht="13.8"/>
    <row r="522" customFormat="1" ht="13.8"/>
    <row r="523" customFormat="1" ht="13.8"/>
    <row r="524" customFormat="1" ht="13.8"/>
    <row r="525" customFormat="1" ht="13.8"/>
    <row r="526" customFormat="1" ht="13.8"/>
    <row r="527" customFormat="1" ht="13.8"/>
    <row r="528" customFormat="1" ht="13.8"/>
    <row r="529" customFormat="1" ht="13.8"/>
    <row r="530" customFormat="1" ht="13.8"/>
    <row r="531" customFormat="1" ht="13.8"/>
    <row r="532" customFormat="1" ht="13.8"/>
    <row r="533" customFormat="1" ht="13.8"/>
    <row r="534" customFormat="1" ht="13.8"/>
    <row r="535" customFormat="1" ht="13.8"/>
    <row r="536" customFormat="1" ht="13.8"/>
    <row r="537" customFormat="1" ht="13.8"/>
    <row r="538" customFormat="1" ht="13.8"/>
    <row r="539" customFormat="1" ht="13.8"/>
    <row r="540" customFormat="1" ht="13.8"/>
    <row r="541" customFormat="1" ht="13.8"/>
    <row r="542" customFormat="1" ht="13.8"/>
    <row r="543" customFormat="1" ht="13.8"/>
    <row r="544" customFormat="1" ht="13.8"/>
    <row r="545" customFormat="1" ht="13.8"/>
    <row r="546" customFormat="1" ht="13.8"/>
    <row r="547" customFormat="1" ht="13.8"/>
    <row r="548" customFormat="1" ht="13.8"/>
    <row r="549" customFormat="1" ht="13.8"/>
    <row r="550" customFormat="1" ht="13.8"/>
    <row r="551" customFormat="1" ht="13.8"/>
    <row r="552" customFormat="1" ht="13.8"/>
    <row r="553" customFormat="1" ht="13.8"/>
    <row r="554" customFormat="1" ht="13.8"/>
    <row r="555" customFormat="1" ht="13.8"/>
    <row r="556" customFormat="1" ht="13.8"/>
    <row r="557" customFormat="1" ht="13.8"/>
    <row r="558" customFormat="1" ht="13.8"/>
    <row r="559" customFormat="1" ht="13.8"/>
    <row r="560" customFormat="1" ht="13.8"/>
    <row r="561" customFormat="1" ht="13.8"/>
    <row r="562" customFormat="1" ht="13.8"/>
    <row r="563" customFormat="1" ht="13.8"/>
    <row r="564" customFormat="1" ht="13.8"/>
    <row r="565" customFormat="1" ht="13.8"/>
    <row r="566" customFormat="1" ht="13.8"/>
    <row r="567" customFormat="1" ht="13.8"/>
    <row r="568" customFormat="1" ht="13.8"/>
    <row r="569" customFormat="1" ht="13.8"/>
    <row r="570" customFormat="1" ht="13.8"/>
    <row r="571" customFormat="1" ht="13.8"/>
    <row r="572" customFormat="1" ht="13.8"/>
    <row r="573" customFormat="1" ht="13.8"/>
    <row r="574" customFormat="1" ht="13.8"/>
    <row r="575" customFormat="1" ht="13.8"/>
    <row r="576" customFormat="1" ht="13.8"/>
    <row r="577" customFormat="1" ht="13.8"/>
    <row r="578" customFormat="1" ht="13.8"/>
    <row r="579" customFormat="1" ht="13.8"/>
    <row r="580" customFormat="1" ht="13.8"/>
    <row r="581" customFormat="1" ht="13.8"/>
    <row r="582" customFormat="1" ht="13.8"/>
    <row r="583" customFormat="1" ht="13.8"/>
    <row r="584" customFormat="1" ht="13.8"/>
    <row r="585" customFormat="1" ht="13.8"/>
    <row r="586" customFormat="1" ht="13.8"/>
    <row r="587" customFormat="1" ht="13.8"/>
    <row r="588" customFormat="1" ht="13.8"/>
    <row r="589" customFormat="1" ht="13.8"/>
    <row r="590" customFormat="1" ht="13.8"/>
    <row r="591" customFormat="1" ht="13.8"/>
    <row r="592" customFormat="1" ht="13.8"/>
    <row r="593" customFormat="1" ht="13.8"/>
    <row r="594" customFormat="1" ht="13.8"/>
    <row r="595" customFormat="1" ht="13.8"/>
    <row r="596" customFormat="1" ht="13.8"/>
    <row r="597" customFormat="1" ht="13.8"/>
    <row r="598" customFormat="1" ht="13.8"/>
    <row r="599" customFormat="1" ht="13.8"/>
    <row r="600" customFormat="1" ht="13.8"/>
    <row r="601" customFormat="1" ht="13.8"/>
    <row r="602" customFormat="1" ht="13.8"/>
    <row r="603" customFormat="1" ht="13.8"/>
    <row r="604" customFormat="1" ht="13.8"/>
    <row r="605" customFormat="1" ht="13.8"/>
    <row r="606" customFormat="1" ht="13.8"/>
    <row r="607" customFormat="1" ht="13.8"/>
    <row r="608" customFormat="1" ht="13.8"/>
    <row r="609" customFormat="1" ht="13.8"/>
    <row r="610" customFormat="1" ht="13.8"/>
    <row r="611" customFormat="1" ht="13.8"/>
    <row r="612" customFormat="1" ht="13.8"/>
    <row r="613" customFormat="1" ht="13.8"/>
    <row r="614" customFormat="1" ht="13.8"/>
    <row r="615" customFormat="1" ht="13.8"/>
    <row r="616" customFormat="1" ht="13.8"/>
    <row r="617" customFormat="1" ht="13.8"/>
    <row r="618" customFormat="1" ht="13.8"/>
    <row r="619" customFormat="1" ht="13.8"/>
    <row r="620" customFormat="1" ht="13.8"/>
    <row r="621" customFormat="1" ht="13.8"/>
    <row r="622" customFormat="1" ht="13.8"/>
    <row r="623" customFormat="1" ht="13.8"/>
    <row r="624" customFormat="1" ht="13.8"/>
    <row r="625" customFormat="1" ht="13.8"/>
    <row r="626" customFormat="1" ht="13.8"/>
    <row r="627" customFormat="1" ht="13.8"/>
    <row r="628" customFormat="1" ht="13.8"/>
    <row r="629" customFormat="1" ht="13.8"/>
    <row r="630" customFormat="1" ht="13.8"/>
    <row r="631" customFormat="1" ht="13.8"/>
    <row r="632" customFormat="1" ht="13.8"/>
    <row r="633" customFormat="1" ht="13.8"/>
    <row r="634" customFormat="1" ht="13.8"/>
    <row r="635" customFormat="1" ht="13.8"/>
    <row r="636" customFormat="1" ht="13.8"/>
    <row r="637" customFormat="1" ht="13.8"/>
    <row r="638" customFormat="1" ht="13.8"/>
    <row r="639" customFormat="1" ht="13.8"/>
    <row r="640" customFormat="1" ht="13.8"/>
    <row r="641" customFormat="1" ht="13.8"/>
    <row r="642" customFormat="1" ht="13.8"/>
    <row r="643" customFormat="1" ht="13.8"/>
    <row r="644" customFormat="1" ht="13.8"/>
    <row r="645" customFormat="1" ht="13.8"/>
    <row r="646" customFormat="1" ht="13.8"/>
    <row r="647" customFormat="1" ht="13.8"/>
    <row r="648" customFormat="1" ht="13.8"/>
    <row r="649" customFormat="1" ht="13.8"/>
    <row r="650" customFormat="1" ht="13.8"/>
    <row r="651" customFormat="1" ht="13.8"/>
    <row r="652" customFormat="1" ht="13.8"/>
    <row r="653" customFormat="1" ht="13.8"/>
    <row r="654" customFormat="1" ht="13.8"/>
    <row r="655" customFormat="1" ht="13.8"/>
    <row r="656" customFormat="1" ht="13.8"/>
    <row r="657" customFormat="1" ht="13.8"/>
    <row r="658" customFormat="1" ht="13.8"/>
    <row r="659" customFormat="1" ht="13.8"/>
    <row r="660" customFormat="1" ht="13.8"/>
    <row r="661" customFormat="1" ht="13.8"/>
    <row r="662" customFormat="1" ht="13.8"/>
    <row r="663" customFormat="1" ht="13.8"/>
    <row r="664" customFormat="1" ht="13.8"/>
    <row r="665" customFormat="1" ht="13.8"/>
    <row r="666" customFormat="1" ht="13.8"/>
    <row r="667" customFormat="1" ht="13.8"/>
    <row r="668" customFormat="1" ht="13.8"/>
    <row r="669" customFormat="1" ht="13.8"/>
    <row r="670" customFormat="1" ht="13.8"/>
    <row r="671" customFormat="1" ht="13.8"/>
    <row r="672" customFormat="1" ht="13.8"/>
    <row r="673" customFormat="1" ht="13.8"/>
    <row r="674" customFormat="1" ht="13.8"/>
    <row r="675" customFormat="1" ht="13.8"/>
    <row r="676" customFormat="1" ht="13.8"/>
    <row r="677" customFormat="1" ht="13.8"/>
    <row r="678" customFormat="1" ht="13.8"/>
    <row r="679" customFormat="1" ht="13.8"/>
    <row r="680" customFormat="1" ht="13.8"/>
    <row r="681" customFormat="1" ht="13.8"/>
    <row r="682" customFormat="1" ht="13.8"/>
    <row r="683" customFormat="1" ht="13.8"/>
    <row r="684" customFormat="1" ht="13.8"/>
    <row r="685" customFormat="1" ht="13.8"/>
    <row r="686" customFormat="1" ht="13.8"/>
    <row r="687" customFormat="1" ht="13.8"/>
    <row r="688" customFormat="1" ht="13.8"/>
    <row r="689" customFormat="1" ht="13.8"/>
    <row r="690" customFormat="1" ht="13.8"/>
    <row r="691" customFormat="1" ht="13.8"/>
    <row r="692" customFormat="1" ht="13.8"/>
    <row r="693" customFormat="1" ht="13.8"/>
    <row r="694" customFormat="1" ht="13.8"/>
    <row r="695" customFormat="1" ht="13.8"/>
    <row r="696" customFormat="1" ht="13.8"/>
    <row r="697" customFormat="1" ht="13.8"/>
    <row r="698" customFormat="1" ht="13.8"/>
    <row r="699" customFormat="1" ht="13.8"/>
    <row r="700" customFormat="1" ht="13.8"/>
    <row r="701" customFormat="1" ht="13.8"/>
    <row r="702" customFormat="1" ht="13.8"/>
    <row r="703" customFormat="1" ht="13.8"/>
    <row r="704" customFormat="1" ht="13.8"/>
    <row r="705" customFormat="1" ht="13.8"/>
    <row r="706" customFormat="1" ht="13.8"/>
    <row r="707" customFormat="1" ht="13.8"/>
    <row r="708" customFormat="1" ht="13.8"/>
    <row r="709" customFormat="1" ht="13.8"/>
    <row r="710" customFormat="1" ht="13.8"/>
    <row r="711" customFormat="1" ht="13.8"/>
    <row r="712" customFormat="1" ht="13.8"/>
    <row r="713" customFormat="1" ht="13.8"/>
    <row r="714" customFormat="1" ht="13.8"/>
    <row r="715" customFormat="1" ht="13.8"/>
    <row r="716" customFormat="1" ht="13.8"/>
    <row r="717" customFormat="1" ht="13.8"/>
    <row r="718" customFormat="1" ht="13.8"/>
    <row r="719" customFormat="1" ht="13.8"/>
    <row r="720" customFormat="1" ht="13.8"/>
    <row r="721" customFormat="1" ht="13.8"/>
    <row r="722" customFormat="1" ht="13.8"/>
    <row r="723" customFormat="1" ht="13.8"/>
    <row r="724" customFormat="1" ht="13.8"/>
    <row r="725" customFormat="1" ht="13.8"/>
    <row r="726" customFormat="1" ht="13.8"/>
    <row r="727" customFormat="1" ht="13.8"/>
    <row r="728" customFormat="1" ht="13.8"/>
    <row r="729" customFormat="1" ht="13.8"/>
    <row r="730" customFormat="1" ht="13.8"/>
    <row r="731" customFormat="1" ht="13.8"/>
    <row r="732" customFormat="1" ht="13.8"/>
    <row r="733" customFormat="1" ht="13.8"/>
    <row r="734" customFormat="1" ht="13.8"/>
    <row r="735" customFormat="1" ht="13.8"/>
    <row r="736" customFormat="1" ht="13.8"/>
    <row r="737" customFormat="1" ht="13.8"/>
    <row r="738" customFormat="1" ht="13.8"/>
    <row r="739" customFormat="1" ht="13.8"/>
    <row r="740" customFormat="1" ht="13.8"/>
    <row r="741" customFormat="1" ht="13.8"/>
    <row r="742" customFormat="1" ht="13.8"/>
    <row r="743" customFormat="1" ht="13.8"/>
    <row r="744" customFormat="1" ht="13.8"/>
    <row r="745" customFormat="1" ht="13.8"/>
    <row r="746" customFormat="1" ht="13.8"/>
    <row r="747" customFormat="1" ht="13.8"/>
    <row r="748" customFormat="1" ht="13.8"/>
    <row r="749" customFormat="1" ht="13.8"/>
    <row r="750" customFormat="1" ht="13.8"/>
    <row r="751" customFormat="1" ht="13.8"/>
    <row r="752" customFormat="1" ht="13.8"/>
    <row r="753" customFormat="1" ht="13.8"/>
    <row r="754" customFormat="1" ht="13.8"/>
    <row r="755" customFormat="1" ht="13.8"/>
    <row r="756" customFormat="1" ht="13.8"/>
    <row r="757" customFormat="1" ht="13.8"/>
    <row r="758" customFormat="1" ht="13.8"/>
    <row r="759" customFormat="1" ht="13.8"/>
    <row r="760" customFormat="1" ht="13.8"/>
    <row r="761" customFormat="1" ht="13.8"/>
    <row r="762" customFormat="1" ht="13.8"/>
    <row r="763" customFormat="1" ht="13.8"/>
    <row r="764" customFormat="1" ht="13.8"/>
    <row r="765" customFormat="1" ht="13.8"/>
    <row r="766" customFormat="1" ht="13.8"/>
    <row r="767" customFormat="1" ht="13.8"/>
    <row r="768" customFormat="1" ht="13.8"/>
    <row r="769" customFormat="1" ht="13.8"/>
    <row r="770" customFormat="1" ht="13.8"/>
    <row r="771" customFormat="1" ht="13.8"/>
    <row r="772" customFormat="1" ht="13.8"/>
    <row r="773" customFormat="1" ht="13.8"/>
    <row r="774" customFormat="1" ht="13.8"/>
    <row r="775" customFormat="1" ht="13.8"/>
    <row r="776" customFormat="1" ht="13.8"/>
    <row r="777" customFormat="1" ht="13.8"/>
    <row r="778" customFormat="1" ht="13.8"/>
    <row r="779" customFormat="1" ht="13.8"/>
    <row r="780" customFormat="1" ht="13.8"/>
    <row r="781" customFormat="1" ht="13.8"/>
    <row r="782" customFormat="1" ht="13.8"/>
    <row r="783" customFormat="1" ht="13.8"/>
    <row r="784" customFormat="1" ht="13.8"/>
    <row r="785" customFormat="1" ht="13.8"/>
    <row r="786" customFormat="1" ht="13.8"/>
    <row r="787" customFormat="1" ht="13.8"/>
    <row r="788" customFormat="1" ht="13.8"/>
    <row r="789" customFormat="1" ht="13.8"/>
    <row r="790" customFormat="1" ht="13.8"/>
    <row r="791" customFormat="1" ht="13.8"/>
    <row r="792" customFormat="1" ht="13.8"/>
    <row r="793" customFormat="1" ht="13.8"/>
    <row r="794" customFormat="1" ht="13.8"/>
    <row r="795" customFormat="1" ht="13.8"/>
    <row r="796" customFormat="1" ht="13.8"/>
    <row r="797" customFormat="1" ht="13.8"/>
    <row r="798" customFormat="1" ht="13.8"/>
    <row r="799" customFormat="1" ht="13.8"/>
    <row r="800" customFormat="1" ht="13.8"/>
    <row r="801" customFormat="1" ht="13.8"/>
    <row r="802" customFormat="1" ht="13.8"/>
    <row r="803" customFormat="1" ht="13.8"/>
    <row r="804" customFormat="1" ht="13.8"/>
    <row r="805" customFormat="1" ht="13.8"/>
    <row r="806" customFormat="1" ht="13.8"/>
    <row r="807" customFormat="1" ht="13.8"/>
    <row r="808" customFormat="1" ht="13.8"/>
    <row r="809" customFormat="1" ht="13.8"/>
    <row r="810" customFormat="1" ht="13.8"/>
    <row r="811" customFormat="1" ht="13.8"/>
    <row r="812" customFormat="1" ht="13.8"/>
    <row r="813" customFormat="1" ht="13.8"/>
    <row r="814" customFormat="1" ht="13.8"/>
    <row r="815" customFormat="1" ht="13.8"/>
    <row r="816" customFormat="1" ht="13.8"/>
    <row r="817" customFormat="1" ht="13.8"/>
    <row r="818" customFormat="1" ht="13.8"/>
    <row r="819" customFormat="1" ht="13.8"/>
    <row r="820" customFormat="1" ht="13.8"/>
    <row r="821" customFormat="1" ht="13.8"/>
    <row r="822" customFormat="1" ht="13.8"/>
    <row r="823" customFormat="1" ht="13.8"/>
    <row r="824" customFormat="1" ht="13.8"/>
    <row r="825" customFormat="1" ht="13.8"/>
    <row r="826" customFormat="1" ht="13.8"/>
    <row r="827" customFormat="1" ht="13.8"/>
    <row r="828" customFormat="1" ht="13.8"/>
    <row r="829" customFormat="1" ht="13.8"/>
    <row r="830" customFormat="1" ht="13.8"/>
    <row r="831" customFormat="1" ht="13.8"/>
    <row r="832" customFormat="1" ht="13.8"/>
    <row r="833" customFormat="1" ht="13.8"/>
    <row r="834" customFormat="1" ht="13.8"/>
    <row r="835" customFormat="1" ht="13.8"/>
    <row r="836" customFormat="1" ht="13.8"/>
    <row r="837" customFormat="1" ht="13.8"/>
    <row r="838" customFormat="1" ht="13.8"/>
    <row r="839" customFormat="1" ht="13.8"/>
    <row r="840" customFormat="1" ht="13.8"/>
    <row r="841" customFormat="1" ht="13.8"/>
    <row r="842" customFormat="1" ht="13.8"/>
    <row r="843" customFormat="1" ht="13.8"/>
    <row r="844" customFormat="1" ht="13.8"/>
    <row r="845" customFormat="1" ht="13.8"/>
    <row r="846" customFormat="1" ht="13.8"/>
    <row r="847" customFormat="1" ht="13.8"/>
    <row r="848" customFormat="1" ht="13.8"/>
    <row r="849" customFormat="1" ht="13.8"/>
    <row r="850" customFormat="1" ht="13.8"/>
    <row r="851" customFormat="1" ht="13.8"/>
    <row r="852" customFormat="1" ht="13.8"/>
    <row r="853" customFormat="1" ht="13.8"/>
    <row r="854" customFormat="1" ht="13.8"/>
    <row r="855" customFormat="1" ht="13.8"/>
    <row r="856" customFormat="1" ht="13.8"/>
    <row r="857" customFormat="1" ht="13.8"/>
    <row r="858" customFormat="1" ht="13.8"/>
    <row r="859" customFormat="1" ht="13.8"/>
    <row r="860" customFormat="1" ht="13.8"/>
    <row r="861" customFormat="1" ht="13.8"/>
    <row r="862" customFormat="1" ht="13.8"/>
    <row r="863" customFormat="1" ht="13.8"/>
    <row r="864" customFormat="1" ht="13.8"/>
    <row r="865" customFormat="1" ht="13.8"/>
    <row r="866" customFormat="1" ht="13.8"/>
    <row r="867" customFormat="1" ht="13.8"/>
    <row r="868" customFormat="1" ht="13.8"/>
    <row r="869" customFormat="1" ht="13.8"/>
    <row r="870" customFormat="1" ht="13.8"/>
    <row r="871" customFormat="1" ht="13.8"/>
    <row r="872" customFormat="1" ht="13.8"/>
    <row r="873" customFormat="1" ht="13.8"/>
    <row r="874" customFormat="1" ht="13.8"/>
    <row r="875" customFormat="1" ht="13.8"/>
    <row r="876" customFormat="1" ht="13.8"/>
    <row r="877" customFormat="1" ht="13.8"/>
    <row r="878" customFormat="1" ht="13.8"/>
    <row r="879" customFormat="1" ht="13.8"/>
    <row r="880" customFormat="1" ht="13.8"/>
    <row r="881" customFormat="1" ht="13.8"/>
    <row r="882" customFormat="1" ht="13.8"/>
    <row r="883" customFormat="1" ht="13.8"/>
    <row r="884" customFormat="1" ht="13.8"/>
    <row r="885" customFormat="1" ht="13.8"/>
    <row r="886" customFormat="1" ht="13.8"/>
    <row r="887" customFormat="1" ht="13.8"/>
    <row r="888" customFormat="1" ht="13.8"/>
    <row r="889" customFormat="1" ht="13.8"/>
    <row r="890" customFormat="1" ht="13.8"/>
    <row r="891" customFormat="1" ht="13.8"/>
    <row r="892" customFormat="1" ht="13.8"/>
    <row r="893" customFormat="1" ht="13.8"/>
    <row r="894" customFormat="1" ht="13.8"/>
    <row r="895" customFormat="1" ht="13.8"/>
    <row r="896" customFormat="1" ht="13.8"/>
    <row r="897" customFormat="1" ht="13.8"/>
    <row r="898" customFormat="1" ht="13.8"/>
    <row r="899" customFormat="1" ht="13.8"/>
    <row r="900" customFormat="1" ht="13.8"/>
    <row r="901" customFormat="1" ht="13.8"/>
    <row r="902" customFormat="1" ht="13.8"/>
    <row r="903" customFormat="1" ht="13.8"/>
    <row r="904" customFormat="1" ht="13.8"/>
    <row r="905" customFormat="1" ht="13.8"/>
    <row r="906" customFormat="1" ht="13.8"/>
    <row r="907" customFormat="1" ht="13.8"/>
    <row r="908" customFormat="1" ht="13.8"/>
    <row r="909" customFormat="1" ht="13.8"/>
    <row r="910" customFormat="1" ht="13.8"/>
    <row r="911" customFormat="1" ht="13.8"/>
    <row r="912" customFormat="1" ht="13.8"/>
    <row r="913" customFormat="1" ht="13.8"/>
    <row r="914" customFormat="1" ht="13.8"/>
    <row r="915" customFormat="1" ht="13.8"/>
    <row r="916" customFormat="1" ht="13.8"/>
    <row r="917" customFormat="1" ht="13.8"/>
    <row r="918" customFormat="1" ht="13.8"/>
    <row r="919" customFormat="1" ht="13.8"/>
    <row r="920" customFormat="1" ht="13.8"/>
    <row r="921" customFormat="1" ht="13.8"/>
    <row r="922" customFormat="1" ht="13.8"/>
    <row r="923" customFormat="1" ht="13.8"/>
    <row r="924" customFormat="1" ht="13.8"/>
    <row r="925" customFormat="1" ht="13.8"/>
    <row r="926" customFormat="1" ht="13.8"/>
    <row r="927" customFormat="1" ht="13.8"/>
    <row r="928" customFormat="1" ht="13.8"/>
    <row r="929" customFormat="1" ht="13.8"/>
    <row r="930" customFormat="1" ht="13.8"/>
    <row r="931" customFormat="1" ht="13.8"/>
    <row r="932" customFormat="1" ht="13.8"/>
    <row r="933" customFormat="1" ht="13.8"/>
    <row r="934" customFormat="1" ht="13.8"/>
    <row r="935" customFormat="1" ht="13.8"/>
    <row r="936" customFormat="1" ht="13.8"/>
    <row r="937" customFormat="1" ht="13.8"/>
    <row r="938" customFormat="1" ht="13.8"/>
    <row r="939" customFormat="1" ht="13.8"/>
    <row r="940" customFormat="1" ht="13.8"/>
    <row r="941" customFormat="1" ht="13.8"/>
    <row r="942" customFormat="1" ht="13.8"/>
    <row r="943" customFormat="1" ht="13.8"/>
    <row r="944" customFormat="1" ht="13.8"/>
    <row r="945" customFormat="1" ht="13.8"/>
    <row r="946" customFormat="1" ht="13.8"/>
    <row r="947" customFormat="1" ht="13.8"/>
    <row r="948" customFormat="1" ht="13.8"/>
    <row r="949" customFormat="1" ht="13.8"/>
    <row r="950" customFormat="1" ht="13.8"/>
    <row r="951" customFormat="1" ht="13.8"/>
    <row r="952" customFormat="1" ht="13.8"/>
    <row r="953" customFormat="1" ht="13.8"/>
    <row r="954" customFormat="1" ht="13.8"/>
    <row r="955" customFormat="1" ht="13.8"/>
    <row r="956" customFormat="1" ht="13.8"/>
    <row r="957" customFormat="1" ht="13.8"/>
    <row r="958" customFormat="1" ht="13.8"/>
    <row r="959" customFormat="1" ht="13.8"/>
    <row r="960" customFormat="1" ht="13.8"/>
    <row r="961" customFormat="1" ht="13.8"/>
    <row r="962" customFormat="1" ht="13.8"/>
    <row r="963" customFormat="1" ht="13.8"/>
    <row r="964" customFormat="1" ht="13.8"/>
    <row r="965" customFormat="1" ht="13.8"/>
    <row r="966" customFormat="1" ht="13.8"/>
    <row r="967" customFormat="1" ht="13.8"/>
    <row r="968" customFormat="1" ht="13.8"/>
    <row r="969" customFormat="1" ht="13.8"/>
    <row r="970" customFormat="1" ht="13.8"/>
    <row r="971" customFormat="1" ht="13.8"/>
    <row r="972" customFormat="1" ht="13.8"/>
    <row r="973" customFormat="1" ht="13.8"/>
    <row r="974" customFormat="1" ht="13.8"/>
    <row r="975" customFormat="1" ht="13.8"/>
    <row r="976" customFormat="1" ht="13.8"/>
    <row r="977" customFormat="1" ht="13.8"/>
    <row r="978" customFormat="1" ht="13.8"/>
    <row r="979" customFormat="1" ht="13.8"/>
    <row r="980" customFormat="1" ht="13.8"/>
    <row r="981" customFormat="1" ht="13.8"/>
    <row r="982" customFormat="1" ht="13.8"/>
    <row r="983" customFormat="1" ht="13.8"/>
    <row r="984" customFormat="1" ht="13.8"/>
    <row r="985" customFormat="1" ht="13.8"/>
    <row r="986" customFormat="1" ht="13.8"/>
    <row r="987" customFormat="1" ht="13.8"/>
    <row r="988" customFormat="1" ht="13.8"/>
    <row r="989" customFormat="1" ht="13.8"/>
    <row r="990" customFormat="1" ht="13.8"/>
    <row r="991" customFormat="1" ht="13.8"/>
    <row r="992" customFormat="1" ht="13.8"/>
    <row r="993" customFormat="1" ht="13.8"/>
    <row r="994" customFormat="1" ht="13.8"/>
    <row r="995" customFormat="1" ht="13.8"/>
    <row r="996" customFormat="1" ht="13.8"/>
    <row r="997" customFormat="1" ht="13.8"/>
    <row r="998" customFormat="1" ht="13.8"/>
    <row r="999" customFormat="1" ht="13.8"/>
    <row r="1000" customFormat="1" ht="13.8"/>
    <row r="1001" customFormat="1" ht="13.8"/>
    <row r="1002" customFormat="1" ht="13.8"/>
    <row r="1003" customFormat="1" ht="13.8"/>
    <row r="1004" customFormat="1" ht="13.8"/>
    <row r="1005" customFormat="1" ht="13.8"/>
    <row r="1006" customFormat="1" ht="13.8"/>
    <row r="1007" customFormat="1" ht="13.8"/>
    <row r="1008" customFormat="1" ht="13.8"/>
    <row r="1009" customFormat="1" ht="13.8"/>
    <row r="1010" customFormat="1" ht="13.8"/>
    <row r="1011" customFormat="1" ht="13.8"/>
    <row r="1012" customFormat="1" ht="13.8"/>
    <row r="1013" customFormat="1" ht="13.8"/>
    <row r="1014" customFormat="1" ht="13.8"/>
    <row r="1015" customFormat="1" ht="13.8"/>
    <row r="1016" customFormat="1" ht="13.8"/>
    <row r="1017" customFormat="1" ht="13.8"/>
    <row r="1018" customFormat="1" ht="13.8"/>
    <row r="1019" customFormat="1" ht="13.8"/>
    <row r="1020" customFormat="1" ht="13.8"/>
    <row r="1021" customFormat="1" ht="13.8"/>
    <row r="1022" customFormat="1" ht="13.8"/>
    <row r="1023" customFormat="1" ht="13.8"/>
    <row r="1024" customFormat="1" ht="13.8"/>
    <row r="1025" customFormat="1" ht="13.8"/>
    <row r="1026" customFormat="1" ht="13.8"/>
    <row r="1027" customFormat="1" ht="13.8"/>
    <row r="1028" customFormat="1" ht="13.8"/>
    <row r="1029" customFormat="1" ht="13.8"/>
    <row r="1030" customFormat="1" ht="13.8"/>
    <row r="1031" customFormat="1" ht="13.8"/>
    <row r="1032" customFormat="1" ht="13.8"/>
    <row r="1033" customFormat="1" ht="13.8"/>
    <row r="1034" customFormat="1" ht="13.8"/>
    <row r="1035" customFormat="1" ht="13.8"/>
    <row r="1036" customFormat="1" ht="13.8"/>
    <row r="1037" customFormat="1" ht="13.8"/>
    <row r="1038" customFormat="1" ht="13.8"/>
    <row r="1039" customFormat="1" ht="13.8"/>
    <row r="1040" customFormat="1" ht="13.8"/>
    <row r="1041" customFormat="1" ht="13.8"/>
    <row r="1042" customFormat="1" ht="13.8"/>
    <row r="1043" customFormat="1" ht="13.8"/>
    <row r="1044" customFormat="1" ht="13.8"/>
    <row r="1045" customFormat="1" ht="13.8"/>
    <row r="1046" customFormat="1" ht="13.8"/>
    <row r="1047" customFormat="1" ht="13.8"/>
    <row r="1048" customFormat="1" ht="13.8"/>
    <row r="1049" customFormat="1" ht="13.8"/>
    <row r="1050" customFormat="1" ht="13.8"/>
    <row r="1051" customFormat="1" ht="13.8"/>
    <row r="1052" customFormat="1" ht="13.8"/>
    <row r="1053" customFormat="1" ht="13.8"/>
    <row r="1054" customFormat="1" ht="13.8"/>
    <row r="1055" customFormat="1" ht="13.8"/>
    <row r="1056" customFormat="1" ht="13.8"/>
    <row r="1057" customFormat="1" ht="13.8"/>
    <row r="1058" customFormat="1" ht="13.8"/>
    <row r="1059" customFormat="1" ht="13.8"/>
    <row r="1060" customFormat="1" ht="13.8"/>
    <row r="1061" customFormat="1" ht="13.8"/>
    <row r="1062" customFormat="1" ht="13.8"/>
    <row r="1063" customFormat="1" ht="13.8"/>
    <row r="1064" customFormat="1" ht="13.8"/>
    <row r="1065" customFormat="1" ht="13.8"/>
    <row r="1066" customFormat="1" ht="13.8"/>
    <row r="1067" customFormat="1" ht="13.8"/>
    <row r="1068" customFormat="1" ht="13.8"/>
    <row r="1069" customFormat="1" ht="13.8"/>
    <row r="1070" customFormat="1" ht="13.8"/>
    <row r="1071" customFormat="1" ht="13.8"/>
    <row r="1072" customFormat="1" ht="13.8"/>
    <row r="1073" customFormat="1" ht="13.8"/>
    <row r="1074" customFormat="1" ht="13.8"/>
    <row r="1075" customFormat="1" ht="13.8"/>
    <row r="1076" customFormat="1" ht="13.8"/>
    <row r="1077" customFormat="1" ht="13.8"/>
    <row r="1078" customFormat="1" ht="13.8"/>
    <row r="1079" customFormat="1" ht="13.8"/>
    <row r="1080" customFormat="1" ht="13.8"/>
    <row r="1081" customFormat="1" ht="13.8"/>
    <row r="1082" customFormat="1" ht="13.8"/>
    <row r="1083" customFormat="1" ht="13.8"/>
    <row r="1084" customFormat="1" ht="13.8"/>
    <row r="1085" customFormat="1" ht="13.8"/>
    <row r="1086" customFormat="1" ht="13.8"/>
    <row r="1087" customFormat="1" ht="13.8"/>
    <row r="1088" customFormat="1" ht="13.8"/>
    <row r="1089" customFormat="1" ht="13.8"/>
    <row r="1090" customFormat="1" ht="13.8"/>
    <row r="1091" customFormat="1" ht="13.8"/>
    <row r="1092" customFormat="1" ht="13.8"/>
    <row r="1093" customFormat="1" ht="13.8"/>
    <row r="1094" customFormat="1" ht="13.8"/>
    <row r="1095" customFormat="1" ht="13.8"/>
    <row r="1096" customFormat="1" ht="13.8"/>
    <row r="1097" customFormat="1" ht="13.8"/>
    <row r="1098" customFormat="1" ht="13.8"/>
    <row r="1099" customFormat="1" ht="13.8"/>
    <row r="1100" customFormat="1" ht="13.8"/>
    <row r="1101" customFormat="1" ht="13.8"/>
    <row r="1102" customFormat="1" ht="13.8"/>
    <row r="1103" customFormat="1" ht="13.8"/>
    <row r="1104" customFormat="1" ht="13.8"/>
    <row r="1105" customFormat="1" ht="13.8"/>
    <row r="1106" customFormat="1" ht="13.8"/>
    <row r="1107" customFormat="1" ht="13.8"/>
    <row r="1108" customFormat="1" ht="13.8"/>
    <row r="1109" customFormat="1" ht="13.8"/>
    <row r="1110" customFormat="1" ht="13.8"/>
    <row r="1111" customFormat="1" ht="13.8"/>
    <row r="1112" customFormat="1" ht="13.8"/>
    <row r="1113" customFormat="1" ht="13.8"/>
    <row r="1114" customFormat="1" ht="13.8"/>
    <row r="1115" customFormat="1" ht="13.8"/>
    <row r="1116" customFormat="1" ht="13.8"/>
    <row r="1117" customFormat="1" ht="13.8"/>
    <row r="1118" customFormat="1" ht="13.8"/>
    <row r="1119" customFormat="1" ht="13.8"/>
    <row r="1120" customFormat="1" ht="13.8"/>
    <row r="1121" customFormat="1" ht="13.8"/>
    <row r="1122" customFormat="1" ht="13.8"/>
    <row r="1123" customFormat="1" ht="13.8"/>
    <row r="1124" customFormat="1" ht="13.8"/>
    <row r="1125" customFormat="1" ht="13.8"/>
    <row r="1126" customFormat="1" ht="13.8"/>
    <row r="1127" customFormat="1" ht="13.8"/>
    <row r="1128" customFormat="1" ht="13.8"/>
    <row r="1129" customFormat="1" ht="13.8"/>
    <row r="1130" customFormat="1" ht="13.8"/>
    <row r="1131" customFormat="1" ht="13.8"/>
    <row r="1132" customFormat="1" ht="13.8"/>
    <row r="1133" customFormat="1" ht="13.8"/>
    <row r="1134" customFormat="1" ht="13.8"/>
    <row r="1135" customFormat="1" ht="13.8"/>
    <row r="1136" customFormat="1" ht="13.8"/>
    <row r="1137" customFormat="1" ht="13.8"/>
    <row r="1138" customFormat="1" ht="13.8"/>
    <row r="1139" customFormat="1" ht="13.8"/>
    <row r="1140" customFormat="1" ht="13.8"/>
    <row r="1141" customFormat="1" ht="13.8"/>
    <row r="1142" customFormat="1" ht="13.8"/>
    <row r="1143" customFormat="1" ht="13.8"/>
    <row r="1144" customFormat="1" ht="13.8"/>
    <row r="1145" customFormat="1" ht="13.8"/>
    <row r="1146" customFormat="1" ht="13.8"/>
    <row r="1147" customFormat="1" ht="13.8"/>
    <row r="1148" customFormat="1" ht="13.8"/>
    <row r="1149" customFormat="1" ht="13.8"/>
    <row r="1150" customFormat="1" ht="13.8"/>
    <row r="1151" customFormat="1" ht="13.8"/>
    <row r="1152" customFormat="1" ht="13.8"/>
    <row r="1153" customFormat="1" ht="13.8"/>
    <row r="1154" customFormat="1" ht="13.8"/>
    <row r="1155" customFormat="1" ht="13.8"/>
    <row r="1156" customFormat="1" ht="13.8"/>
    <row r="1157" customFormat="1" ht="13.8"/>
    <row r="1158" customFormat="1" ht="13.8"/>
    <row r="1159" customFormat="1" ht="13.8"/>
    <row r="1160" customFormat="1" ht="13.8"/>
    <row r="1161" customFormat="1" ht="13.8"/>
    <row r="1162" customFormat="1" ht="13.8"/>
    <row r="1163" customFormat="1" ht="13.8"/>
    <row r="1164" customFormat="1" ht="13.8"/>
    <row r="1165" customFormat="1" ht="13.8"/>
    <row r="1166" customFormat="1" ht="13.8"/>
    <row r="1167" customFormat="1" ht="13.8"/>
    <row r="1168" customFormat="1" ht="13.8"/>
    <row r="1169" customFormat="1" ht="13.8"/>
    <row r="1170" customFormat="1" ht="13.8"/>
    <row r="1171" customFormat="1" ht="13.8"/>
    <row r="1172" customFormat="1" ht="13.8"/>
    <row r="1173" customFormat="1" ht="13.8"/>
    <row r="1174" customFormat="1" ht="13.8"/>
    <row r="1175" customFormat="1" ht="13.8"/>
    <row r="1176" customFormat="1" ht="13.8"/>
    <row r="1177" customFormat="1" ht="13.8"/>
    <row r="1178" customFormat="1" ht="13.8"/>
    <row r="1179" customFormat="1" ht="13.8"/>
    <row r="1180" customFormat="1" ht="13.8"/>
    <row r="1181" customFormat="1" ht="13.8"/>
    <row r="1182" customFormat="1" ht="13.8"/>
    <row r="1183" customFormat="1" ht="13.8"/>
    <row r="1184" customFormat="1" ht="13.8"/>
    <row r="1185" customFormat="1" ht="13.8"/>
    <row r="1186" customFormat="1" ht="13.8"/>
    <row r="1187" customFormat="1" ht="13.8"/>
    <row r="1188" customFormat="1" ht="13.8"/>
    <row r="1189" customFormat="1" ht="13.8"/>
    <row r="1190" customFormat="1" ht="13.8"/>
    <row r="1191" customFormat="1" ht="13.8"/>
    <row r="1192" customFormat="1" ht="13.8"/>
    <row r="1193" customFormat="1" ht="13.8"/>
    <row r="1194" customFormat="1" ht="13.8"/>
    <row r="1195" customFormat="1" ht="13.8"/>
    <row r="1196" customFormat="1" ht="13.8"/>
    <row r="1197" customFormat="1" ht="13.8"/>
    <row r="1198" customFormat="1" ht="13.8"/>
    <row r="1199" customFormat="1" ht="13.8"/>
    <row r="1200" customFormat="1" ht="13.8"/>
    <row r="1201" customFormat="1" ht="13.8"/>
    <row r="1202" customFormat="1" ht="13.8"/>
    <row r="1203" customFormat="1" ht="13.8"/>
    <row r="1204" customFormat="1" ht="13.8"/>
    <row r="1205" customFormat="1" ht="13.8"/>
    <row r="1206" customFormat="1" ht="13.8"/>
    <row r="1207" customFormat="1" ht="13.8"/>
    <row r="1208" customFormat="1" ht="13.8"/>
    <row r="1209" customFormat="1" ht="13.8"/>
    <row r="1210" customFormat="1" ht="13.8"/>
    <row r="1211" customFormat="1" ht="13.8"/>
    <row r="1212" customFormat="1" ht="13.8"/>
    <row r="1213" customFormat="1" ht="13.8"/>
    <row r="1214" customFormat="1" ht="13.8"/>
    <row r="1215" customFormat="1" ht="13.8"/>
    <row r="1216" customFormat="1" ht="13.8"/>
    <row r="1217" customFormat="1" ht="13.8"/>
    <row r="1218" customFormat="1" ht="13.8"/>
    <row r="1219" customFormat="1" ht="13.8"/>
    <row r="1220" customFormat="1" ht="13.8"/>
    <row r="1221" customFormat="1" ht="13.8"/>
    <row r="1222" customFormat="1" ht="13.8"/>
    <row r="1223" customFormat="1" ht="13.8"/>
    <row r="1224" customFormat="1" ht="13.8"/>
    <row r="1225" customFormat="1" ht="13.8"/>
    <row r="1226" customFormat="1" ht="13.8"/>
    <row r="1227" customFormat="1" ht="13.8"/>
    <row r="1228" customFormat="1" ht="13.8"/>
    <row r="1229" customFormat="1" ht="13.8"/>
    <row r="1230" customFormat="1" ht="13.8"/>
    <row r="1231" customFormat="1" ht="13.8"/>
    <row r="1232" customFormat="1" ht="13.8"/>
    <row r="1233" customFormat="1" ht="13.8"/>
    <row r="1234" customFormat="1" ht="13.8"/>
    <row r="1235" customFormat="1" ht="13.8"/>
    <row r="1236" customFormat="1" ht="13.8"/>
    <row r="1237" customFormat="1" ht="13.8"/>
    <row r="1238" customFormat="1" ht="13.8"/>
    <row r="1239" customFormat="1" ht="13.8"/>
    <row r="1240" customFormat="1" ht="13.8"/>
    <row r="1241" customFormat="1" ht="13.8"/>
    <row r="1242" customFormat="1" ht="13.8"/>
    <row r="1243" customFormat="1" ht="13.8"/>
    <row r="1244" customFormat="1" ht="13.8"/>
    <row r="1245" customFormat="1" ht="13.8"/>
    <row r="1246" customFormat="1" ht="13.8"/>
    <row r="1247" customFormat="1" ht="13.8"/>
    <row r="1248" customFormat="1" ht="13.8"/>
    <row r="1249" customFormat="1" ht="13.8"/>
    <row r="1250" customFormat="1" ht="13.8"/>
    <row r="1251" customFormat="1" ht="13.8"/>
    <row r="1252" customFormat="1" ht="13.8"/>
    <row r="1253" customFormat="1" ht="13.8"/>
    <row r="1254" customFormat="1" ht="13.8"/>
    <row r="1255" customFormat="1" ht="13.8"/>
    <row r="1256" customFormat="1" ht="13.8"/>
    <row r="1257" customFormat="1" ht="13.8"/>
    <row r="1258" customFormat="1" ht="13.8"/>
    <row r="1259" customFormat="1" ht="13.8"/>
    <row r="1260" customFormat="1" ht="13.8"/>
    <row r="1261" customFormat="1" ht="13.8"/>
    <row r="1262" customFormat="1" ht="13.8"/>
    <row r="1263" customFormat="1" ht="13.8"/>
    <row r="1264" customFormat="1" ht="13.8"/>
    <row r="1265" customFormat="1" ht="13.8"/>
    <row r="1266" customFormat="1" ht="13.8"/>
    <row r="1267" customFormat="1" ht="13.8"/>
    <row r="1268" customFormat="1" ht="13.8"/>
    <row r="1269" customFormat="1" ht="13.8"/>
    <row r="1270" customFormat="1" ht="13.8"/>
    <row r="1271" customFormat="1" ht="13.8"/>
    <row r="1272" customFormat="1" ht="13.8"/>
    <row r="1273" customFormat="1" ht="13.8"/>
    <row r="1274" customFormat="1" ht="13.8"/>
    <row r="1275" customFormat="1" ht="13.8"/>
    <row r="1276" customFormat="1" ht="13.8"/>
    <row r="1277" customFormat="1" ht="13.8"/>
    <row r="1278" customFormat="1" ht="13.8"/>
    <row r="1279" customFormat="1" ht="13.8"/>
    <row r="1280" customFormat="1" ht="13.8"/>
    <row r="1281" customFormat="1" ht="13.8"/>
    <row r="1282" customFormat="1" ht="13.8"/>
    <row r="1283" customFormat="1" ht="13.8"/>
    <row r="1284" customFormat="1" ht="13.8"/>
    <row r="1285" customFormat="1" ht="13.8"/>
    <row r="1286" customFormat="1" ht="13.8"/>
    <row r="1287" customFormat="1" ht="13.8"/>
    <row r="1288" customFormat="1" ht="13.8"/>
    <row r="1289" customFormat="1" ht="13.8"/>
    <row r="1290" customFormat="1" ht="13.8"/>
    <row r="1291" customFormat="1" ht="13.8"/>
    <row r="1292" customFormat="1" ht="13.8"/>
    <row r="1293" customFormat="1" ht="13.8"/>
    <row r="1294" customFormat="1" ht="13.8"/>
    <row r="1295" customFormat="1" ht="13.8"/>
    <row r="1296" customFormat="1" ht="13.8"/>
    <row r="1297" customFormat="1" ht="13.8"/>
    <row r="1298" customFormat="1" ht="13.8"/>
    <row r="1299" customFormat="1" ht="13.8"/>
    <row r="1300" customFormat="1" ht="13.8"/>
    <row r="1301" customFormat="1" ht="13.8"/>
    <row r="1302" customFormat="1" ht="13.8"/>
    <row r="1303" customFormat="1" ht="13.8"/>
    <row r="1304" customFormat="1" ht="13.8"/>
    <row r="1305" customFormat="1" ht="13.8"/>
    <row r="1306" customFormat="1" ht="13.8"/>
    <row r="1307" customFormat="1" ht="13.8"/>
    <row r="1308" customFormat="1" ht="13.8"/>
    <row r="1309" customFormat="1" ht="13.8"/>
    <row r="1310" customFormat="1" ht="13.8"/>
    <row r="1311" customFormat="1" ht="13.8"/>
    <row r="1312" customFormat="1" ht="13.8"/>
    <row r="1313" customFormat="1" ht="13.8"/>
    <row r="1314" customFormat="1" ht="13.8"/>
    <row r="1315" customFormat="1" ht="13.8"/>
    <row r="1316" customFormat="1" ht="13.8"/>
    <row r="1317" customFormat="1" ht="13.8"/>
    <row r="1318" customFormat="1" ht="13.8"/>
    <row r="1319" customFormat="1" ht="13.8"/>
    <row r="1320" customFormat="1" ht="13.8"/>
    <row r="1321" customFormat="1" ht="13.8"/>
    <row r="1322" customFormat="1" ht="13.8"/>
    <row r="1323" customFormat="1" ht="13.8"/>
    <row r="1324" customFormat="1" ht="13.8"/>
    <row r="1325" customFormat="1" ht="13.8"/>
    <row r="1326" customFormat="1" ht="13.8"/>
    <row r="1327" customFormat="1" ht="13.8"/>
    <row r="1328" customFormat="1" ht="13.8"/>
    <row r="1329" customFormat="1" ht="13.8"/>
    <row r="1330" customFormat="1" ht="13.8"/>
    <row r="1331" customFormat="1" ht="13.8"/>
    <row r="1332" customFormat="1" ht="13.8"/>
    <row r="1333" customFormat="1" ht="13.8"/>
    <row r="1334" customFormat="1" ht="13.8"/>
    <row r="1335" customFormat="1" ht="13.8"/>
    <row r="1336" customFormat="1" ht="13.8"/>
    <row r="1337" customFormat="1" ht="13.8"/>
    <row r="1338" customFormat="1" ht="13.8"/>
    <row r="1339" customFormat="1" ht="13.8"/>
    <row r="1340" customFormat="1" ht="13.8"/>
    <row r="1341" customFormat="1" ht="13.8"/>
    <row r="1342" customFormat="1" ht="13.8"/>
    <row r="1343" customFormat="1" ht="13.8"/>
    <row r="1344" customFormat="1" ht="13.8"/>
    <row r="1345" customFormat="1" ht="13.8"/>
    <row r="1346" customFormat="1" ht="13.8"/>
    <row r="1347" customFormat="1" ht="13.8"/>
    <row r="1348" customFormat="1" ht="13.8"/>
    <row r="1349" customFormat="1" ht="13.8"/>
    <row r="1350" customFormat="1" ht="13.8"/>
    <row r="1351" customFormat="1" ht="13.8"/>
    <row r="1352" customFormat="1" ht="13.8"/>
    <row r="1353" customFormat="1" ht="13.8"/>
    <row r="1354" customFormat="1" ht="13.8"/>
    <row r="1355" customFormat="1" ht="13.8"/>
    <row r="1356" customFormat="1" ht="13.8"/>
    <row r="1357" customFormat="1" ht="13.8"/>
    <row r="1358" customFormat="1" ht="13.8"/>
    <row r="1359" customFormat="1" ht="13.8"/>
    <row r="1360" customFormat="1" ht="13.8"/>
    <row r="1361" customFormat="1" ht="13.8"/>
    <row r="1362" customFormat="1" ht="13.8"/>
    <row r="1363" customFormat="1" ht="13.8"/>
    <row r="1364" customFormat="1" ht="13.8"/>
    <row r="1365" customFormat="1" ht="13.8"/>
    <row r="1366" customFormat="1" ht="13.8"/>
    <row r="1367" customFormat="1" ht="13.8"/>
    <row r="1368" customFormat="1" ht="13.8"/>
    <row r="1369" customFormat="1" ht="13.8"/>
    <row r="1370" customFormat="1" ht="13.8"/>
    <row r="1371" customFormat="1" ht="13.8"/>
    <row r="1372" customFormat="1" ht="13.8"/>
    <row r="1373" customFormat="1" ht="13.8"/>
    <row r="1374" customFormat="1" ht="13.8"/>
    <row r="1375" customFormat="1" ht="13.8"/>
    <row r="1376" customFormat="1" ht="13.8"/>
    <row r="1377" customFormat="1" ht="13.8"/>
    <row r="1378" customFormat="1" ht="13.8"/>
    <row r="1379" customFormat="1" ht="13.8"/>
    <row r="1380" customFormat="1" ht="13.8"/>
    <row r="1381" customFormat="1" ht="13.8"/>
    <row r="1382" customFormat="1" ht="13.8"/>
    <row r="1383" customFormat="1" ht="13.8"/>
    <row r="1384" customFormat="1" ht="13.8"/>
    <row r="1385" customFormat="1" ht="13.8"/>
    <row r="1386" customFormat="1" ht="13.8"/>
    <row r="1387" customFormat="1" ht="13.8"/>
    <row r="1388" customFormat="1" ht="13.8"/>
    <row r="1389" customFormat="1" ht="13.8"/>
    <row r="1390" customFormat="1" ht="13.8"/>
    <row r="1391" customFormat="1" ht="13.8"/>
    <row r="1392" customFormat="1" ht="13.8"/>
    <row r="1393" customFormat="1" ht="13.8"/>
    <row r="1394" customFormat="1" ht="13.8"/>
    <row r="1395" customFormat="1" ht="13.8"/>
    <row r="1396" customFormat="1" ht="13.8"/>
    <row r="1397" customFormat="1" ht="13.8"/>
    <row r="1398" customFormat="1" ht="13.8"/>
    <row r="1399" customFormat="1" ht="13.8"/>
    <row r="1400" customFormat="1" ht="13.8"/>
    <row r="1401" customFormat="1" ht="13.8"/>
    <row r="1402" customFormat="1" ht="13.8"/>
    <row r="1403" customFormat="1" ht="13.8"/>
    <row r="1404" customFormat="1" ht="13.8"/>
    <row r="1405" customFormat="1" ht="13.8"/>
    <row r="1406" customFormat="1" ht="13.8"/>
    <row r="1407" customFormat="1" ht="13.8"/>
    <row r="1408" customFormat="1" ht="13.8"/>
    <row r="1409" customFormat="1" ht="13.8"/>
    <row r="1410" customFormat="1" ht="13.8"/>
    <row r="1411" customFormat="1" ht="13.8"/>
    <row r="1412" customFormat="1" ht="13.8"/>
    <row r="1413" customFormat="1" ht="13.8"/>
    <row r="1414" customFormat="1" ht="13.8"/>
    <row r="1415" customFormat="1" ht="13.8"/>
    <row r="1416" customFormat="1" ht="13.8"/>
    <row r="1417" customFormat="1" ht="13.8"/>
    <row r="1418" customFormat="1" ht="13.8"/>
    <row r="1419" customFormat="1" ht="13.8"/>
    <row r="1420" customFormat="1" ht="13.8"/>
    <row r="1421" customFormat="1" ht="13.8"/>
    <row r="1422" customFormat="1" ht="13.8"/>
    <row r="1423" customFormat="1" ht="13.8"/>
    <row r="1424" customFormat="1" ht="13.8"/>
    <row r="1425" customFormat="1" ht="13.8"/>
    <row r="1426" customFormat="1" ht="13.8"/>
    <row r="1427" customFormat="1" ht="13.8"/>
    <row r="1428" customFormat="1" ht="13.8"/>
    <row r="1429" customFormat="1" ht="13.8"/>
    <row r="1430" customFormat="1" ht="13.8"/>
    <row r="1431" customFormat="1" ht="13.8"/>
    <row r="1432" customFormat="1" ht="13.8"/>
    <row r="1433" customFormat="1" ht="13.8"/>
    <row r="1434" customFormat="1" ht="13.8"/>
    <row r="1435" customFormat="1" ht="13.8"/>
    <row r="1436" customFormat="1" ht="13.8"/>
    <row r="1437" customFormat="1" ht="13.8"/>
    <row r="1438" customFormat="1" ht="13.8"/>
    <row r="1439" customFormat="1" ht="13.8"/>
    <row r="1440" customFormat="1" ht="13.8"/>
    <row r="1441" customFormat="1" ht="13.8"/>
    <row r="1442" customFormat="1" ht="13.8"/>
    <row r="1443" customFormat="1" ht="13.8"/>
    <row r="1444" customFormat="1" ht="13.8"/>
    <row r="1445" customFormat="1" ht="13.8"/>
    <row r="1446" customFormat="1" ht="13.8"/>
    <row r="1447" customFormat="1" ht="13.8"/>
    <row r="1448" customFormat="1" ht="13.8"/>
    <row r="1449" customFormat="1" ht="13.8"/>
    <row r="1450" customFormat="1" ht="13.8"/>
    <row r="1451" customFormat="1" ht="13.8"/>
    <row r="1452" customFormat="1" ht="13.8"/>
    <row r="1453" customFormat="1" ht="13.8"/>
    <row r="1454" customFormat="1" ht="13.8"/>
    <row r="1455" customFormat="1" ht="13.8"/>
    <row r="1456" customFormat="1" ht="13.8"/>
    <row r="1457" customFormat="1" ht="13.8"/>
    <row r="1458" customFormat="1" ht="13.8"/>
    <row r="1459" customFormat="1" ht="13.8"/>
    <row r="1460" customFormat="1" ht="13.8"/>
    <row r="1461" customFormat="1" ht="13.8"/>
    <row r="1462" customFormat="1" ht="13.8"/>
    <row r="1463" customFormat="1" ht="13.8"/>
    <row r="1464" customFormat="1" ht="13.8"/>
    <row r="1465" customFormat="1" ht="13.8"/>
    <row r="1466" customFormat="1" ht="13.8"/>
    <row r="1467" customFormat="1" ht="13.8"/>
    <row r="1468" customFormat="1" ht="13.8"/>
    <row r="1469" customFormat="1" ht="13.8"/>
    <row r="1470" customFormat="1" ht="13.8"/>
    <row r="1471" customFormat="1" ht="13.8"/>
    <row r="1472" customFormat="1" ht="13.8"/>
    <row r="1473" customFormat="1" ht="13.8"/>
    <row r="1474" customFormat="1" ht="13.8"/>
    <row r="1475" customFormat="1" ht="13.8"/>
    <row r="1476" customFormat="1" ht="13.8"/>
    <row r="1477" customFormat="1" ht="13.8"/>
    <row r="1478" customFormat="1" ht="13.8"/>
    <row r="1479" customFormat="1" ht="13.8"/>
    <row r="1480" customFormat="1" ht="13.8"/>
    <row r="1481" customFormat="1" ht="13.8"/>
    <row r="1482" customFormat="1" ht="13.8"/>
    <row r="1483" customFormat="1" ht="13.8"/>
    <row r="1484" customFormat="1" ht="13.8"/>
    <row r="1485" customFormat="1" ht="13.8"/>
    <row r="1486" customFormat="1" ht="13.8"/>
    <row r="1487" customFormat="1" ht="13.8"/>
    <row r="1488" customFormat="1" ht="13.8"/>
    <row r="1489" customFormat="1" ht="13.8"/>
    <row r="1490" customFormat="1" ht="13.8"/>
    <row r="1491" customFormat="1" ht="13.8"/>
    <row r="1492" customFormat="1" ht="13.8"/>
    <row r="1493" customFormat="1" ht="13.8"/>
    <row r="1494" customFormat="1" ht="13.8"/>
    <row r="1495" customFormat="1" ht="13.8"/>
    <row r="1496" customFormat="1" ht="13.8"/>
    <row r="1497" customFormat="1" ht="13.8"/>
    <row r="1498" customFormat="1" ht="13.8"/>
    <row r="1499" customFormat="1" ht="13.8"/>
    <row r="1500" customFormat="1" ht="13.8"/>
    <row r="1501" customFormat="1" ht="13.8"/>
    <row r="1502" customFormat="1" ht="13.8"/>
    <row r="1503" customFormat="1" ht="13.8"/>
    <row r="1504" customFormat="1" ht="13.8"/>
    <row r="1505" customFormat="1" ht="13.8"/>
    <row r="1506" customFormat="1" ht="13.8"/>
    <row r="1507" customFormat="1" ht="13.8"/>
    <row r="1508" customFormat="1" ht="13.8"/>
    <row r="1509" customFormat="1" ht="13.8"/>
    <row r="1510" customFormat="1" ht="13.8"/>
    <row r="1511" customFormat="1" ht="13.8"/>
    <row r="1512" customFormat="1" ht="13.8"/>
    <row r="1513" customFormat="1" ht="13.8"/>
    <row r="1514" customFormat="1" ht="13.8"/>
    <row r="1515" customFormat="1" ht="13.8"/>
    <row r="1516" customFormat="1" ht="13.8"/>
    <row r="1517" customFormat="1" ht="13.8"/>
    <row r="1518" customFormat="1" ht="13.8"/>
    <row r="1519" customFormat="1" ht="13.8"/>
    <row r="1520" customFormat="1" ht="13.8"/>
    <row r="1521" customFormat="1" ht="13.8"/>
    <row r="1522" customFormat="1" ht="13.8"/>
    <row r="1523" customFormat="1" ht="13.8"/>
    <row r="1524" customFormat="1" ht="13.8"/>
    <row r="1525" customFormat="1" ht="13.8"/>
    <row r="1526" customFormat="1" ht="13.8"/>
    <row r="1527" customFormat="1" ht="13.8"/>
    <row r="1528" customFormat="1" ht="13.8"/>
    <row r="1529" customFormat="1" ht="13.8"/>
    <row r="1530" customFormat="1" ht="13.8"/>
    <row r="1531" customFormat="1" ht="13.8"/>
    <row r="1532" customFormat="1" ht="13.8"/>
    <row r="1533" customFormat="1" ht="13.8"/>
    <row r="1534" customFormat="1" ht="13.8"/>
    <row r="1535" customFormat="1" ht="13.8"/>
    <row r="1536" customFormat="1" ht="13.8"/>
    <row r="1537" customFormat="1" ht="13.8"/>
    <row r="1538" customFormat="1" ht="13.8"/>
    <row r="1539" customFormat="1" ht="13.8"/>
    <row r="1540" customFormat="1" ht="13.8"/>
    <row r="1541" customFormat="1" ht="13.8"/>
    <row r="1542" customFormat="1" ht="13.8"/>
    <row r="1543" customFormat="1" ht="13.8"/>
    <row r="1544" customFormat="1" ht="13.8"/>
    <row r="1545" customFormat="1" ht="13.8"/>
    <row r="1546" customFormat="1" ht="13.8"/>
    <row r="1547" customFormat="1" ht="13.8"/>
    <row r="1548" customFormat="1" ht="13.8"/>
    <row r="1549" customFormat="1" ht="13.8"/>
    <row r="1550" customFormat="1" ht="13.8"/>
    <row r="1551" customFormat="1" ht="13.8"/>
    <row r="1552" customFormat="1" ht="13.8"/>
    <row r="1553" customFormat="1" ht="13.8"/>
    <row r="1554" customFormat="1" ht="13.8"/>
    <row r="1555" customFormat="1" ht="13.8"/>
    <row r="1556" customFormat="1" ht="13.8"/>
    <row r="1557" customFormat="1" ht="13.8"/>
    <row r="1558" customFormat="1" ht="13.8"/>
    <row r="1559" customFormat="1" ht="13.8"/>
    <row r="1560" customFormat="1" ht="13.8"/>
    <row r="1561" customFormat="1" ht="13.8"/>
    <row r="1562" customFormat="1" ht="13.8"/>
    <row r="1563" customFormat="1" ht="13.8"/>
    <row r="1564" customFormat="1" ht="13.8"/>
    <row r="1565" customFormat="1" ht="13.8"/>
    <row r="1566" customFormat="1" ht="13.8"/>
    <row r="1567" customFormat="1" ht="13.8"/>
    <row r="1568" customFormat="1" ht="13.8"/>
    <row r="1569" customFormat="1" ht="13.8"/>
    <row r="1570" customFormat="1" ht="13.8"/>
    <row r="1571" customFormat="1" ht="13.8"/>
    <row r="1572" customFormat="1" ht="13.8"/>
    <row r="1573" customFormat="1" ht="13.8"/>
    <row r="1574" customFormat="1" ht="13.8"/>
    <row r="1575" customFormat="1" ht="13.8"/>
    <row r="1576" customFormat="1" ht="13.8"/>
    <row r="1577" customFormat="1" ht="13.8"/>
    <row r="1578" customFormat="1" ht="13.8"/>
    <row r="1579" customFormat="1" ht="13.8"/>
    <row r="1580" customFormat="1" ht="13.8"/>
    <row r="1581" customFormat="1" ht="13.8"/>
    <row r="1582" customFormat="1" ht="13.8"/>
    <row r="1583" customFormat="1" ht="13.8"/>
    <row r="1584" customFormat="1" ht="13.8"/>
    <row r="1585" customFormat="1" ht="13.8"/>
    <row r="1586" customFormat="1" ht="13.8"/>
    <row r="1587" customFormat="1" ht="13.8"/>
    <row r="1588" customFormat="1" ht="13.8"/>
    <row r="1589" customFormat="1" ht="13.8"/>
    <row r="1590" customFormat="1" ht="13.8"/>
    <row r="1591" customFormat="1" ht="13.8"/>
    <row r="1592" customFormat="1" ht="13.8"/>
    <row r="1593" customFormat="1" ht="13.8"/>
    <row r="1594" customFormat="1" ht="13.8"/>
    <row r="1595" customFormat="1" ht="13.8"/>
    <row r="1596" customFormat="1" ht="13.8"/>
    <row r="1597" customFormat="1" ht="13.8"/>
    <row r="1598" customFormat="1" ht="13.8"/>
    <row r="1599" customFormat="1" ht="13.8"/>
    <row r="1600" customFormat="1" ht="13.8"/>
    <row r="1601" customFormat="1" ht="13.8"/>
    <row r="1602" customFormat="1" ht="13.8"/>
    <row r="1603" customFormat="1" ht="13.8"/>
    <row r="1604" customFormat="1" ht="13.8"/>
    <row r="1605" customFormat="1" ht="13.8"/>
    <row r="1606" customFormat="1" ht="13.8"/>
    <row r="1607" customFormat="1" ht="13.8"/>
    <row r="1608" customFormat="1" ht="13.8"/>
    <row r="1609" customFormat="1" ht="13.8"/>
    <row r="1610" customFormat="1" ht="13.8"/>
    <row r="1611" customFormat="1" ht="13.8"/>
    <row r="1612" customFormat="1" ht="13.8"/>
    <row r="1613" customFormat="1" ht="13.8"/>
    <row r="1614" customFormat="1" ht="13.8"/>
    <row r="1615" customFormat="1" ht="13.8"/>
    <row r="1616" customFormat="1" ht="13.8"/>
    <row r="1617" customFormat="1" ht="13.8"/>
    <row r="1618" customFormat="1" ht="13.8"/>
    <row r="1619" customFormat="1" ht="13.8"/>
    <row r="1620" customFormat="1" ht="13.8"/>
    <row r="1621" customFormat="1" ht="13.8"/>
    <row r="1622" customFormat="1" ht="13.8"/>
    <row r="1623" customFormat="1" ht="13.8"/>
    <row r="1624" customFormat="1" ht="13.8"/>
    <row r="1625" customFormat="1" ht="13.8"/>
    <row r="1626" customFormat="1" ht="13.8"/>
    <row r="1627" customFormat="1" ht="13.8"/>
    <row r="1628" customFormat="1" ht="13.8"/>
    <row r="1629" customFormat="1" ht="13.8"/>
    <row r="1630" customFormat="1" ht="13.8"/>
    <row r="1631" customFormat="1" ht="13.8"/>
    <row r="1632" customFormat="1" ht="13.8"/>
    <row r="1633" customFormat="1" ht="13.8"/>
    <row r="1634" customFormat="1" ht="13.8"/>
    <row r="1635" customFormat="1" ht="13.8"/>
    <row r="1636" customFormat="1" ht="13.8"/>
    <row r="1637" customFormat="1" ht="13.8"/>
    <row r="1638" customFormat="1" ht="13.8"/>
    <row r="1639" customFormat="1" ht="13.8"/>
    <row r="1640" customFormat="1" ht="13.8"/>
    <row r="1641" customFormat="1" ht="13.8"/>
    <row r="1642" customFormat="1" ht="13.8"/>
    <row r="1643" customFormat="1" ht="13.8"/>
    <row r="1644" customFormat="1" ht="13.8"/>
    <row r="1645" customFormat="1" ht="13.8"/>
    <row r="1646" customFormat="1" ht="13.8"/>
    <row r="1647" customFormat="1" ht="13.8"/>
    <row r="1648" customFormat="1" ht="13.8"/>
    <row r="1649" customFormat="1" ht="13.8"/>
    <row r="1650" customFormat="1" ht="13.8"/>
    <row r="1651" customFormat="1" ht="13.8"/>
    <row r="1652" customFormat="1" ht="13.8"/>
    <row r="1653" customFormat="1" ht="13.8"/>
    <row r="1654" customFormat="1" ht="13.8"/>
    <row r="1655" customFormat="1" ht="13.8"/>
    <row r="1656" customFormat="1" ht="13.8"/>
    <row r="1657" customFormat="1" ht="13.8"/>
    <row r="1658" customFormat="1" ht="13.8"/>
    <row r="1659" customFormat="1" ht="13.8"/>
    <row r="1660" customFormat="1" ht="13.8"/>
    <row r="1661" customFormat="1" ht="13.8"/>
    <row r="1662" customFormat="1" ht="13.8"/>
    <row r="1663" customFormat="1" ht="13.8"/>
    <row r="1664" customFormat="1" ht="13.8"/>
    <row r="1665" customFormat="1" ht="13.8"/>
    <row r="1666" customFormat="1" ht="13.8"/>
    <row r="1667" customFormat="1" ht="13.8"/>
    <row r="1668" customFormat="1" ht="13.8"/>
    <row r="1669" customFormat="1" ht="13.8"/>
    <row r="1670" customFormat="1" ht="13.8"/>
    <row r="1671" customFormat="1" ht="13.8"/>
    <row r="1672" customFormat="1" ht="13.8"/>
    <row r="1673" customFormat="1" ht="13.8"/>
    <row r="1674" customFormat="1" ht="13.8"/>
    <row r="1675" customFormat="1" ht="13.8"/>
    <row r="1676" customFormat="1" ht="13.8"/>
    <row r="1677" customFormat="1" ht="13.8"/>
    <row r="1678" customFormat="1" ht="13.8"/>
    <row r="1679" customFormat="1" ht="13.8"/>
    <row r="1680" customFormat="1" ht="13.8"/>
    <row r="1681" customFormat="1" ht="13.8"/>
    <row r="1682" customFormat="1" ht="13.8"/>
    <row r="1683" customFormat="1" ht="13.8"/>
    <row r="1684" customFormat="1" ht="13.8"/>
    <row r="1685" customFormat="1" ht="13.8"/>
    <row r="1686" customFormat="1" ht="13.8"/>
    <row r="1687" customFormat="1" ht="13.8"/>
    <row r="1688" customFormat="1" ht="13.8"/>
    <row r="1689" customFormat="1" ht="13.8"/>
    <row r="1690" customFormat="1" ht="13.8"/>
    <row r="1691" customFormat="1" ht="13.8"/>
    <row r="1692" customFormat="1" ht="13.8"/>
    <row r="1693" customFormat="1" ht="13.8"/>
    <row r="1694" customFormat="1" ht="13.8"/>
    <row r="1695" customFormat="1" ht="13.8"/>
    <row r="1696" customFormat="1" ht="13.8"/>
    <row r="1697" customFormat="1" ht="13.8"/>
    <row r="1698" customFormat="1" ht="13.8"/>
    <row r="1699" customFormat="1" ht="13.8"/>
    <row r="1700" customFormat="1" ht="13.8"/>
    <row r="1701" customFormat="1" ht="13.8"/>
    <row r="1702" customFormat="1" ht="13.8"/>
    <row r="1703" customFormat="1" ht="13.8"/>
    <row r="1704" customFormat="1" ht="13.8"/>
    <row r="1705" customFormat="1" ht="13.8"/>
    <row r="1706" customFormat="1" ht="13.8"/>
    <row r="1707" customFormat="1" ht="13.8"/>
    <row r="1708" customFormat="1" ht="13.8"/>
    <row r="1709" customFormat="1" ht="13.8"/>
    <row r="1710" customFormat="1" ht="13.8"/>
    <row r="1711" customFormat="1" ht="13.8"/>
    <row r="1712" customFormat="1" ht="13.8"/>
    <row r="1713" customFormat="1" ht="13.8"/>
    <row r="1714" customFormat="1" ht="13.8"/>
    <row r="1715" customFormat="1" ht="13.8"/>
    <row r="1716" customFormat="1" ht="13.8"/>
    <row r="1717" customFormat="1" ht="13.8"/>
    <row r="1718" customFormat="1" ht="13.8"/>
    <row r="1719" customFormat="1" ht="13.8"/>
    <row r="1720" customFormat="1" ht="13.8"/>
    <row r="1721" customFormat="1" ht="13.8"/>
    <row r="1722" customFormat="1" ht="13.8"/>
    <row r="1723" customFormat="1" ht="13.8"/>
    <row r="1724" customFormat="1" ht="13.8"/>
    <row r="1725" customFormat="1" ht="13.8"/>
    <row r="1726" customFormat="1" ht="13.8"/>
    <row r="1727" customFormat="1" ht="13.8"/>
    <row r="1728" customFormat="1" ht="13.8"/>
    <row r="1729" customFormat="1" ht="13.8"/>
    <row r="1730" customFormat="1" ht="13.8"/>
    <row r="1731" customFormat="1" ht="13.8"/>
    <row r="1732" customFormat="1" ht="13.8"/>
    <row r="1733" customFormat="1" ht="13.8"/>
    <row r="1734" customFormat="1" ht="13.8"/>
    <row r="1735" customFormat="1" ht="13.8"/>
    <row r="1736" customFormat="1" ht="13.8"/>
    <row r="1737" customFormat="1" ht="13.8"/>
    <row r="1738" customFormat="1" ht="13.8"/>
    <row r="1739" customFormat="1" ht="13.8"/>
    <row r="1740" customFormat="1" ht="13.8"/>
    <row r="1741" customFormat="1" ht="13.8"/>
    <row r="1742" customFormat="1" ht="13.8"/>
    <row r="1743" customFormat="1" ht="13.8"/>
    <row r="1744" customFormat="1" ht="13.8"/>
    <row r="1745" customFormat="1" ht="13.8"/>
    <row r="1746" customFormat="1" ht="13.8"/>
    <row r="1747" customFormat="1" ht="13.8"/>
    <row r="1748" customFormat="1" ht="13.8"/>
    <row r="1749" customFormat="1" ht="13.8"/>
    <row r="1750" customFormat="1" ht="13.8"/>
    <row r="1751" customFormat="1" ht="13.8"/>
    <row r="1752" customFormat="1" ht="13.8"/>
    <row r="1753" customFormat="1" ht="13.8"/>
    <row r="1754" customFormat="1" ht="13.8"/>
    <row r="1755" customFormat="1" ht="13.8"/>
    <row r="1756" customFormat="1" ht="13.8"/>
    <row r="1757" customFormat="1" ht="13.8"/>
    <row r="1758" customFormat="1" ht="13.8"/>
    <row r="1759" customFormat="1" ht="13.8"/>
    <row r="1760" customFormat="1" ht="13.8"/>
    <row r="1761" customFormat="1" ht="13.8"/>
    <row r="1762" customFormat="1" ht="13.8"/>
    <row r="1763" customFormat="1" ht="13.8"/>
    <row r="1764" customFormat="1" ht="13.8"/>
    <row r="1765" customFormat="1" ht="13.8"/>
    <row r="1766" customFormat="1" ht="13.8"/>
    <row r="1767" customFormat="1" ht="13.8"/>
    <row r="1768" customFormat="1" ht="13.8"/>
    <row r="1769" customFormat="1" ht="13.8"/>
    <row r="1770" customFormat="1" ht="13.8"/>
    <row r="1771" customFormat="1" ht="13.8"/>
    <row r="1772" customFormat="1" ht="13.8"/>
    <row r="1773" customFormat="1" ht="13.8"/>
    <row r="1774" customFormat="1" ht="13.8"/>
    <row r="1775" customFormat="1" ht="13.8"/>
    <row r="1776" customFormat="1" ht="13.8"/>
    <row r="1777" customFormat="1" ht="13.8"/>
    <row r="1778" customFormat="1" ht="13.8"/>
    <row r="1779" customFormat="1" ht="13.8"/>
    <row r="1780" customFormat="1" ht="13.8"/>
    <row r="1781" customFormat="1" ht="13.8"/>
    <row r="1782" customFormat="1" ht="13.8"/>
    <row r="1783" customFormat="1" ht="13.8"/>
    <row r="1784" customFormat="1" ht="13.8"/>
    <row r="1785" customFormat="1" ht="13.8"/>
    <row r="1786" customFormat="1" ht="13.8"/>
    <row r="1787" customFormat="1" ht="13.8"/>
    <row r="1788" customFormat="1" ht="13.8"/>
    <row r="1789" customFormat="1" ht="13.8"/>
    <row r="1790" customFormat="1" ht="13.8"/>
    <row r="1791" customFormat="1" ht="13.8"/>
    <row r="1792" customFormat="1" ht="13.8"/>
    <row r="1793" customFormat="1" ht="13.8"/>
    <row r="1794" customFormat="1" ht="13.8"/>
    <row r="1795" customFormat="1" ht="13.8"/>
    <row r="1796" customFormat="1" ht="13.8"/>
    <row r="1797" customFormat="1" ht="13.8"/>
    <row r="1798" customFormat="1" ht="13.8"/>
    <row r="1799" customFormat="1" ht="13.8"/>
    <row r="1800" customFormat="1" ht="13.8"/>
    <row r="1801" customFormat="1" ht="13.8"/>
    <row r="1802" customFormat="1" ht="13.8"/>
    <row r="1803" customFormat="1" ht="13.8"/>
    <row r="1804" customFormat="1" ht="13.8"/>
    <row r="1805" customFormat="1" ht="13.8"/>
    <row r="1806" customFormat="1" ht="13.8"/>
    <row r="1807" customFormat="1" ht="13.8"/>
    <row r="1808" customFormat="1" ht="13.8"/>
    <row r="1809" customFormat="1" ht="13.8"/>
    <row r="1810" customFormat="1" ht="13.8"/>
    <row r="1811" customFormat="1" ht="13.8"/>
    <row r="1812" customFormat="1" ht="13.8"/>
    <row r="1813" customFormat="1" ht="13.8"/>
    <row r="1814" customFormat="1" ht="13.8"/>
    <row r="1815" customFormat="1" ht="13.8"/>
    <row r="1816" customFormat="1" ht="13.8"/>
    <row r="1817" customFormat="1" ht="13.8"/>
    <row r="1818" customFormat="1" ht="13.8"/>
    <row r="1819" customFormat="1" ht="13.8"/>
    <row r="1820" customFormat="1" ht="13.8"/>
    <row r="1821" customFormat="1" ht="13.8"/>
    <row r="1822" customFormat="1" ht="13.8"/>
    <row r="1823" customFormat="1" ht="13.8"/>
    <row r="1824" customFormat="1" ht="13.8"/>
    <row r="1825" customFormat="1" ht="13.8"/>
    <row r="1826" customFormat="1" ht="13.8"/>
    <row r="1827" customFormat="1" ht="13.8"/>
    <row r="1828" customFormat="1" ht="13.8"/>
    <row r="1829" customFormat="1" ht="13.8"/>
    <row r="1830" customFormat="1" ht="13.8"/>
    <row r="1831" customFormat="1" ht="13.8"/>
    <row r="1832" customFormat="1" ht="13.8"/>
    <row r="1833" customFormat="1" ht="13.8"/>
    <row r="1834" customFormat="1" ht="13.8"/>
    <row r="1835" customFormat="1" ht="13.8"/>
    <row r="1836" customFormat="1" ht="13.8"/>
    <row r="1837" customFormat="1" ht="13.8"/>
    <row r="1838" customFormat="1" ht="13.8"/>
    <row r="1839" customFormat="1" ht="13.8"/>
    <row r="1840" customFormat="1" ht="13.8"/>
    <row r="1841" customFormat="1" ht="13.8"/>
    <row r="1842" customFormat="1" ht="13.8"/>
    <row r="1843" customFormat="1" ht="13.8"/>
    <row r="1844" customFormat="1" ht="13.8"/>
    <row r="1845" customFormat="1" ht="13.8"/>
    <row r="1846" customFormat="1" ht="13.8"/>
    <row r="1847" customFormat="1" ht="13.8"/>
    <row r="1848" customFormat="1" ht="13.8"/>
    <row r="1849" customFormat="1" ht="13.8"/>
    <row r="1850" customFormat="1" ht="13.8"/>
    <row r="1851" customFormat="1" ht="13.8"/>
    <row r="1852" customFormat="1" ht="13.8"/>
    <row r="1853" customFormat="1" ht="13.8"/>
    <row r="1854" customFormat="1" ht="13.8"/>
    <row r="1855" customFormat="1" ht="13.8"/>
    <row r="1856" customFormat="1" ht="13.8"/>
    <row r="1857" customFormat="1" ht="13.8"/>
    <row r="1858" customFormat="1" ht="13.8"/>
    <row r="1859" customFormat="1" ht="13.8"/>
    <row r="1860" customFormat="1" ht="13.8"/>
    <row r="1861" customFormat="1" ht="13.8"/>
    <row r="1862" customFormat="1" ht="13.8"/>
    <row r="1863" customFormat="1" ht="13.8"/>
    <row r="1864" customFormat="1" ht="13.8"/>
    <row r="1865" customFormat="1" ht="13.8"/>
    <row r="1866" customFormat="1" ht="13.8"/>
    <row r="1867" customFormat="1" ht="13.8"/>
    <row r="1868" customFormat="1" ht="13.8"/>
    <row r="1869" customFormat="1" ht="13.8"/>
    <row r="1870" customFormat="1" ht="13.8"/>
    <row r="1871" customFormat="1" ht="13.8"/>
    <row r="1872" customFormat="1" ht="13.8"/>
    <row r="1873" customFormat="1" ht="13.8"/>
    <row r="1874" customFormat="1" ht="13.8"/>
    <row r="1875" customFormat="1" ht="13.8"/>
    <row r="1876" customFormat="1" ht="13.8"/>
    <row r="1877" customFormat="1" ht="13.8"/>
    <row r="1878" customFormat="1" ht="13.8"/>
    <row r="1879" customFormat="1" ht="13.8"/>
    <row r="1880" customFormat="1" ht="13.8"/>
    <row r="1881" customFormat="1" ht="13.8"/>
    <row r="1882" customFormat="1" ht="13.8"/>
    <row r="1883" customFormat="1" ht="13.8"/>
    <row r="1884" customFormat="1" ht="13.8"/>
    <row r="1885" customFormat="1" ht="13.8"/>
    <row r="1886" customFormat="1" ht="13.8"/>
    <row r="1887" customFormat="1" ht="13.8"/>
    <row r="1888" customFormat="1" ht="13.8"/>
    <row r="1889" customFormat="1" ht="13.8"/>
    <row r="1890" customFormat="1" ht="13.8"/>
    <row r="1891" customFormat="1" ht="13.8"/>
    <row r="1892" customFormat="1" ht="13.8"/>
    <row r="1893" customFormat="1" ht="13.8"/>
    <row r="1894" customFormat="1" ht="13.8"/>
    <row r="1895" customFormat="1" ht="13.8"/>
    <row r="1896" customFormat="1" ht="13.8"/>
    <row r="1897" customFormat="1" ht="13.8"/>
    <row r="1898" customFormat="1" ht="13.8"/>
    <row r="1899" customFormat="1" ht="13.8"/>
    <row r="1900" customFormat="1" ht="13.8"/>
    <row r="1901" customFormat="1" ht="13.8"/>
    <row r="1902" customFormat="1" ht="13.8"/>
    <row r="1903" customFormat="1" ht="13.8"/>
    <row r="1904" customFormat="1" ht="13.8"/>
    <row r="1905" customFormat="1" ht="13.8"/>
    <row r="1906" customFormat="1" ht="13.8"/>
    <row r="1907" customFormat="1" ht="13.8"/>
    <row r="1908" customFormat="1" ht="13.8"/>
    <row r="1909" customFormat="1" ht="13.8"/>
    <row r="1910" customFormat="1" ht="13.8"/>
    <row r="1911" customFormat="1" ht="13.8"/>
    <row r="1912" customFormat="1" ht="13.8"/>
    <row r="1913" customFormat="1" ht="13.8"/>
    <row r="1914" customFormat="1" ht="13.8"/>
    <row r="1915" customFormat="1" ht="13.8"/>
    <row r="1916" customFormat="1" ht="13.8"/>
    <row r="1917" customFormat="1" ht="13.8"/>
    <row r="1918" customFormat="1" ht="13.8"/>
    <row r="1919" customFormat="1" ht="13.8"/>
    <row r="1920" customFormat="1" ht="13.8"/>
    <row r="1921" customFormat="1" ht="13.8"/>
    <row r="1922" customFormat="1" ht="13.8"/>
    <row r="1923" customFormat="1" ht="13.8"/>
    <row r="1924" customFormat="1" ht="13.8"/>
    <row r="1925" customFormat="1" ht="13.8"/>
    <row r="1926" customFormat="1" ht="13.8"/>
    <row r="1927" customFormat="1" ht="13.8"/>
    <row r="1928" customFormat="1" ht="13.8"/>
    <row r="1929" customFormat="1" ht="13.8"/>
    <row r="1930" customFormat="1" ht="13.8"/>
    <row r="1931" customFormat="1" ht="13.8"/>
    <row r="1932" customFormat="1" ht="13.8"/>
    <row r="1933" customFormat="1" ht="13.8"/>
    <row r="1934" customFormat="1" ht="13.8"/>
    <row r="1935" customFormat="1" ht="13.8"/>
    <row r="1936" customFormat="1" ht="13.8"/>
    <row r="1937" customFormat="1" ht="13.8"/>
    <row r="1938" customFormat="1" ht="13.8"/>
    <row r="1939" customFormat="1" ht="13.8"/>
    <row r="1940" customFormat="1" ht="13.8"/>
    <row r="1941" customFormat="1" ht="13.8"/>
    <row r="1942" customFormat="1" ht="13.8"/>
    <row r="1943" customFormat="1" ht="13.8"/>
    <row r="1944" customFormat="1" ht="13.8"/>
    <row r="1945" customFormat="1" ht="13.8"/>
    <row r="1946" customFormat="1" ht="13.8"/>
    <row r="1947" customFormat="1" ht="13.8"/>
    <row r="1948" customFormat="1" ht="13.8"/>
    <row r="1949" customFormat="1" ht="13.8"/>
    <row r="1950" customFormat="1" ht="13.8"/>
    <row r="1951" customFormat="1" ht="13.8"/>
    <row r="1952" customFormat="1" ht="13.8"/>
    <row r="1953" customFormat="1" ht="13.8"/>
    <row r="1954" customFormat="1" ht="13.8"/>
    <row r="1955" customFormat="1" ht="13.8"/>
    <row r="1956" customFormat="1" ht="13.8"/>
    <row r="1957" customFormat="1" ht="13.8"/>
    <row r="1958" customFormat="1" ht="13.8"/>
    <row r="1959" customFormat="1" ht="13.8"/>
    <row r="1960" customFormat="1" ht="13.8"/>
    <row r="1961" customFormat="1" ht="13.8"/>
    <row r="1962" customFormat="1" ht="13.8"/>
    <row r="1963" customFormat="1" ht="13.8"/>
    <row r="1964" customFormat="1" ht="13.8"/>
    <row r="1965" customFormat="1" ht="13.8"/>
    <row r="1966" customFormat="1" ht="13.8"/>
    <row r="1967" customFormat="1" ht="13.8"/>
    <row r="1968" customFormat="1" ht="13.8"/>
    <row r="1969" customFormat="1" ht="13.8"/>
    <row r="1970" customFormat="1" ht="13.8"/>
    <row r="1971" customFormat="1" ht="13.8"/>
    <row r="1972" customFormat="1" ht="13.8"/>
    <row r="1973" customFormat="1" ht="13.8"/>
    <row r="1974" customFormat="1" ht="13.8"/>
    <row r="1975" customFormat="1" ht="13.8"/>
    <row r="1976" customFormat="1" ht="13.8"/>
    <row r="1977" customFormat="1" ht="13.8"/>
    <row r="1978" customFormat="1" ht="13.8"/>
    <row r="1979" customFormat="1" ht="13.8"/>
    <row r="1980" customFormat="1" ht="13.8"/>
    <row r="1981" customFormat="1" ht="13.8"/>
    <row r="1982" customFormat="1" ht="13.8"/>
    <row r="1983" customFormat="1" ht="13.8"/>
    <row r="1984" customFormat="1" ht="13.8"/>
    <row r="1985" customFormat="1" ht="13.8"/>
    <row r="1986" customFormat="1" ht="13.8"/>
    <row r="1987" customFormat="1" ht="13.8"/>
    <row r="1988" customFormat="1" ht="13.8"/>
    <row r="1989" customFormat="1" ht="13.8"/>
    <row r="1990" customFormat="1" ht="13.8"/>
    <row r="1991" customFormat="1" ht="13.8"/>
    <row r="1992" customFormat="1" ht="13.8"/>
    <row r="1993" customFormat="1" ht="13.8"/>
    <row r="1994" customFormat="1" ht="13.8"/>
    <row r="1995" customFormat="1" ht="13.8"/>
    <row r="1996" customFormat="1" ht="13.8"/>
    <row r="1997" customFormat="1" ht="13.8"/>
    <row r="1998" customFormat="1" ht="13.8"/>
    <row r="1999" customFormat="1" ht="13.8"/>
    <row r="2000" customFormat="1" ht="13.8"/>
    <row r="2001" customFormat="1" ht="13.8"/>
    <row r="2002" customFormat="1" ht="13.8"/>
    <row r="2003" customFormat="1" ht="13.8"/>
    <row r="2004" customFormat="1" ht="13.8"/>
    <row r="2005" customFormat="1" ht="13.8"/>
    <row r="2006" customFormat="1" ht="13.8"/>
    <row r="2007" customFormat="1" ht="13.8"/>
    <row r="2008" customFormat="1" ht="13.8"/>
    <row r="2009" customFormat="1" ht="13.8"/>
    <row r="2010" customFormat="1" ht="13.8"/>
    <row r="2011" customFormat="1" ht="13.8"/>
    <row r="2012" customFormat="1" ht="13.8"/>
    <row r="2013" customFormat="1" ht="13.8"/>
    <row r="2014" customFormat="1" ht="13.8"/>
    <row r="2015" customFormat="1" ht="13.8"/>
    <row r="2016" customFormat="1" ht="13.8"/>
    <row r="2017" customFormat="1" ht="13.8"/>
    <row r="2018" customFormat="1" ht="13.8"/>
    <row r="2019" customFormat="1" ht="13.8"/>
    <row r="2020" customFormat="1" ht="13.8"/>
    <row r="2021" customFormat="1" ht="13.8"/>
    <row r="2022" customFormat="1" ht="13.8"/>
    <row r="2023" customFormat="1" ht="13.8"/>
    <row r="2024" customFormat="1" ht="13.8"/>
    <row r="2025" customFormat="1" ht="13.8"/>
    <row r="2026" customFormat="1" ht="13.8"/>
    <row r="2027" customFormat="1" ht="13.8"/>
    <row r="2028" customFormat="1" ht="13.8"/>
    <row r="2029" customFormat="1" ht="13.8"/>
    <row r="2030" customFormat="1" ht="13.8"/>
    <row r="2031" customFormat="1" ht="13.8"/>
    <row r="2032" customFormat="1" ht="13.8"/>
    <row r="2033" customFormat="1" ht="13.8"/>
    <row r="2034" customFormat="1" ht="13.8"/>
    <row r="2035" customFormat="1" ht="13.8"/>
    <row r="2036" customFormat="1" ht="13.8"/>
    <row r="2037" customFormat="1" ht="13.8"/>
    <row r="2038" customFormat="1" ht="13.8"/>
    <row r="2039" customFormat="1" ht="13.8"/>
    <row r="2040" customFormat="1" ht="13.8"/>
    <row r="2041" customFormat="1" ht="13.8"/>
    <row r="2042" customFormat="1" ht="13.8"/>
    <row r="2043" customFormat="1" ht="13.8"/>
    <row r="2044" customFormat="1" ht="13.8"/>
    <row r="2045" customFormat="1" ht="13.8"/>
    <row r="2046" customFormat="1" ht="13.8"/>
    <row r="2047" customFormat="1" ht="13.8"/>
    <row r="2048" customFormat="1" ht="13.8"/>
    <row r="2049" customFormat="1" ht="13.8"/>
    <row r="2050" customFormat="1" ht="13.8"/>
    <row r="2051" customFormat="1" ht="13.8"/>
    <row r="2052" customFormat="1" ht="13.8"/>
    <row r="2053" customFormat="1" ht="13.8"/>
    <row r="2054" customFormat="1" ht="13.8"/>
    <row r="2055" customFormat="1" ht="13.8"/>
    <row r="2056" customFormat="1" ht="13.8"/>
    <row r="2057" customFormat="1" ht="13.8"/>
    <row r="2058" customFormat="1" ht="13.8"/>
    <row r="2059" customFormat="1" ht="13.8"/>
    <row r="2060" customFormat="1" ht="13.8"/>
    <row r="2061" customFormat="1" ht="13.8"/>
    <row r="2062" customFormat="1" ht="13.8"/>
    <row r="2063" customFormat="1" ht="13.8"/>
    <row r="2064" customFormat="1" ht="13.8"/>
    <row r="2065" customFormat="1" ht="13.8"/>
    <row r="2066" customFormat="1" ht="13.8"/>
    <row r="2067" customFormat="1" ht="13.8"/>
    <row r="2068" customFormat="1" ht="13.8"/>
    <row r="2069" customFormat="1" ht="13.8"/>
    <row r="2070" customFormat="1" ht="13.8"/>
    <row r="2071" customFormat="1" ht="13.8"/>
    <row r="2072" customFormat="1" ht="13.8"/>
    <row r="2073" customFormat="1" ht="13.8"/>
    <row r="2074" customFormat="1" ht="13.8"/>
    <row r="2075" customFormat="1" ht="13.8"/>
    <row r="2076" customFormat="1" ht="13.8"/>
    <row r="2077" customFormat="1" ht="13.8"/>
    <row r="2078" customFormat="1" ht="13.8"/>
    <row r="2079" customFormat="1" ht="13.8"/>
    <row r="2080" customFormat="1" ht="13.8"/>
    <row r="2081" customFormat="1" ht="13.8"/>
    <row r="2082" customFormat="1" ht="13.8"/>
    <row r="2083" customFormat="1" ht="13.8"/>
    <row r="2084" customFormat="1" ht="13.8"/>
    <row r="2085" customFormat="1" ht="13.8"/>
    <row r="2086" customFormat="1" ht="13.8"/>
    <row r="2087" customFormat="1" ht="13.8"/>
    <row r="2088" customFormat="1" ht="13.8"/>
    <row r="2089" customFormat="1" ht="13.8"/>
    <row r="2090" customFormat="1" ht="13.8"/>
    <row r="2091" customFormat="1" ht="13.8"/>
    <row r="2092" customFormat="1" ht="13.8"/>
    <row r="2093" customFormat="1" ht="13.8"/>
    <row r="2094" customFormat="1" ht="13.8"/>
    <row r="2095" customFormat="1" ht="13.8"/>
    <row r="2096" customFormat="1" ht="13.8"/>
    <row r="2097" customFormat="1" ht="13.8"/>
    <row r="2098" customFormat="1" ht="13.8"/>
    <row r="2099" customFormat="1" ht="13.8"/>
    <row r="2100" customFormat="1" ht="13.8"/>
    <row r="2101" customFormat="1" ht="13.8"/>
    <row r="2102" customFormat="1" ht="13.8"/>
    <row r="2103" customFormat="1" ht="13.8"/>
    <row r="2104" customFormat="1" ht="13.8"/>
    <row r="2105" customFormat="1" ht="13.8"/>
    <row r="2106" customFormat="1" ht="13.8"/>
    <row r="2107" customFormat="1" ht="13.8"/>
    <row r="2108" customFormat="1" ht="13.8"/>
    <row r="2109" customFormat="1" ht="13.8"/>
    <row r="2110" customFormat="1" ht="13.8"/>
    <row r="2111" customFormat="1" ht="13.8"/>
    <row r="2112" customFormat="1" ht="13.8"/>
    <row r="2113" customFormat="1" ht="13.8"/>
    <row r="2114" customFormat="1" ht="13.8"/>
    <row r="2115" customFormat="1" ht="13.8"/>
    <row r="2116" customFormat="1" ht="13.8"/>
    <row r="2117" customFormat="1" ht="13.8"/>
    <row r="2118" customFormat="1" ht="13.8"/>
    <row r="2119" customFormat="1" ht="13.8"/>
    <row r="2120" customFormat="1" ht="13.8"/>
    <row r="2121" customFormat="1" ht="13.8"/>
    <row r="2122" customFormat="1" ht="13.8"/>
    <row r="2123" customFormat="1" ht="13.8"/>
    <row r="2124" customFormat="1" ht="13.8"/>
    <row r="2125" customFormat="1" ht="13.8"/>
    <row r="2126" customFormat="1" ht="13.8"/>
    <row r="2127" customFormat="1" ht="13.8"/>
    <row r="2128" customFormat="1" ht="13.8"/>
    <row r="2129" customFormat="1" ht="13.8"/>
    <row r="2130" customFormat="1" ht="13.8"/>
    <row r="2131" customFormat="1" ht="13.8"/>
    <row r="2132" customFormat="1" ht="13.8"/>
    <row r="2133" customFormat="1" ht="13.8"/>
    <row r="2134" customFormat="1" ht="13.8"/>
    <row r="2135" customFormat="1" ht="13.8"/>
    <row r="2136" customFormat="1" ht="13.8"/>
    <row r="2137" customFormat="1" ht="13.8"/>
    <row r="2138" customFormat="1" ht="13.8"/>
    <row r="2139" customFormat="1" ht="13.8"/>
    <row r="2140" customFormat="1" ht="13.8"/>
    <row r="2141" customFormat="1" ht="13.8"/>
    <row r="2142" customFormat="1" ht="13.8"/>
    <row r="2143" customFormat="1" ht="13.8"/>
    <row r="2144" customFormat="1" ht="13.8"/>
    <row r="2145" customFormat="1" ht="13.8"/>
    <row r="2146" customFormat="1" ht="13.8"/>
    <row r="2147" customFormat="1" ht="13.8"/>
    <row r="2148" customFormat="1" ht="13.8"/>
    <row r="2149" customFormat="1" ht="13.8"/>
    <row r="2150" customFormat="1" ht="13.8"/>
    <row r="2151" customFormat="1" ht="13.8"/>
    <row r="2152" customFormat="1" ht="13.8"/>
    <row r="2153" customFormat="1" ht="13.8"/>
    <row r="2154" customFormat="1" ht="13.8"/>
    <row r="2155" customFormat="1" ht="13.8"/>
    <row r="2156" customFormat="1" ht="13.8"/>
    <row r="2157" customFormat="1" ht="13.8"/>
    <row r="2158" customFormat="1" ht="13.8"/>
    <row r="2159" customFormat="1" ht="13.8"/>
    <row r="2160" customFormat="1" ht="13.8"/>
    <row r="2161" customFormat="1" ht="13.8"/>
    <row r="2162" customFormat="1" ht="13.8"/>
    <row r="2163" customFormat="1" ht="13.8"/>
    <row r="2164" customFormat="1" ht="13.8"/>
    <row r="2165" customFormat="1" ht="13.8"/>
    <row r="2166" customFormat="1" ht="13.8"/>
    <row r="2167" customFormat="1" ht="13.8"/>
    <row r="2168" customFormat="1" ht="13.8"/>
    <row r="2169" customFormat="1" ht="13.8"/>
    <row r="2170" customFormat="1" ht="13.8"/>
    <row r="2171" customFormat="1" ht="13.8"/>
    <row r="2172" customFormat="1" ht="13.8"/>
    <row r="2173" customFormat="1" ht="13.8"/>
    <row r="2174" customFormat="1" ht="13.8"/>
    <row r="2175" customFormat="1" ht="13.8"/>
    <row r="2176" customFormat="1" ht="13.8"/>
    <row r="2177" customFormat="1" ht="13.8"/>
    <row r="2178" customFormat="1" ht="13.8"/>
    <row r="2179" customFormat="1" ht="13.8"/>
    <row r="2180" customFormat="1" ht="13.8"/>
    <row r="2181" customFormat="1" ht="13.8"/>
    <row r="2182" customFormat="1" ht="13.8"/>
    <row r="2183" customFormat="1" ht="13.8"/>
    <row r="2184" customFormat="1" ht="13.8"/>
    <row r="2185" customFormat="1" ht="13.8"/>
    <row r="2186" customFormat="1" ht="13.8"/>
    <row r="2187" customFormat="1" ht="13.8"/>
    <row r="2188" customFormat="1" ht="13.8"/>
    <row r="2189" customFormat="1" ht="13.8"/>
    <row r="2190" customFormat="1" ht="13.8"/>
    <row r="2191" customFormat="1" ht="13.8"/>
    <row r="2192" customFormat="1" ht="13.8"/>
    <row r="2193" customFormat="1" ht="13.8"/>
    <row r="2194" customFormat="1" ht="13.8"/>
    <row r="2195" customFormat="1" ht="13.8"/>
    <row r="2196" customFormat="1" ht="13.8"/>
    <row r="2197" customFormat="1" ht="13.8"/>
    <row r="2198" customFormat="1" ht="13.8"/>
    <row r="2199" customFormat="1" ht="13.8"/>
    <row r="2200" customFormat="1" ht="13.8"/>
    <row r="2201" customFormat="1" ht="13.8"/>
    <row r="2202" customFormat="1" ht="13.8"/>
    <row r="2203" customFormat="1" ht="13.8"/>
    <row r="2204" customFormat="1" ht="13.8"/>
    <row r="2205" customFormat="1" ht="13.8"/>
    <row r="2206" customFormat="1" ht="13.8"/>
    <row r="2207" customFormat="1" ht="13.8"/>
    <row r="2208" customFormat="1" ht="13.8"/>
    <row r="2209" customFormat="1" ht="13.8"/>
    <row r="2210" customFormat="1" ht="13.8"/>
    <row r="2211" customFormat="1" ht="13.8"/>
    <row r="2212" customFormat="1" ht="13.8"/>
    <row r="2213" customFormat="1" ht="13.8"/>
    <row r="2214" customFormat="1" ht="13.8"/>
    <row r="2215" customFormat="1" ht="13.8"/>
    <row r="2216" customFormat="1" ht="13.8"/>
    <row r="2217" customFormat="1" ht="13.8"/>
    <row r="2218" customFormat="1" ht="13.8"/>
    <row r="2219" customFormat="1" ht="13.8"/>
    <row r="2220" customFormat="1" ht="13.8"/>
    <row r="2221" customFormat="1" ht="13.8"/>
    <row r="2222" customFormat="1" ht="13.8"/>
    <row r="2223" customFormat="1" ht="13.8"/>
    <row r="2224" customFormat="1" ht="13.8"/>
    <row r="2225" customFormat="1" ht="13.8"/>
    <row r="2226" customFormat="1" ht="13.8"/>
    <row r="2227" customFormat="1" ht="13.8"/>
    <row r="2228" customFormat="1" ht="13.8"/>
    <row r="2229" customFormat="1" ht="13.8"/>
    <row r="2230" customFormat="1" ht="13.8"/>
    <row r="2231" customFormat="1" ht="13.8"/>
    <row r="2232" customFormat="1" ht="13.8"/>
    <row r="2233" customFormat="1" ht="13.8"/>
    <row r="2234" customFormat="1" ht="13.8"/>
    <row r="2235" customFormat="1" ht="13.8"/>
    <row r="2236" customFormat="1" ht="13.8"/>
    <row r="2237" customFormat="1" ht="13.8"/>
    <row r="2238" customFormat="1" ht="13.8"/>
    <row r="2239" customFormat="1" ht="13.8"/>
    <row r="2240" customFormat="1" ht="13.8"/>
    <row r="2241" customFormat="1" ht="13.8"/>
    <row r="2242" customFormat="1" ht="13.8"/>
    <row r="2243" customFormat="1" ht="13.8"/>
    <row r="2244" customFormat="1" ht="13.8"/>
    <row r="2245" customFormat="1" ht="13.8"/>
    <row r="2246" customFormat="1" ht="13.8"/>
    <row r="2247" customFormat="1" ht="13.8"/>
    <row r="2248" customFormat="1" ht="13.8"/>
    <row r="2249" customFormat="1" ht="13.8"/>
    <row r="2250" customFormat="1" ht="13.8"/>
    <row r="2251" customFormat="1" ht="13.8"/>
    <row r="2252" customFormat="1" ht="13.8"/>
    <row r="2253" customFormat="1" ht="13.8"/>
    <row r="2254" customFormat="1" ht="13.8"/>
    <row r="2255" customFormat="1" ht="13.8"/>
    <row r="2256" customFormat="1" ht="13.8"/>
    <row r="2257" customFormat="1" ht="13.8"/>
    <row r="2258" customFormat="1" ht="13.8"/>
    <row r="2259" customFormat="1" ht="13.8"/>
    <row r="2260" customFormat="1" ht="13.8"/>
    <row r="2261" customFormat="1" ht="13.8"/>
    <row r="2262" customFormat="1" ht="13.8"/>
    <row r="2263" customFormat="1" ht="13.8"/>
    <row r="2264" customFormat="1" ht="13.8"/>
    <row r="2265" customFormat="1" ht="13.8"/>
    <row r="2266" customFormat="1" ht="13.8"/>
    <row r="2267" customFormat="1" ht="13.8"/>
    <row r="2268" customFormat="1" ht="13.8"/>
    <row r="2269" customFormat="1" ht="13.8"/>
    <row r="2270" customFormat="1" ht="13.8"/>
    <row r="2271" customFormat="1" ht="13.8"/>
    <row r="2272" customFormat="1" ht="13.8"/>
    <row r="2273" customFormat="1" ht="13.8"/>
    <row r="2274" customFormat="1" ht="13.8"/>
    <row r="2275" customFormat="1" ht="13.8"/>
    <row r="2276" customFormat="1" ht="13.8"/>
    <row r="2277" customFormat="1" ht="13.8"/>
    <row r="2278" customFormat="1" ht="13.8"/>
    <row r="2279" customFormat="1" ht="13.8"/>
    <row r="2280" customFormat="1" ht="13.8"/>
    <row r="2281" customFormat="1" ht="13.8"/>
    <row r="2282" customFormat="1" ht="13.8"/>
    <row r="2283" customFormat="1" ht="13.8"/>
    <row r="2284" customFormat="1" ht="13.8"/>
    <row r="2285" customFormat="1" ht="13.8"/>
    <row r="2286" customFormat="1" ht="13.8"/>
    <row r="2287" customFormat="1" ht="13.8"/>
    <row r="2288" customFormat="1" ht="13.8"/>
    <row r="2289" customFormat="1" ht="13.8"/>
    <row r="2290" customFormat="1" ht="13.8"/>
    <row r="2291" customFormat="1" ht="13.8"/>
    <row r="2292" customFormat="1" ht="13.8"/>
    <row r="2293" customFormat="1" ht="13.8"/>
    <row r="2294" customFormat="1" ht="13.8"/>
    <row r="2295" customFormat="1" ht="13.8"/>
    <row r="2296" customFormat="1" ht="13.8"/>
    <row r="2297" customFormat="1" ht="13.8"/>
    <row r="2298" customFormat="1" ht="13.8"/>
    <row r="2299" customFormat="1" ht="13.8"/>
    <row r="2300" customFormat="1" ht="13.8"/>
    <row r="2301" customFormat="1" ht="13.8"/>
    <row r="2302" customFormat="1" ht="13.8"/>
    <row r="2303" customFormat="1" ht="13.8"/>
    <row r="2304" customFormat="1" ht="13.8"/>
    <row r="2305" customFormat="1" ht="13.8"/>
    <row r="2306" customFormat="1" ht="13.8"/>
    <row r="2307" customFormat="1" ht="13.8"/>
    <row r="2308" customFormat="1" ht="13.8"/>
    <row r="2309" customFormat="1" ht="13.8"/>
    <row r="2310" customFormat="1" ht="13.8"/>
    <row r="2311" customFormat="1" ht="13.8"/>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3.8"/>
  <cols>
    <col min="1" max="1" width="9.5" style="526" customWidth="1"/>
    <col min="2" max="2" width="11.19921875" style="491" customWidth="1"/>
    <col min="3" max="3" width="19" customWidth="1"/>
    <col min="4" max="4" width="25.5" customWidth="1"/>
    <col min="5" max="5" width="14.69921875" customWidth="1"/>
    <col min="6" max="6" width="27.5" customWidth="1"/>
    <col min="7" max="7" width="10.19921875" style="526" customWidth="1"/>
    <col min="8" max="8" width="6" style="526" hidden="1" customWidth="1"/>
    <col min="9" max="10" width="10.19921875" style="526" customWidth="1"/>
    <col min="11" max="11" width="21.5" customWidth="1"/>
    <col min="12" max="12" width="21.5" style="491" customWidth="1"/>
    <col min="13" max="13" width="6.3984375" style="491" customWidth="1"/>
    <col min="14" max="14" width="12" style="491" customWidth="1"/>
    <col min="15" max="55" width="8.09765625" style="444" customWidth="1"/>
  </cols>
  <sheetData>
    <row r="1" spans="1:55" ht="96" customHeight="1">
      <c r="B1" s="740" t="s">
        <v>314</v>
      </c>
      <c r="C1" s="740"/>
      <c r="D1" s="740"/>
      <c r="E1" s="740"/>
      <c r="F1" s="520"/>
      <c r="G1" s="520"/>
      <c r="H1" s="520"/>
      <c r="I1" s="520"/>
      <c r="J1" s="520"/>
      <c r="K1" s="520"/>
      <c r="L1" s="520"/>
      <c r="M1" s="434"/>
      <c r="N1" s="434"/>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5"/>
      <c r="AS1" s="545"/>
      <c r="AT1" s="545"/>
      <c r="AU1" s="545"/>
      <c r="AV1" s="545"/>
      <c r="AW1" s="545"/>
      <c r="AX1" s="545"/>
      <c r="AY1" s="545"/>
      <c r="AZ1" s="545"/>
      <c r="BA1" s="545"/>
      <c r="BB1" s="545"/>
      <c r="BC1" s="545"/>
    </row>
    <row r="2" spans="1:55" s="50" customFormat="1" ht="34.5" customHeight="1">
      <c r="A2" s="557" t="s">
        <v>248</v>
      </c>
      <c r="B2" s="558" t="s">
        <v>264</v>
      </c>
      <c r="C2" s="558" t="s">
        <v>249</v>
      </c>
      <c r="D2" s="558" t="s">
        <v>250</v>
      </c>
      <c r="E2" s="558" t="s">
        <v>210</v>
      </c>
      <c r="F2" s="558" t="s">
        <v>209</v>
      </c>
      <c r="G2" s="557" t="s">
        <v>218</v>
      </c>
      <c r="H2" s="557" t="s">
        <v>317</v>
      </c>
      <c r="I2" s="559" t="s">
        <v>316</v>
      </c>
      <c r="J2" s="559" t="s">
        <v>315</v>
      </c>
      <c r="K2" s="557" t="s">
        <v>263</v>
      </c>
      <c r="L2" s="557" t="s">
        <v>168</v>
      </c>
      <c r="M2" s="559" t="s">
        <v>275</v>
      </c>
      <c r="N2" s="559" t="s">
        <v>276</v>
      </c>
      <c r="O2" s="536" t="s">
        <v>271</v>
      </c>
      <c r="P2" s="536" t="s">
        <v>272</v>
      </c>
      <c r="Q2" s="539" t="s">
        <v>273</v>
      </c>
      <c r="R2" s="539" t="s">
        <v>274</v>
      </c>
      <c r="S2" s="539" t="s">
        <v>277</v>
      </c>
      <c r="T2" s="539" t="s">
        <v>278</v>
      </c>
      <c r="U2" s="539" t="s">
        <v>279</v>
      </c>
      <c r="V2" s="539" t="s">
        <v>280</v>
      </c>
      <c r="W2" s="539" t="s">
        <v>281</v>
      </c>
      <c r="X2" s="539" t="s">
        <v>282</v>
      </c>
      <c r="Y2" s="539" t="s">
        <v>283</v>
      </c>
      <c r="Z2" s="539" t="s">
        <v>284</v>
      </c>
      <c r="AA2" s="539" t="s">
        <v>285</v>
      </c>
      <c r="AB2" s="539" t="s">
        <v>286</v>
      </c>
      <c r="AC2" s="540" t="s">
        <v>287</v>
      </c>
      <c r="AD2" s="540" t="s">
        <v>288</v>
      </c>
      <c r="AE2" s="540" t="s">
        <v>289</v>
      </c>
      <c r="AF2" s="540" t="s">
        <v>290</v>
      </c>
      <c r="AG2" s="540" t="s">
        <v>291</v>
      </c>
      <c r="AH2" s="540" t="s">
        <v>292</v>
      </c>
      <c r="AI2" s="540" t="s">
        <v>293</v>
      </c>
      <c r="AJ2" s="540" t="s">
        <v>294</v>
      </c>
      <c r="AK2" s="540" t="s">
        <v>295</v>
      </c>
      <c r="AL2" s="540" t="s">
        <v>296</v>
      </c>
      <c r="AM2" s="540" t="s">
        <v>297</v>
      </c>
      <c r="AN2" s="540" t="s">
        <v>298</v>
      </c>
      <c r="AO2" s="537" t="s">
        <v>299</v>
      </c>
      <c r="AP2" s="537" t="s">
        <v>300</v>
      </c>
      <c r="AQ2" s="537" t="s">
        <v>301</v>
      </c>
      <c r="AR2" s="537" t="s">
        <v>302</v>
      </c>
      <c r="AS2" s="537" t="s">
        <v>303</v>
      </c>
      <c r="AT2" s="537" t="s">
        <v>304</v>
      </c>
      <c r="AU2" s="537" t="s">
        <v>305</v>
      </c>
      <c r="AV2" s="537" t="s">
        <v>306</v>
      </c>
      <c r="AW2" s="537" t="s">
        <v>307</v>
      </c>
      <c r="AX2" s="537" t="s">
        <v>308</v>
      </c>
      <c r="AY2" s="537" t="s">
        <v>309</v>
      </c>
      <c r="AZ2" s="537" t="s">
        <v>310</v>
      </c>
      <c r="BA2" s="538" t="s">
        <v>311</v>
      </c>
      <c r="BB2" s="538" t="s">
        <v>312</v>
      </c>
      <c r="BC2" s="538" t="s">
        <v>313</v>
      </c>
    </row>
    <row r="3" spans="1:55">
      <c r="A3" s="531" t="str">
        <f t="shared" ref="A3:A34" si="0">R.1Division</f>
        <v>AQ</v>
      </c>
      <c r="B3" s="50" t="str">
        <f t="shared" ref="B3:B34" si="1">R.1CodeName</f>
        <v>SIPPM25</v>
      </c>
      <c r="C3" s="50" t="s">
        <v>251</v>
      </c>
      <c r="D3" s="532" t="s">
        <v>202</v>
      </c>
      <c r="E3" s="50" t="s">
        <v>53</v>
      </c>
      <c r="F3" s="533" t="str">
        <f>R.3SEname</f>
        <v>Nancy Cardwell</v>
      </c>
      <c r="G3" s="543">
        <f>R.3SEhrs</f>
        <v>6</v>
      </c>
      <c r="H3" s="544">
        <f>Table3[[#This Row],[Hrs Rank]]</f>
        <v>6</v>
      </c>
      <c r="I3" s="534">
        <f t="shared" ref="I3:I66" si="2">IF(ISNA(VLOOKUP($H3,R.VL_DEQResourceHours,2,FALSE)),0,VLOOKUP($H3,R.VL_DEQResourceHours,2,FALSE))</f>
        <v>340</v>
      </c>
      <c r="J3" s="534">
        <f t="shared" ref="J3:J66" si="3">IF(ISNA(VLOOKUP($H3,R.VL_DEQResourceHours,3,FALSE)),0,VLOOKUP($H3,R.VL_DEQResourceHours,3,FALSE))</f>
        <v>680</v>
      </c>
      <c r="K3" s="546"/>
      <c r="L3" s="546"/>
      <c r="M3" s="547" t="s">
        <v>223</v>
      </c>
      <c r="N3" s="547" t="s">
        <v>223</v>
      </c>
      <c r="O3" s="548"/>
      <c r="P3" s="549"/>
      <c r="Q3" s="550"/>
      <c r="R3" s="550"/>
      <c r="S3" s="549"/>
      <c r="T3" s="550"/>
      <c r="U3" s="550"/>
      <c r="V3" s="549"/>
      <c r="W3" s="550"/>
      <c r="X3" s="550"/>
      <c r="Y3" s="549"/>
      <c r="Z3" s="550"/>
      <c r="AA3" s="550"/>
      <c r="AB3" s="549"/>
      <c r="AC3" s="550"/>
      <c r="AD3" s="550"/>
      <c r="AE3" s="549"/>
      <c r="AF3" s="550"/>
      <c r="AG3" s="550"/>
      <c r="AH3" s="549"/>
      <c r="AI3" s="550"/>
      <c r="AJ3" s="550"/>
      <c r="AK3" s="549"/>
      <c r="AL3" s="550"/>
      <c r="AM3" s="550"/>
      <c r="AN3" s="549"/>
      <c r="AO3" s="550"/>
      <c r="AP3" s="550"/>
      <c r="AQ3" s="549"/>
      <c r="AR3" s="550"/>
      <c r="AS3" s="550"/>
      <c r="AT3" s="549"/>
      <c r="AU3" s="550"/>
      <c r="AV3" s="550"/>
      <c r="AW3" s="550"/>
      <c r="AX3" s="548"/>
      <c r="AY3" s="550"/>
      <c r="AZ3" s="549"/>
      <c r="BA3" s="550"/>
      <c r="BB3" s="550"/>
      <c r="BC3" s="550"/>
    </row>
    <row r="4" spans="1:55">
      <c r="A4" s="531" t="str">
        <f t="shared" si="0"/>
        <v>AQ</v>
      </c>
      <c r="B4" s="50" t="str">
        <f t="shared" si="1"/>
        <v>SIPPM25</v>
      </c>
      <c r="C4" s="50" t="s">
        <v>251</v>
      </c>
      <c r="D4" s="532" t="s">
        <v>119</v>
      </c>
      <c r="E4" s="50" t="s">
        <v>53</v>
      </c>
      <c r="F4" s="533" t="str">
        <f>R.3LMname</f>
        <v>David Collier</v>
      </c>
      <c r="G4" s="543">
        <f>R.3LMHrs</f>
        <v>2</v>
      </c>
      <c r="H4" s="544">
        <f>Table3[[#This Row],[Hrs Rank]]</f>
        <v>2</v>
      </c>
      <c r="I4" s="534">
        <f t="shared" si="2"/>
        <v>8</v>
      </c>
      <c r="J4" s="534">
        <f t="shared" si="3"/>
        <v>40</v>
      </c>
      <c r="K4" s="546"/>
      <c r="L4" s="546"/>
      <c r="M4" s="547" t="s">
        <v>223</v>
      </c>
      <c r="N4" s="547" t="s">
        <v>223</v>
      </c>
      <c r="O4" s="548"/>
      <c r="P4" s="549"/>
      <c r="Q4" s="550"/>
      <c r="R4" s="550"/>
      <c r="S4" s="549"/>
      <c r="T4" s="550"/>
      <c r="U4" s="550"/>
      <c r="V4" s="549"/>
      <c r="W4" s="550"/>
      <c r="X4" s="550"/>
      <c r="Y4" s="549"/>
      <c r="Z4" s="550"/>
      <c r="AA4" s="550"/>
      <c r="AB4" s="549"/>
      <c r="AC4" s="550"/>
      <c r="AD4" s="550"/>
      <c r="AE4" s="549"/>
      <c r="AF4" s="550"/>
      <c r="AG4" s="550"/>
      <c r="AH4" s="549"/>
      <c r="AI4" s="550"/>
      <c r="AJ4" s="550"/>
      <c r="AK4" s="549"/>
      <c r="AL4" s="550"/>
      <c r="AM4" s="550"/>
      <c r="AN4" s="549"/>
      <c r="AO4" s="550"/>
      <c r="AP4" s="550"/>
      <c r="AQ4" s="549"/>
      <c r="AR4" s="550"/>
      <c r="AS4" s="550"/>
      <c r="AT4" s="549"/>
      <c r="AU4" s="550"/>
      <c r="AV4" s="550"/>
      <c r="AW4" s="549"/>
      <c r="AX4" s="550"/>
      <c r="AY4" s="550"/>
      <c r="AZ4" s="549"/>
      <c r="BA4" s="550"/>
      <c r="BB4" s="550"/>
      <c r="BC4" s="550"/>
    </row>
    <row r="5" spans="1:55">
      <c r="A5" s="531" t="str">
        <f t="shared" si="0"/>
        <v>AQ</v>
      </c>
      <c r="B5" s="50" t="str">
        <f t="shared" si="1"/>
        <v>SIPPM25</v>
      </c>
      <c r="C5" s="50" t="s">
        <v>251</v>
      </c>
      <c r="D5" s="532" t="s">
        <v>120</v>
      </c>
      <c r="E5" s="50" t="s">
        <v>53</v>
      </c>
      <c r="F5" s="533" t="str">
        <f>R.3LAname</f>
        <v>Uri Papish</v>
      </c>
      <c r="G5" s="543">
        <f>R.3LAHrs</f>
        <v>1</v>
      </c>
      <c r="H5" s="544">
        <f>Table3[[#This Row],[Hrs Rank]]</f>
        <v>1</v>
      </c>
      <c r="I5" s="534">
        <f t="shared" si="2"/>
        <v>1</v>
      </c>
      <c r="J5" s="534">
        <f t="shared" si="3"/>
        <v>8</v>
      </c>
      <c r="K5" s="546"/>
      <c r="L5" s="546"/>
      <c r="M5" s="547" t="s">
        <v>223</v>
      </c>
      <c r="N5" s="547" t="s">
        <v>223</v>
      </c>
      <c r="O5" s="548" t="s">
        <v>0</v>
      </c>
      <c r="P5" s="549"/>
      <c r="Q5" s="550"/>
      <c r="R5" s="550"/>
      <c r="S5" s="549"/>
      <c r="T5" s="550"/>
      <c r="U5" s="550"/>
      <c r="V5" s="549"/>
      <c r="W5" s="550"/>
      <c r="X5" s="550"/>
      <c r="Y5" s="549"/>
      <c r="Z5" s="550"/>
      <c r="AA5" s="550"/>
      <c r="AB5" s="549"/>
      <c r="AC5" s="550"/>
      <c r="AD5" s="550"/>
      <c r="AE5" s="549"/>
      <c r="AF5" s="550"/>
      <c r="AG5" s="550"/>
      <c r="AH5" s="549"/>
      <c r="AI5" s="550"/>
      <c r="AJ5" s="550"/>
      <c r="AK5" s="549"/>
      <c r="AL5" s="550"/>
      <c r="AM5" s="550"/>
      <c r="AN5" s="549"/>
      <c r="AO5" s="550"/>
      <c r="AP5" s="550"/>
      <c r="AQ5" s="549"/>
      <c r="AR5" s="550"/>
      <c r="AS5" s="550"/>
      <c r="AT5" s="549"/>
      <c r="AU5" s="550"/>
      <c r="AV5" s="550"/>
      <c r="AW5" s="549"/>
      <c r="AX5" s="550"/>
      <c r="AY5" s="550"/>
      <c r="AZ5" s="549"/>
      <c r="BA5" s="550"/>
      <c r="BB5" s="550"/>
      <c r="BC5" s="550"/>
    </row>
    <row r="6" spans="1:55">
      <c r="A6" s="531" t="str">
        <f t="shared" si="0"/>
        <v>AQ</v>
      </c>
      <c r="B6" s="50" t="str">
        <f t="shared" si="1"/>
        <v>SIPPM25</v>
      </c>
      <c r="C6" s="50" t="s">
        <v>251</v>
      </c>
      <c r="D6" s="532" t="s">
        <v>204</v>
      </c>
      <c r="E6" s="50" t="s">
        <v>53</v>
      </c>
      <c r="F6" s="533" t="str">
        <f>R.3PEname</f>
        <v>Andrea Gartenbaum</v>
      </c>
      <c r="G6" s="543">
        <f>R.3PEHrs</f>
        <v>4</v>
      </c>
      <c r="H6" s="544">
        <f>Table3[[#This Row],[Hrs Rank]]</f>
        <v>4</v>
      </c>
      <c r="I6" s="534">
        <f t="shared" si="2"/>
        <v>80</v>
      </c>
      <c r="J6" s="534">
        <f t="shared" si="3"/>
        <v>170</v>
      </c>
      <c r="K6" s="546"/>
      <c r="L6" s="546"/>
      <c r="M6" s="547" t="s">
        <v>223</v>
      </c>
      <c r="N6" s="547" t="s">
        <v>223</v>
      </c>
      <c r="O6" s="548"/>
      <c r="P6" s="549"/>
      <c r="Q6" s="550"/>
      <c r="R6" s="550"/>
      <c r="S6" s="549"/>
      <c r="T6" s="550"/>
      <c r="U6" s="550"/>
      <c r="V6" s="549"/>
      <c r="W6" s="550"/>
      <c r="X6" s="550"/>
      <c r="Y6" s="549"/>
      <c r="Z6" s="550"/>
      <c r="AA6" s="550"/>
      <c r="AB6" s="549"/>
      <c r="AC6" s="550"/>
      <c r="AD6" s="550"/>
      <c r="AE6" s="549"/>
      <c r="AF6" s="550"/>
      <c r="AG6" s="550"/>
      <c r="AH6" s="549"/>
      <c r="AI6" s="550"/>
      <c r="AJ6" s="550"/>
      <c r="AK6" s="549"/>
      <c r="AL6" s="550"/>
      <c r="AM6" s="550"/>
      <c r="AN6" s="549"/>
      <c r="AO6" s="550"/>
      <c r="AP6" s="550"/>
      <c r="AQ6" s="549"/>
      <c r="AR6" s="550"/>
      <c r="AS6" s="550"/>
      <c r="AT6" s="549"/>
      <c r="AU6" s="550"/>
      <c r="AV6" s="550"/>
      <c r="AW6" s="549"/>
      <c r="AX6" s="550"/>
      <c r="AY6" s="550"/>
      <c r="AZ6" s="549"/>
      <c r="BA6" s="550"/>
      <c r="BB6" s="550"/>
      <c r="BC6" s="550"/>
    </row>
    <row r="7" spans="1:55">
      <c r="A7" s="531" t="str">
        <f t="shared" si="0"/>
        <v>AQ</v>
      </c>
      <c r="B7" s="50" t="str">
        <f t="shared" si="1"/>
        <v>SIPPM25</v>
      </c>
      <c r="C7" s="50" t="s">
        <v>251</v>
      </c>
      <c r="D7" s="532" t="s">
        <v>121</v>
      </c>
      <c r="E7" s="50" t="s">
        <v>53</v>
      </c>
      <c r="F7" s="533" t="str">
        <f>R.3PAname</f>
        <v>not applicable</v>
      </c>
      <c r="G7" s="543">
        <f>R.3PAHrs</f>
        <v>0</v>
      </c>
      <c r="H7" s="544">
        <f>Table3[[#This Row],[Hrs Rank]]</f>
        <v>0</v>
      </c>
      <c r="I7" s="534">
        <f t="shared" si="2"/>
        <v>0</v>
      </c>
      <c r="J7" s="534">
        <f t="shared" si="3"/>
        <v>0</v>
      </c>
      <c r="K7" s="546"/>
      <c r="L7" s="546"/>
      <c r="M7" s="547" t="s">
        <v>223</v>
      </c>
      <c r="N7" s="547" t="s">
        <v>223</v>
      </c>
      <c r="O7" s="548"/>
      <c r="P7" s="549"/>
      <c r="Q7" s="550"/>
      <c r="R7" s="550"/>
      <c r="S7" s="549"/>
      <c r="T7" s="550"/>
      <c r="U7" s="550"/>
      <c r="V7" s="549"/>
      <c r="W7" s="550"/>
      <c r="X7" s="550"/>
      <c r="Y7" s="549"/>
      <c r="Z7" s="550"/>
      <c r="AA7" s="550"/>
      <c r="AB7" s="549"/>
      <c r="AC7" s="550"/>
      <c r="AD7" s="550"/>
      <c r="AE7" s="549"/>
      <c r="AF7" s="550"/>
      <c r="AG7" s="550"/>
      <c r="AH7" s="549"/>
      <c r="AI7" s="550"/>
      <c r="AJ7" s="550"/>
      <c r="AK7" s="549"/>
      <c r="AL7" s="550"/>
      <c r="AM7" s="550"/>
      <c r="AN7" s="549"/>
      <c r="AO7" s="550"/>
      <c r="AP7" s="550"/>
      <c r="AQ7" s="549"/>
      <c r="AR7" s="550"/>
      <c r="AS7" s="550"/>
      <c r="AT7" s="549"/>
      <c r="AU7" s="550"/>
      <c r="AV7" s="550"/>
      <c r="AW7" s="549"/>
      <c r="AX7" s="550"/>
      <c r="AY7" s="550"/>
      <c r="AZ7" s="549"/>
      <c r="BA7" s="550"/>
      <c r="BB7" s="550"/>
      <c r="BC7" s="550"/>
    </row>
    <row r="8" spans="1:55">
      <c r="A8" s="531" t="str">
        <f t="shared" si="0"/>
        <v>AQ</v>
      </c>
      <c r="B8" s="50" t="str">
        <f t="shared" si="1"/>
        <v>SIPPM25</v>
      </c>
      <c r="C8" s="50" t="s">
        <v>251</v>
      </c>
      <c r="D8" s="532" t="str">
        <f>R.3CustomRole1</f>
        <v>Custom Role 1</v>
      </c>
      <c r="E8" s="50" t="s">
        <v>53</v>
      </c>
      <c r="F8" s="533" t="str">
        <f>R.3CustomName1</f>
        <v>CR1 name</v>
      </c>
      <c r="G8" s="543">
        <f>R.3CustomHrs1</f>
        <v>0</v>
      </c>
      <c r="H8" s="544">
        <f>Table3[[#This Row],[Hrs Rank]]</f>
        <v>0</v>
      </c>
      <c r="I8" s="534">
        <f t="shared" si="2"/>
        <v>0</v>
      </c>
      <c r="J8" s="534">
        <f t="shared" si="3"/>
        <v>0</v>
      </c>
      <c r="K8" s="546"/>
      <c r="L8" s="546"/>
      <c r="M8" s="547" t="s">
        <v>223</v>
      </c>
      <c r="N8" s="547" t="s">
        <v>223</v>
      </c>
      <c r="O8" s="548"/>
      <c r="P8" s="549"/>
      <c r="Q8" s="550"/>
      <c r="R8" s="550"/>
      <c r="S8" s="549"/>
      <c r="T8" s="550"/>
      <c r="U8" s="550"/>
      <c r="V8" s="549"/>
      <c r="W8" s="550"/>
      <c r="X8" s="550"/>
      <c r="Y8" s="549"/>
      <c r="Z8" s="550"/>
      <c r="AA8" s="550"/>
      <c r="AB8" s="549"/>
      <c r="AC8" s="550"/>
      <c r="AD8" s="550"/>
      <c r="AE8" s="549"/>
      <c r="AF8" s="550"/>
      <c r="AG8" s="550"/>
      <c r="AH8" s="549"/>
      <c r="AI8" s="550"/>
      <c r="AJ8" s="550"/>
      <c r="AK8" s="549"/>
      <c r="AL8" s="550"/>
      <c r="AM8" s="550"/>
      <c r="AN8" s="549"/>
      <c r="AO8" s="550"/>
      <c r="AP8" s="550"/>
      <c r="AQ8" s="549"/>
      <c r="AR8" s="550"/>
      <c r="AS8" s="550"/>
      <c r="AT8" s="549"/>
      <c r="AU8" s="550"/>
      <c r="AV8" s="550"/>
      <c r="AW8" s="549"/>
      <c r="AX8" s="550"/>
      <c r="AY8" s="550"/>
      <c r="AZ8" s="549"/>
      <c r="BA8" s="550"/>
      <c r="BB8" s="550"/>
      <c r="BC8" s="550"/>
    </row>
    <row r="9" spans="1:55">
      <c r="A9" s="531" t="str">
        <f t="shared" si="0"/>
        <v>AQ</v>
      </c>
      <c r="B9" s="50" t="str">
        <f t="shared" si="1"/>
        <v>SIPPM25</v>
      </c>
      <c r="C9" s="50" t="s">
        <v>251</v>
      </c>
      <c r="D9" s="532" t="str">
        <f>R.3CustomRole2</f>
        <v>Custom Role 2</v>
      </c>
      <c r="E9" s="50" t="s">
        <v>53</v>
      </c>
      <c r="F9" s="533" t="str">
        <f>R.3CustomName2</f>
        <v>Cr2 name</v>
      </c>
      <c r="G9" s="543">
        <f>R.3CustomHrs2</f>
        <v>0</v>
      </c>
      <c r="H9" s="544">
        <f>Table3[[#This Row],[Hrs Rank]]</f>
        <v>0</v>
      </c>
      <c r="I9" s="534">
        <f t="shared" si="2"/>
        <v>0</v>
      </c>
      <c r="J9" s="534">
        <f t="shared" si="3"/>
        <v>0</v>
      </c>
      <c r="K9" s="546"/>
      <c r="L9" s="546"/>
      <c r="M9" s="547" t="s">
        <v>223</v>
      </c>
      <c r="N9" s="547" t="s">
        <v>223</v>
      </c>
      <c r="O9" s="548"/>
      <c r="P9" s="549"/>
      <c r="Q9" s="550"/>
      <c r="R9" s="550"/>
      <c r="S9" s="549"/>
      <c r="T9" s="550"/>
      <c r="U9" s="550"/>
      <c r="V9" s="549"/>
      <c r="W9" s="550"/>
      <c r="X9" s="550"/>
      <c r="Y9" s="549"/>
      <c r="Z9" s="550"/>
      <c r="AA9" s="550"/>
      <c r="AB9" s="549"/>
      <c r="AC9" s="550"/>
      <c r="AD9" s="550"/>
      <c r="AE9" s="549"/>
      <c r="AF9" s="550"/>
      <c r="AG9" s="550"/>
      <c r="AH9" s="549"/>
      <c r="AI9" s="550"/>
      <c r="AJ9" s="550"/>
      <c r="AK9" s="549"/>
      <c r="AL9" s="550"/>
      <c r="AM9" s="550"/>
      <c r="AN9" s="549"/>
      <c r="AO9" s="550"/>
      <c r="AP9" s="550"/>
      <c r="AQ9" s="549"/>
      <c r="AR9" s="550"/>
      <c r="AS9" s="550"/>
      <c r="AT9" s="549"/>
      <c r="AU9" s="550"/>
      <c r="AV9" s="550"/>
      <c r="AW9" s="549"/>
      <c r="AX9" s="550"/>
      <c r="AY9" s="550"/>
      <c r="AZ9" s="549"/>
      <c r="BA9" s="550"/>
      <c r="BB9" s="550"/>
      <c r="BC9" s="550"/>
    </row>
    <row r="10" spans="1:55">
      <c r="A10" s="531" t="str">
        <f t="shared" si="0"/>
        <v>AQ</v>
      </c>
      <c r="B10" s="50" t="str">
        <f t="shared" si="1"/>
        <v>SIPPM25</v>
      </c>
      <c r="C10" s="50" t="s">
        <v>203</v>
      </c>
      <c r="D10" s="532" t="s">
        <v>207</v>
      </c>
      <c r="E10" s="50" t="s">
        <v>53</v>
      </c>
      <c r="F10" s="533" t="str">
        <f>R.4AGName</f>
        <v>Paul Garrahan</v>
      </c>
      <c r="G10" s="543">
        <f>R.4AGHrs</f>
        <v>1</v>
      </c>
      <c r="H10" s="544">
        <f>Table3[[#This Row],[Hrs Rank]]</f>
        <v>1</v>
      </c>
      <c r="I10" s="534">
        <f t="shared" si="2"/>
        <v>1</v>
      </c>
      <c r="J10" s="534">
        <f t="shared" si="3"/>
        <v>8</v>
      </c>
      <c r="K10" s="546"/>
      <c r="L10" s="546"/>
      <c r="M10" s="547" t="s">
        <v>223</v>
      </c>
      <c r="N10" s="547" t="s">
        <v>223</v>
      </c>
      <c r="O10" s="548"/>
      <c r="P10" s="549"/>
      <c r="Q10" s="550"/>
      <c r="R10" s="550"/>
      <c r="S10" s="549"/>
      <c r="T10" s="550"/>
      <c r="U10" s="550"/>
      <c r="V10" s="549"/>
      <c r="W10" s="550"/>
      <c r="X10" s="550"/>
      <c r="Y10" s="549"/>
      <c r="Z10" s="550"/>
      <c r="AA10" s="550"/>
      <c r="AB10" s="549"/>
      <c r="AC10" s="550"/>
      <c r="AD10" s="550"/>
      <c r="AE10" s="549"/>
      <c r="AF10" s="550"/>
      <c r="AG10" s="550"/>
      <c r="AH10" s="549"/>
      <c r="AI10" s="550"/>
      <c r="AJ10" s="550"/>
      <c r="AK10" s="549"/>
      <c r="AL10" s="550"/>
      <c r="AM10" s="550"/>
      <c r="AN10" s="549"/>
      <c r="AO10" s="550"/>
      <c r="AP10" s="550"/>
      <c r="AQ10" s="549"/>
      <c r="AR10" s="550"/>
      <c r="AS10" s="550"/>
      <c r="AT10" s="549"/>
      <c r="AU10" s="550"/>
      <c r="AV10" s="550"/>
      <c r="AW10" s="549"/>
      <c r="AX10" s="550"/>
      <c r="AY10" s="550"/>
      <c r="AZ10" s="549"/>
      <c r="BA10" s="550"/>
      <c r="BB10" s="550"/>
      <c r="BC10" s="550"/>
    </row>
    <row r="11" spans="1:55">
      <c r="A11" s="531" t="str">
        <f t="shared" si="0"/>
        <v>AQ</v>
      </c>
      <c r="B11" s="50" t="str">
        <f t="shared" si="1"/>
        <v>SIPPM25</v>
      </c>
      <c r="C11" s="50" t="s">
        <v>203</v>
      </c>
      <c r="D11" s="532" t="s">
        <v>122</v>
      </c>
      <c r="E11" s="50" t="s">
        <v>53</v>
      </c>
      <c r="F11" s="533" t="str">
        <f>R.4ARCName</f>
        <v>Maggie Vandehey</v>
      </c>
      <c r="G11" s="543">
        <f>R.4ARCHrs</f>
        <v>4</v>
      </c>
      <c r="H11" s="544">
        <f>Table3[[#This Row],[Hrs Rank]]</f>
        <v>4</v>
      </c>
      <c r="I11" s="534">
        <f t="shared" si="2"/>
        <v>80</v>
      </c>
      <c r="J11" s="534">
        <f t="shared" si="3"/>
        <v>170</v>
      </c>
      <c r="K11" s="546"/>
      <c r="L11" s="546"/>
      <c r="M11" s="547" t="s">
        <v>223</v>
      </c>
      <c r="N11" s="547" t="s">
        <v>223</v>
      </c>
      <c r="O11" s="548"/>
      <c r="P11" s="549"/>
      <c r="Q11" s="550"/>
      <c r="R11" s="550"/>
      <c r="S11" s="549"/>
      <c r="T11" s="550"/>
      <c r="U11" s="550"/>
      <c r="V11" s="549"/>
      <c r="W11" s="550"/>
      <c r="X11" s="550"/>
      <c r="Y11" s="549"/>
      <c r="Z11" s="550"/>
      <c r="AA11" s="550"/>
      <c r="AB11" s="549"/>
      <c r="AC11" s="550"/>
      <c r="AD11" s="550"/>
      <c r="AE11" s="549"/>
      <c r="AF11" s="550"/>
      <c r="AG11" s="550"/>
      <c r="AH11" s="549"/>
      <c r="AI11" s="550"/>
      <c r="AJ11" s="550"/>
      <c r="AK11" s="549"/>
      <c r="AL11" s="550"/>
      <c r="AM11" s="550"/>
      <c r="AN11" s="549"/>
      <c r="AO11" s="550"/>
      <c r="AP11" s="550"/>
      <c r="AQ11" s="549"/>
      <c r="AR11" s="550"/>
      <c r="AS11" s="550"/>
      <c r="AT11" s="549"/>
      <c r="AU11" s="550"/>
      <c r="AV11" s="550"/>
      <c r="AW11" s="549"/>
      <c r="AX11" s="550"/>
      <c r="AY11" s="550"/>
      <c r="AZ11" s="549"/>
      <c r="BA11" s="550"/>
      <c r="BB11" s="550"/>
      <c r="BC11" s="550"/>
    </row>
    <row r="12" spans="1:55">
      <c r="A12" s="531" t="str">
        <f t="shared" si="0"/>
        <v>AQ</v>
      </c>
      <c r="B12" s="50" t="str">
        <f t="shared" si="1"/>
        <v>SIPPM25</v>
      </c>
      <c r="C12" s="50" t="s">
        <v>203</v>
      </c>
      <c r="D12" s="532" t="s">
        <v>170</v>
      </c>
      <c r="E12" s="50" t="s">
        <v>53</v>
      </c>
      <c r="F12" s="533" t="str">
        <f>R.4SIPCoName</f>
        <v>Andrea Gartenbaum</v>
      </c>
      <c r="G12" s="543">
        <f>R.4ASIPCoHrs</f>
        <v>3</v>
      </c>
      <c r="H12" s="544">
        <f>Table3[[#This Row],[Hrs Rank]]</f>
        <v>3</v>
      </c>
      <c r="I12" s="534">
        <f t="shared" si="2"/>
        <v>40</v>
      </c>
      <c r="J12" s="534">
        <f t="shared" si="3"/>
        <v>80</v>
      </c>
      <c r="K12" s="546"/>
      <c r="L12" s="546"/>
      <c r="M12" s="547" t="s">
        <v>223</v>
      </c>
      <c r="N12" s="547" t="s">
        <v>223</v>
      </c>
      <c r="O12" s="548"/>
      <c r="P12" s="549"/>
      <c r="Q12" s="550"/>
      <c r="R12" s="550"/>
      <c r="S12" s="549"/>
      <c r="T12" s="550"/>
      <c r="U12" s="550"/>
      <c r="V12" s="549"/>
      <c r="W12" s="550"/>
      <c r="X12" s="550"/>
      <c r="Y12" s="549"/>
      <c r="Z12" s="550"/>
      <c r="AA12" s="550"/>
      <c r="AB12" s="549"/>
      <c r="AC12" s="550"/>
      <c r="AD12" s="550"/>
      <c r="AE12" s="549"/>
      <c r="AF12" s="550"/>
      <c r="AG12" s="550"/>
      <c r="AH12" s="549"/>
      <c r="AI12" s="550"/>
      <c r="AJ12" s="550"/>
      <c r="AK12" s="549"/>
      <c r="AL12" s="550"/>
      <c r="AM12" s="550"/>
      <c r="AN12" s="549"/>
      <c r="AO12" s="550"/>
      <c r="AP12" s="550"/>
      <c r="AQ12" s="549"/>
      <c r="AR12" s="550"/>
      <c r="AS12" s="550"/>
      <c r="AT12" s="549"/>
      <c r="AU12" s="550"/>
      <c r="AV12" s="550"/>
      <c r="AW12" s="549"/>
      <c r="AX12" s="550"/>
      <c r="AY12" s="550"/>
      <c r="AZ12" s="549"/>
      <c r="BA12" s="550"/>
      <c r="BB12" s="550"/>
      <c r="BC12" s="550"/>
    </row>
    <row r="13" spans="1:55">
      <c r="A13" s="531" t="str">
        <f t="shared" si="0"/>
        <v>AQ</v>
      </c>
      <c r="B13" s="50" t="str">
        <f t="shared" si="1"/>
        <v>SIPPM25</v>
      </c>
      <c r="C13" s="50" t="s">
        <v>203</v>
      </c>
      <c r="D13" s="532" t="str">
        <f>R.4CustomRole1</f>
        <v>Custom Role 1</v>
      </c>
      <c r="E13" s="50" t="s">
        <v>53</v>
      </c>
      <c r="F13" s="533" t="str">
        <f>R.4CustomRole2</f>
        <v>Custom Role 2</v>
      </c>
      <c r="G13" s="543">
        <f>R.4CustomHrs1</f>
        <v>0</v>
      </c>
      <c r="H13" s="544">
        <f>Table3[[#This Row],[Hrs Rank]]</f>
        <v>0</v>
      </c>
      <c r="I13" s="534">
        <f t="shared" si="2"/>
        <v>0</v>
      </c>
      <c r="J13" s="534">
        <f t="shared" si="3"/>
        <v>0</v>
      </c>
      <c r="K13" s="546"/>
      <c r="L13" s="546"/>
      <c r="M13" s="547" t="s">
        <v>223</v>
      </c>
      <c r="N13" s="547" t="s">
        <v>223</v>
      </c>
      <c r="O13" s="548"/>
      <c r="P13" s="549"/>
      <c r="Q13" s="550"/>
      <c r="R13" s="550"/>
      <c r="S13" s="549"/>
      <c r="T13" s="550"/>
      <c r="U13" s="550"/>
      <c r="V13" s="549"/>
      <c r="W13" s="550"/>
      <c r="X13" s="550"/>
      <c r="Y13" s="549"/>
      <c r="Z13" s="550"/>
      <c r="AA13" s="550"/>
      <c r="AB13" s="549"/>
      <c r="AC13" s="550"/>
      <c r="AD13" s="550"/>
      <c r="AE13" s="549"/>
      <c r="AF13" s="550"/>
      <c r="AG13" s="550"/>
      <c r="AH13" s="549"/>
      <c r="AI13" s="550"/>
      <c r="AJ13" s="550"/>
      <c r="AK13" s="549"/>
      <c r="AL13" s="550"/>
      <c r="AM13" s="550"/>
      <c r="AN13" s="549"/>
      <c r="AO13" s="550"/>
      <c r="AP13" s="550"/>
      <c r="AQ13" s="549"/>
      <c r="AR13" s="550"/>
      <c r="AS13" s="550"/>
      <c r="AT13" s="549"/>
      <c r="AU13" s="550"/>
      <c r="AV13" s="550"/>
      <c r="AW13" s="549"/>
      <c r="AX13" s="550"/>
      <c r="AY13" s="550"/>
      <c r="AZ13" s="549"/>
      <c r="BA13" s="550"/>
      <c r="BB13" s="550"/>
      <c r="BC13" s="550"/>
    </row>
    <row r="14" spans="1:55">
      <c r="A14" s="531" t="str">
        <f t="shared" si="0"/>
        <v>AQ</v>
      </c>
      <c r="B14" s="50" t="str">
        <f t="shared" si="1"/>
        <v>SIPPM25</v>
      </c>
      <c r="C14" s="50" t="s">
        <v>203</v>
      </c>
      <c r="D14" s="532" t="str">
        <f>R.4CustomRole2</f>
        <v>Custom Role 2</v>
      </c>
      <c r="E14" s="50" t="s">
        <v>53</v>
      </c>
      <c r="F14" s="533" t="str">
        <f>R.4CustomRole1</f>
        <v>Custom Role 1</v>
      </c>
      <c r="G14" s="543">
        <f>R.4CustomHrs2</f>
        <v>0</v>
      </c>
      <c r="H14" s="544">
        <f>Table3[[#This Row],[Hrs Rank]]</f>
        <v>0</v>
      </c>
      <c r="I14" s="534">
        <f t="shared" si="2"/>
        <v>0</v>
      </c>
      <c r="J14" s="534">
        <f t="shared" si="3"/>
        <v>0</v>
      </c>
      <c r="K14" s="546"/>
      <c r="L14" s="546"/>
      <c r="M14" s="547" t="s">
        <v>223</v>
      </c>
      <c r="N14" s="547" t="s">
        <v>223</v>
      </c>
      <c r="O14" s="548"/>
      <c r="P14" s="549"/>
      <c r="Q14" s="550"/>
      <c r="R14" s="550"/>
      <c r="S14" s="549"/>
      <c r="T14" s="550"/>
      <c r="U14" s="550"/>
      <c r="V14" s="549"/>
      <c r="W14" s="550"/>
      <c r="X14" s="550"/>
      <c r="Y14" s="549"/>
      <c r="Z14" s="550"/>
      <c r="AA14" s="550"/>
      <c r="AB14" s="549"/>
      <c r="AC14" s="550"/>
      <c r="AD14" s="550"/>
      <c r="AE14" s="549"/>
      <c r="AF14" s="550"/>
      <c r="AG14" s="550"/>
      <c r="AH14" s="549"/>
      <c r="AI14" s="550"/>
      <c r="AJ14" s="550"/>
      <c r="AK14" s="549"/>
      <c r="AL14" s="550"/>
      <c r="AM14" s="550"/>
      <c r="AN14" s="549"/>
      <c r="AO14" s="550"/>
      <c r="AP14" s="550"/>
      <c r="AQ14" s="549"/>
      <c r="AR14" s="550"/>
      <c r="AS14" s="550"/>
      <c r="AT14" s="549"/>
      <c r="AU14" s="550"/>
      <c r="AV14" s="550"/>
      <c r="AW14" s="549"/>
      <c r="AX14" s="550"/>
      <c r="AY14" s="550"/>
      <c r="AZ14" s="549"/>
      <c r="BA14" s="550"/>
      <c r="BB14" s="550"/>
      <c r="BC14" s="550"/>
    </row>
    <row r="15" spans="1:55">
      <c r="A15" s="531" t="str">
        <f t="shared" si="0"/>
        <v>AQ</v>
      </c>
      <c r="B15" s="50" t="str">
        <f t="shared" si="1"/>
        <v>SIPPM25</v>
      </c>
      <c r="C15" s="50" t="s">
        <v>252</v>
      </c>
      <c r="D15" s="532" t="s">
        <v>180</v>
      </c>
      <c r="E15" s="50" t="s">
        <v>53</v>
      </c>
      <c r="F15" s="533" t="str">
        <f>R.5EQCName1</f>
        <v>EQC - all members</v>
      </c>
      <c r="G15" s="543">
        <f>R.5EQCHrs1</f>
        <v>0</v>
      </c>
      <c r="H15" s="544">
        <f>Table3[[#This Row],[Hrs Rank]]</f>
        <v>0</v>
      </c>
      <c r="I15" s="534">
        <f t="shared" si="2"/>
        <v>0</v>
      </c>
      <c r="J15" s="534">
        <f t="shared" si="3"/>
        <v>0</v>
      </c>
      <c r="K15" s="546"/>
      <c r="L15" s="546"/>
      <c r="M15" s="547" t="s">
        <v>223</v>
      </c>
      <c r="N15" s="547" t="s">
        <v>223</v>
      </c>
      <c r="O15" s="548"/>
      <c r="P15" s="549"/>
      <c r="Q15" s="550"/>
      <c r="R15" s="550"/>
      <c r="S15" s="549"/>
      <c r="T15" s="550"/>
      <c r="U15" s="550"/>
      <c r="V15" s="549"/>
      <c r="W15" s="550"/>
      <c r="X15" s="550"/>
      <c r="Y15" s="549"/>
      <c r="Z15" s="550"/>
      <c r="AA15" s="550"/>
      <c r="AB15" s="549"/>
      <c r="AC15" s="550"/>
      <c r="AD15" s="550"/>
      <c r="AE15" s="549"/>
      <c r="AF15" s="550"/>
      <c r="AG15" s="550"/>
      <c r="AH15" s="549"/>
      <c r="AI15" s="550"/>
      <c r="AJ15" s="550"/>
      <c r="AK15" s="549"/>
      <c r="AL15" s="550"/>
      <c r="AM15" s="550"/>
      <c r="AN15" s="549"/>
      <c r="AO15" s="550"/>
      <c r="AP15" s="550"/>
      <c r="AQ15" s="549"/>
      <c r="AR15" s="550"/>
      <c r="AS15" s="550"/>
      <c r="AT15" s="549"/>
      <c r="AU15" s="550"/>
      <c r="AV15" s="550"/>
      <c r="AW15" s="549"/>
      <c r="AX15" s="550"/>
      <c r="AY15" s="550"/>
      <c r="AZ15" s="549"/>
      <c r="BA15" s="550"/>
      <c r="BB15" s="550"/>
      <c r="BC15" s="550"/>
    </row>
    <row r="16" spans="1:55">
      <c r="A16" s="531" t="str">
        <f t="shared" si="0"/>
        <v>AQ</v>
      </c>
      <c r="B16" s="50" t="str">
        <f t="shared" si="1"/>
        <v>SIPPM25</v>
      </c>
      <c r="C16" s="50" t="s">
        <v>252</v>
      </c>
      <c r="D16" s="532" t="s">
        <v>182</v>
      </c>
      <c r="E16" s="50" t="s">
        <v>53</v>
      </c>
      <c r="F16" s="533" t="str">
        <f>R.5EQCName2</f>
        <v>Bill Blosser</v>
      </c>
      <c r="G16" s="543">
        <f>R.5EQCHrs2</f>
        <v>0</v>
      </c>
      <c r="H16" s="544">
        <f>Table3[[#This Row],[Hrs Rank]]</f>
        <v>0</v>
      </c>
      <c r="I16" s="534">
        <f t="shared" si="2"/>
        <v>0</v>
      </c>
      <c r="J16" s="534">
        <f t="shared" si="3"/>
        <v>0</v>
      </c>
      <c r="K16" s="546"/>
      <c r="L16" s="546"/>
      <c r="M16" s="547" t="s">
        <v>223</v>
      </c>
      <c r="N16" s="547" t="s">
        <v>223</v>
      </c>
      <c r="O16" s="548"/>
      <c r="P16" s="549"/>
      <c r="Q16" s="550"/>
      <c r="R16" s="550"/>
      <c r="S16" s="549"/>
      <c r="T16" s="550"/>
      <c r="U16" s="550"/>
      <c r="V16" s="549"/>
      <c r="W16" s="550"/>
      <c r="X16" s="550"/>
      <c r="Y16" s="549"/>
      <c r="Z16" s="550"/>
      <c r="AA16" s="550"/>
      <c r="AB16" s="549"/>
      <c r="AC16" s="550"/>
      <c r="AD16" s="550"/>
      <c r="AE16" s="549"/>
      <c r="AF16" s="550"/>
      <c r="AG16" s="550"/>
      <c r="AH16" s="549"/>
      <c r="AI16" s="550"/>
      <c r="AJ16" s="550"/>
      <c r="AK16" s="549"/>
      <c r="AL16" s="550"/>
      <c r="AM16" s="550"/>
      <c r="AN16" s="549"/>
      <c r="AO16" s="550"/>
      <c r="AP16" s="550"/>
      <c r="AQ16" s="549"/>
      <c r="AR16" s="550"/>
      <c r="AS16" s="550"/>
      <c r="AT16" s="549"/>
      <c r="AU16" s="550"/>
      <c r="AV16" s="550"/>
      <c r="AW16" s="549"/>
      <c r="AX16" s="550"/>
      <c r="AY16" s="550"/>
      <c r="AZ16" s="549"/>
      <c r="BA16" s="550"/>
      <c r="BB16" s="550"/>
      <c r="BC16" s="550"/>
    </row>
    <row r="17" spans="1:55">
      <c r="A17" s="531" t="str">
        <f t="shared" si="0"/>
        <v>AQ</v>
      </c>
      <c r="B17" s="50" t="str">
        <f t="shared" si="1"/>
        <v>SIPPM25</v>
      </c>
      <c r="C17" s="50" t="s">
        <v>252</v>
      </c>
      <c r="D17" s="532" t="s">
        <v>183</v>
      </c>
      <c r="E17" s="50" t="s">
        <v>53</v>
      </c>
      <c r="F17" s="533" t="str">
        <f>R.5EQCName3</f>
        <v>Jane O'Keeffee</v>
      </c>
      <c r="G17" s="543">
        <f>R.5EQCHrs3</f>
        <v>0</v>
      </c>
      <c r="H17" s="544">
        <f>Table3[[#This Row],[Hrs Rank]]</f>
        <v>0</v>
      </c>
      <c r="I17" s="534">
        <f t="shared" si="2"/>
        <v>0</v>
      </c>
      <c r="J17" s="534">
        <f t="shared" si="3"/>
        <v>0</v>
      </c>
      <c r="K17" s="546"/>
      <c r="L17" s="546"/>
      <c r="M17" s="547" t="s">
        <v>223</v>
      </c>
      <c r="N17" s="547" t="s">
        <v>223</v>
      </c>
      <c r="O17" s="548"/>
      <c r="P17" s="549"/>
      <c r="Q17" s="550"/>
      <c r="R17" s="550"/>
      <c r="S17" s="549"/>
      <c r="T17" s="550"/>
      <c r="U17" s="550"/>
      <c r="V17" s="549"/>
      <c r="W17" s="550"/>
      <c r="X17" s="550"/>
      <c r="Y17" s="549"/>
      <c r="Z17" s="550"/>
      <c r="AA17" s="550"/>
      <c r="AB17" s="549"/>
      <c r="AC17" s="550"/>
      <c r="AD17" s="550"/>
      <c r="AE17" s="549"/>
      <c r="AF17" s="550"/>
      <c r="AG17" s="550"/>
      <c r="AH17" s="549"/>
      <c r="AI17" s="550"/>
      <c r="AJ17" s="550"/>
      <c r="AK17" s="549"/>
      <c r="AL17" s="550"/>
      <c r="AM17" s="550"/>
      <c r="AN17" s="549"/>
      <c r="AO17" s="550"/>
      <c r="AP17" s="550"/>
      <c r="AQ17" s="549"/>
      <c r="AR17" s="550"/>
      <c r="AS17" s="550"/>
      <c r="AT17" s="549"/>
      <c r="AU17" s="550"/>
      <c r="AV17" s="550"/>
      <c r="AW17" s="549"/>
      <c r="AX17" s="550"/>
      <c r="AY17" s="550"/>
      <c r="AZ17" s="549"/>
      <c r="BA17" s="550"/>
      <c r="BB17" s="550"/>
      <c r="BC17" s="550"/>
    </row>
    <row r="18" spans="1:55">
      <c r="A18" s="531" t="str">
        <f t="shared" si="0"/>
        <v>AQ</v>
      </c>
      <c r="B18" s="50" t="str">
        <f t="shared" si="1"/>
        <v>SIPPM25</v>
      </c>
      <c r="C18" s="50" t="s">
        <v>252</v>
      </c>
      <c r="D18" s="532" t="s">
        <v>189</v>
      </c>
      <c r="E18" s="50" t="s">
        <v>53</v>
      </c>
      <c r="F18" s="533" t="str">
        <f>R.5EQCName4</f>
        <v>Ed Armstrong</v>
      </c>
      <c r="G18" s="543">
        <f>R.5EQCHrs4</f>
        <v>0</v>
      </c>
      <c r="H18" s="544">
        <f>Table3[[#This Row],[Hrs Rank]]</f>
        <v>0</v>
      </c>
      <c r="I18" s="534">
        <f t="shared" si="2"/>
        <v>0</v>
      </c>
      <c r="J18" s="534">
        <f t="shared" si="3"/>
        <v>0</v>
      </c>
      <c r="K18" s="546"/>
      <c r="L18" s="546"/>
      <c r="M18" s="547" t="s">
        <v>223</v>
      </c>
      <c r="N18" s="547" t="s">
        <v>223</v>
      </c>
      <c r="O18" s="548"/>
      <c r="P18" s="549"/>
      <c r="Q18" s="550"/>
      <c r="R18" s="550"/>
      <c r="S18" s="549"/>
      <c r="T18" s="550"/>
      <c r="U18" s="550"/>
      <c r="V18" s="549"/>
      <c r="W18" s="550"/>
      <c r="X18" s="550"/>
      <c r="Y18" s="549"/>
      <c r="Z18" s="550"/>
      <c r="AA18" s="550"/>
      <c r="AB18" s="549"/>
      <c r="AC18" s="550"/>
      <c r="AD18" s="550"/>
      <c r="AE18" s="549"/>
      <c r="AF18" s="550"/>
      <c r="AG18" s="550"/>
      <c r="AH18" s="549"/>
      <c r="AI18" s="550"/>
      <c r="AJ18" s="550"/>
      <c r="AK18" s="549"/>
      <c r="AL18" s="550"/>
      <c r="AM18" s="550"/>
      <c r="AN18" s="549"/>
      <c r="AO18" s="550"/>
      <c r="AP18" s="550"/>
      <c r="AQ18" s="549"/>
      <c r="AR18" s="550"/>
      <c r="AS18" s="550"/>
      <c r="AT18" s="549"/>
      <c r="AU18" s="550"/>
      <c r="AV18" s="550"/>
      <c r="AW18" s="549"/>
      <c r="AX18" s="550"/>
      <c r="AY18" s="550"/>
      <c r="AZ18" s="549"/>
      <c r="BA18" s="550"/>
      <c r="BB18" s="550"/>
      <c r="BC18" s="550"/>
    </row>
    <row r="19" spans="1:55">
      <c r="A19" s="531" t="str">
        <f t="shared" si="0"/>
        <v>AQ</v>
      </c>
      <c r="B19" s="50" t="str">
        <f t="shared" si="1"/>
        <v>SIPPM25</v>
      </c>
      <c r="C19" s="50" t="s">
        <v>252</v>
      </c>
      <c r="D19" s="532" t="s">
        <v>189</v>
      </c>
      <c r="E19" s="50" t="s">
        <v>53</v>
      </c>
      <c r="F19" s="533" t="str">
        <f>R.5EQCName5</f>
        <v>Morgan Rider</v>
      </c>
      <c r="G19" s="543">
        <f>R.5EQCHrs5</f>
        <v>0</v>
      </c>
      <c r="H19" s="544">
        <f>Table3[[#This Row],[Hrs Rank]]</f>
        <v>0</v>
      </c>
      <c r="I19" s="534">
        <f t="shared" si="2"/>
        <v>0</v>
      </c>
      <c r="J19" s="534">
        <f t="shared" si="3"/>
        <v>0</v>
      </c>
      <c r="K19" s="546"/>
      <c r="L19" s="546"/>
      <c r="M19" s="547" t="s">
        <v>223</v>
      </c>
      <c r="N19" s="547" t="s">
        <v>223</v>
      </c>
      <c r="O19" s="548"/>
      <c r="P19" s="549"/>
      <c r="Q19" s="550"/>
      <c r="R19" s="550"/>
      <c r="S19" s="549"/>
      <c r="T19" s="550"/>
      <c r="U19" s="550"/>
      <c r="V19" s="549"/>
      <c r="W19" s="550"/>
      <c r="X19" s="550"/>
      <c r="Y19" s="549"/>
      <c r="Z19" s="550"/>
      <c r="AA19" s="550"/>
      <c r="AB19" s="549"/>
      <c r="AC19" s="550"/>
      <c r="AD19" s="550"/>
      <c r="AE19" s="549"/>
      <c r="AF19" s="550"/>
      <c r="AG19" s="550"/>
      <c r="AH19" s="549"/>
      <c r="AI19" s="550"/>
      <c r="AJ19" s="550"/>
      <c r="AK19" s="549"/>
      <c r="AL19" s="550"/>
      <c r="AM19" s="550"/>
      <c r="AN19" s="549"/>
      <c r="AO19" s="550"/>
      <c r="AP19" s="550"/>
      <c r="AQ19" s="549"/>
      <c r="AR19" s="550"/>
      <c r="AS19" s="550"/>
      <c r="AT19" s="549"/>
      <c r="AU19" s="550"/>
      <c r="AV19" s="550"/>
      <c r="AW19" s="549"/>
      <c r="AX19" s="550"/>
      <c r="AY19" s="550"/>
      <c r="AZ19" s="549"/>
      <c r="BA19" s="550"/>
      <c r="BB19" s="550"/>
      <c r="BC19" s="550"/>
    </row>
    <row r="20" spans="1:55">
      <c r="A20" s="531" t="str">
        <f t="shared" si="0"/>
        <v>AQ</v>
      </c>
      <c r="B20" s="50" t="str">
        <f t="shared" si="1"/>
        <v>SIPPM25</v>
      </c>
      <c r="C20" s="50" t="s">
        <v>252</v>
      </c>
      <c r="D20" s="532" t="s">
        <v>189</v>
      </c>
      <c r="E20" s="50" t="s">
        <v>53</v>
      </c>
      <c r="F20" s="533" t="str">
        <f>R.5EQCName6</f>
        <v>Pending appointment</v>
      </c>
      <c r="G20" s="543">
        <f>R.5EQCHrs6</f>
        <v>0</v>
      </c>
      <c r="H20" s="544">
        <f>Table3[[#This Row],[Hrs Rank]]</f>
        <v>0</v>
      </c>
      <c r="I20" s="534">
        <f t="shared" si="2"/>
        <v>0</v>
      </c>
      <c r="J20" s="534">
        <f t="shared" si="3"/>
        <v>0</v>
      </c>
      <c r="K20" s="546"/>
      <c r="L20" s="546"/>
      <c r="M20" s="547" t="s">
        <v>223</v>
      </c>
      <c r="N20" s="547" t="s">
        <v>223</v>
      </c>
      <c r="O20" s="548"/>
      <c r="P20" s="549"/>
      <c r="Q20" s="550"/>
      <c r="R20" s="550"/>
      <c r="S20" s="549"/>
      <c r="T20" s="550"/>
      <c r="U20" s="550"/>
      <c r="V20" s="549"/>
      <c r="W20" s="550"/>
      <c r="X20" s="550"/>
      <c r="Y20" s="549"/>
      <c r="Z20" s="550"/>
      <c r="AA20" s="550"/>
      <c r="AB20" s="549"/>
      <c r="AC20" s="550"/>
      <c r="AD20" s="550"/>
      <c r="AE20" s="549"/>
      <c r="AF20" s="550"/>
      <c r="AG20" s="550"/>
      <c r="AH20" s="549"/>
      <c r="AI20" s="550"/>
      <c r="AJ20" s="550"/>
      <c r="AK20" s="549"/>
      <c r="AL20" s="550"/>
      <c r="AM20" s="550"/>
      <c r="AN20" s="549"/>
      <c r="AO20" s="550"/>
      <c r="AP20" s="550"/>
      <c r="AQ20" s="549"/>
      <c r="AR20" s="550"/>
      <c r="AS20" s="550"/>
      <c r="AT20" s="549"/>
      <c r="AU20" s="550"/>
      <c r="AV20" s="550"/>
      <c r="AW20" s="549"/>
      <c r="AX20" s="550"/>
      <c r="AY20" s="550"/>
      <c r="AZ20" s="549"/>
      <c r="BA20" s="550"/>
      <c r="BB20" s="550"/>
      <c r="BC20" s="550"/>
    </row>
    <row r="21" spans="1:55">
      <c r="A21" s="531" t="str">
        <f t="shared" si="0"/>
        <v>AQ</v>
      </c>
      <c r="B21" s="50" t="str">
        <f t="shared" si="1"/>
        <v>SIPPM25</v>
      </c>
      <c r="C21" s="50" t="s">
        <v>252</v>
      </c>
      <c r="D21" s="535" t="s">
        <v>265</v>
      </c>
      <c r="E21" s="50" t="s">
        <v>53</v>
      </c>
      <c r="F21" s="535" t="str">
        <f>R.5InterestedStaffNameA</f>
        <v>AQ regional management team</v>
      </c>
      <c r="G21" s="543">
        <f>R.5InterestedStaffHrsA</f>
        <v>1</v>
      </c>
      <c r="H21" s="544">
        <f>Table3[[#This Row],[Hrs Rank]]</f>
        <v>1</v>
      </c>
      <c r="I21" s="534">
        <f t="shared" si="2"/>
        <v>1</v>
      </c>
      <c r="J21" s="534">
        <f t="shared" si="3"/>
        <v>8</v>
      </c>
      <c r="K21" s="546"/>
      <c r="L21" s="546"/>
      <c r="M21" s="547" t="s">
        <v>223</v>
      </c>
      <c r="N21" s="547" t="s">
        <v>223</v>
      </c>
      <c r="O21" s="548"/>
      <c r="P21" s="549"/>
      <c r="Q21" s="550"/>
      <c r="R21" s="550"/>
      <c r="S21" s="549"/>
      <c r="T21" s="550"/>
      <c r="U21" s="550"/>
      <c r="V21" s="549"/>
      <c r="W21" s="550"/>
      <c r="X21" s="550"/>
      <c r="Y21" s="549"/>
      <c r="Z21" s="550"/>
      <c r="AA21" s="550"/>
      <c r="AB21" s="549"/>
      <c r="AC21" s="550"/>
      <c r="AD21" s="550"/>
      <c r="AE21" s="549"/>
      <c r="AF21" s="550"/>
      <c r="AG21" s="550"/>
      <c r="AH21" s="549"/>
      <c r="AI21" s="550"/>
      <c r="AJ21" s="550"/>
      <c r="AK21" s="549"/>
      <c r="AL21" s="550"/>
      <c r="AM21" s="550"/>
      <c r="AN21" s="549"/>
      <c r="AO21" s="550"/>
      <c r="AP21" s="550"/>
      <c r="AQ21" s="549"/>
      <c r="AR21" s="550"/>
      <c r="AS21" s="550"/>
      <c r="AT21" s="549"/>
      <c r="AU21" s="550"/>
      <c r="AV21" s="550"/>
      <c r="AW21" s="549"/>
      <c r="AX21" s="550"/>
      <c r="AY21" s="550"/>
      <c r="AZ21" s="549"/>
      <c r="BA21" s="550"/>
      <c r="BB21" s="550"/>
      <c r="BC21" s="550"/>
    </row>
    <row r="22" spans="1:55">
      <c r="A22" s="531" t="str">
        <f t="shared" si="0"/>
        <v>AQ</v>
      </c>
      <c r="B22" s="50" t="str">
        <f t="shared" si="1"/>
        <v>SIPPM25</v>
      </c>
      <c r="C22" s="50" t="s">
        <v>252</v>
      </c>
      <c r="D22" s="535" t="s">
        <v>265</v>
      </c>
      <c r="E22" s="50" t="s">
        <v>53</v>
      </c>
      <c r="F22" s="535">
        <f>R.5InterestedStaffNameB</f>
        <v>0</v>
      </c>
      <c r="G22" s="543">
        <f>R.5InterestedStaffHrsB</f>
        <v>0</v>
      </c>
      <c r="H22" s="544">
        <f>Table3[[#This Row],[Hrs Rank]]</f>
        <v>0</v>
      </c>
      <c r="I22" s="534">
        <f t="shared" si="2"/>
        <v>0</v>
      </c>
      <c r="J22" s="534">
        <f t="shared" si="3"/>
        <v>0</v>
      </c>
      <c r="K22" s="546"/>
      <c r="L22" s="546"/>
      <c r="M22" s="547" t="s">
        <v>223</v>
      </c>
      <c r="N22" s="547" t="s">
        <v>223</v>
      </c>
      <c r="O22" s="548"/>
      <c r="P22" s="549"/>
      <c r="Q22" s="550"/>
      <c r="R22" s="550"/>
      <c r="S22" s="549"/>
      <c r="T22" s="550"/>
      <c r="U22" s="550"/>
      <c r="V22" s="549"/>
      <c r="W22" s="550"/>
      <c r="X22" s="550"/>
      <c r="Y22" s="549"/>
      <c r="Z22" s="550"/>
      <c r="AA22" s="550"/>
      <c r="AB22" s="549"/>
      <c r="AC22" s="550"/>
      <c r="AD22" s="550"/>
      <c r="AE22" s="549"/>
      <c r="AF22" s="550"/>
      <c r="AG22" s="550"/>
      <c r="AH22" s="549"/>
      <c r="AI22" s="550"/>
      <c r="AJ22" s="550"/>
      <c r="AK22" s="549"/>
      <c r="AL22" s="550"/>
      <c r="AM22" s="550"/>
      <c r="AN22" s="549"/>
      <c r="AO22" s="550"/>
      <c r="AP22" s="550"/>
      <c r="AQ22" s="549"/>
      <c r="AR22" s="550"/>
      <c r="AS22" s="550"/>
      <c r="AT22" s="549"/>
      <c r="AU22" s="550"/>
      <c r="AV22" s="550"/>
      <c r="AW22" s="549"/>
      <c r="AX22" s="550"/>
      <c r="AY22" s="550"/>
      <c r="AZ22" s="549"/>
      <c r="BA22" s="550"/>
      <c r="BB22" s="550"/>
      <c r="BC22" s="550"/>
    </row>
    <row r="23" spans="1:55">
      <c r="A23" s="531" t="str">
        <f t="shared" si="0"/>
        <v>AQ</v>
      </c>
      <c r="B23" s="50" t="str">
        <f t="shared" si="1"/>
        <v>SIPPM25</v>
      </c>
      <c r="C23" s="50" t="s">
        <v>252</v>
      </c>
      <c r="D23" s="535" t="s">
        <v>265</v>
      </c>
      <c r="E23" s="50" t="s">
        <v>53</v>
      </c>
      <c r="F23" s="535" t="str">
        <f>R.5InterestedStaffNameC</f>
        <v xml:space="preserve"> </v>
      </c>
      <c r="G23" s="543">
        <f>R.5InterestedStaffHrsC</f>
        <v>0</v>
      </c>
      <c r="H23" s="544">
        <f>Table3[[#This Row],[Hrs Rank]]</f>
        <v>0</v>
      </c>
      <c r="I23" s="534">
        <f t="shared" si="2"/>
        <v>0</v>
      </c>
      <c r="J23" s="534">
        <f t="shared" si="3"/>
        <v>0</v>
      </c>
      <c r="K23" s="546"/>
      <c r="L23" s="546"/>
      <c r="M23" s="547" t="s">
        <v>223</v>
      </c>
      <c r="N23" s="547" t="s">
        <v>223</v>
      </c>
      <c r="O23" s="548"/>
      <c r="P23" s="549"/>
      <c r="Q23" s="550"/>
      <c r="R23" s="550"/>
      <c r="S23" s="549"/>
      <c r="T23" s="550"/>
      <c r="U23" s="550"/>
      <c r="V23" s="549"/>
      <c r="W23" s="550"/>
      <c r="X23" s="550"/>
      <c r="Y23" s="549"/>
      <c r="Z23" s="550"/>
      <c r="AA23" s="550"/>
      <c r="AB23" s="549"/>
      <c r="AC23" s="550"/>
      <c r="AD23" s="550"/>
      <c r="AE23" s="549"/>
      <c r="AF23" s="550"/>
      <c r="AG23" s="550"/>
      <c r="AH23" s="549"/>
      <c r="AI23" s="550"/>
      <c r="AJ23" s="550"/>
      <c r="AK23" s="549"/>
      <c r="AL23" s="550"/>
      <c r="AM23" s="550"/>
      <c r="AN23" s="549"/>
      <c r="AO23" s="550"/>
      <c r="AP23" s="550"/>
      <c r="AQ23" s="549"/>
      <c r="AR23" s="550"/>
      <c r="AS23" s="550"/>
      <c r="AT23" s="549"/>
      <c r="AU23" s="550"/>
      <c r="AV23" s="550"/>
      <c r="AW23" s="549"/>
      <c r="AX23" s="550"/>
      <c r="AY23" s="550"/>
      <c r="AZ23" s="549"/>
      <c r="BA23" s="550"/>
      <c r="BB23" s="550"/>
      <c r="BC23" s="550"/>
    </row>
    <row r="24" spans="1:55">
      <c r="A24" s="531" t="str">
        <f t="shared" si="0"/>
        <v>AQ</v>
      </c>
      <c r="B24" s="50" t="str">
        <f t="shared" si="1"/>
        <v>SIPPM25</v>
      </c>
      <c r="C24" s="50" t="s">
        <v>252</v>
      </c>
      <c r="D24" s="535" t="s">
        <v>265</v>
      </c>
      <c r="E24" s="50" t="s">
        <v>53</v>
      </c>
      <c r="F24" s="535" t="str">
        <f>R.5InterestedStaffNameD</f>
        <v xml:space="preserve"> </v>
      </c>
      <c r="G24" s="543">
        <f>R.5InterestedStaffHrsD</f>
        <v>0</v>
      </c>
      <c r="H24" s="544">
        <f>Table3[[#This Row],[Hrs Rank]]</f>
        <v>0</v>
      </c>
      <c r="I24" s="534">
        <f t="shared" si="2"/>
        <v>0</v>
      </c>
      <c r="J24" s="534">
        <f t="shared" si="3"/>
        <v>0</v>
      </c>
      <c r="K24" s="546"/>
      <c r="L24" s="546"/>
      <c r="M24" s="547" t="s">
        <v>223</v>
      </c>
      <c r="N24" s="547" t="s">
        <v>223</v>
      </c>
      <c r="O24" s="548"/>
      <c r="P24" s="549"/>
      <c r="Q24" s="550"/>
      <c r="R24" s="550"/>
      <c r="S24" s="549"/>
      <c r="T24" s="550"/>
      <c r="U24" s="550"/>
      <c r="V24" s="549"/>
      <c r="W24" s="550"/>
      <c r="X24" s="550"/>
      <c r="Y24" s="549"/>
      <c r="Z24" s="550"/>
      <c r="AA24" s="550"/>
      <c r="AB24" s="549"/>
      <c r="AC24" s="550"/>
      <c r="AD24" s="550"/>
      <c r="AE24" s="549"/>
      <c r="AF24" s="550"/>
      <c r="AG24" s="550"/>
      <c r="AH24" s="549"/>
      <c r="AI24" s="550"/>
      <c r="AJ24" s="550"/>
      <c r="AK24" s="549"/>
      <c r="AL24" s="550"/>
      <c r="AM24" s="550"/>
      <c r="AN24" s="549"/>
      <c r="AO24" s="550"/>
      <c r="AP24" s="550"/>
      <c r="AQ24" s="549"/>
      <c r="AR24" s="550"/>
      <c r="AS24" s="550"/>
      <c r="AT24" s="549"/>
      <c r="AU24" s="550"/>
      <c r="AV24" s="550"/>
      <c r="AW24" s="549"/>
      <c r="AX24" s="550"/>
      <c r="AY24" s="550"/>
      <c r="AZ24" s="549"/>
      <c r="BA24" s="550"/>
      <c r="BB24" s="550"/>
      <c r="BC24" s="550"/>
    </row>
    <row r="25" spans="1:55">
      <c r="A25" s="531" t="str">
        <f t="shared" si="0"/>
        <v>AQ</v>
      </c>
      <c r="B25" s="50" t="str">
        <f t="shared" si="1"/>
        <v>SIPPM25</v>
      </c>
      <c r="C25" s="50" t="s">
        <v>253</v>
      </c>
      <c r="D25" s="532" t="s">
        <v>125</v>
      </c>
      <c r="E25" s="50" t="s">
        <v>53</v>
      </c>
      <c r="F25" s="533">
        <f>R.6LQDevName1</f>
        <v>0</v>
      </c>
      <c r="G25" s="543">
        <f>R.6LQDevHrs1</f>
        <v>0</v>
      </c>
      <c r="H25" s="544">
        <f>Table3[[#This Row],[Hrs Rank]]</f>
        <v>0</v>
      </c>
      <c r="I25" s="534">
        <f t="shared" si="2"/>
        <v>0</v>
      </c>
      <c r="J25" s="534">
        <f t="shared" si="3"/>
        <v>0</v>
      </c>
      <c r="K25" s="546"/>
      <c r="L25" s="546"/>
      <c r="M25" s="547" t="s">
        <v>223</v>
      </c>
      <c r="N25" s="547" t="s">
        <v>223</v>
      </c>
      <c r="O25" s="548"/>
      <c r="P25" s="549"/>
      <c r="Q25" s="550"/>
      <c r="R25" s="550"/>
      <c r="S25" s="549"/>
      <c r="T25" s="550"/>
      <c r="U25" s="550"/>
      <c r="V25" s="549"/>
      <c r="W25" s="550"/>
      <c r="X25" s="550"/>
      <c r="Y25" s="549"/>
      <c r="Z25" s="550"/>
      <c r="AA25" s="550"/>
      <c r="AB25" s="549"/>
      <c r="AC25" s="550"/>
      <c r="AD25" s="550"/>
      <c r="AE25" s="549"/>
      <c r="AF25" s="550"/>
      <c r="AG25" s="550"/>
      <c r="AH25" s="549"/>
      <c r="AI25" s="550"/>
      <c r="AJ25" s="550"/>
      <c r="AK25" s="549"/>
      <c r="AL25" s="550"/>
      <c r="AM25" s="550"/>
      <c r="AN25" s="549"/>
      <c r="AO25" s="550"/>
      <c r="AP25" s="550"/>
      <c r="AQ25" s="549"/>
      <c r="AR25" s="550"/>
      <c r="AS25" s="550"/>
      <c r="AT25" s="549"/>
      <c r="AU25" s="550"/>
      <c r="AV25" s="550"/>
      <c r="AW25" s="549"/>
      <c r="AX25" s="550"/>
      <c r="AY25" s="550"/>
      <c r="AZ25" s="549"/>
      <c r="BA25" s="550"/>
      <c r="BB25" s="550"/>
      <c r="BC25" s="550"/>
    </row>
    <row r="26" spans="1:55">
      <c r="A26" s="531" t="str">
        <f t="shared" si="0"/>
        <v>AQ</v>
      </c>
      <c r="B26" s="50" t="str">
        <f t="shared" si="1"/>
        <v>SIPPM25</v>
      </c>
      <c r="C26" s="50" t="s">
        <v>253</v>
      </c>
      <c r="D26" s="532" t="s">
        <v>125</v>
      </c>
      <c r="E26" s="50" t="s">
        <v>53</v>
      </c>
      <c r="F26" s="533" t="str">
        <f>R.6LQDevName2</f>
        <v xml:space="preserve"> </v>
      </c>
      <c r="G26" s="543">
        <f>R.6LQDevHrs2</f>
        <v>0</v>
      </c>
      <c r="H26" s="544">
        <f>Table3[[#This Row],[Hrs Rank]]</f>
        <v>0</v>
      </c>
      <c r="I26" s="534">
        <f t="shared" si="2"/>
        <v>0</v>
      </c>
      <c r="J26" s="534">
        <f t="shared" si="3"/>
        <v>0</v>
      </c>
      <c r="K26" s="546"/>
      <c r="L26" s="546"/>
      <c r="M26" s="547" t="s">
        <v>223</v>
      </c>
      <c r="N26" s="547" t="s">
        <v>223</v>
      </c>
      <c r="O26" s="548"/>
      <c r="P26" s="549"/>
      <c r="Q26" s="550"/>
      <c r="R26" s="550"/>
      <c r="S26" s="549"/>
      <c r="T26" s="550"/>
      <c r="U26" s="550"/>
      <c r="V26" s="549"/>
      <c r="W26" s="550"/>
      <c r="X26" s="550"/>
      <c r="Y26" s="549"/>
      <c r="Z26" s="550"/>
      <c r="AA26" s="550"/>
      <c r="AB26" s="549"/>
      <c r="AC26" s="550"/>
      <c r="AD26" s="550"/>
      <c r="AE26" s="549"/>
      <c r="AF26" s="550"/>
      <c r="AG26" s="550"/>
      <c r="AH26" s="549"/>
      <c r="AI26" s="550"/>
      <c r="AJ26" s="550"/>
      <c r="AK26" s="549"/>
      <c r="AL26" s="550"/>
      <c r="AM26" s="550"/>
      <c r="AN26" s="549"/>
      <c r="AO26" s="550"/>
      <c r="AP26" s="550"/>
      <c r="AQ26" s="549"/>
      <c r="AR26" s="550"/>
      <c r="AS26" s="550"/>
      <c r="AT26" s="549"/>
      <c r="AU26" s="550"/>
      <c r="AV26" s="550"/>
      <c r="AW26" s="549"/>
      <c r="AX26" s="550"/>
      <c r="AY26" s="550"/>
      <c r="AZ26" s="549"/>
      <c r="BA26" s="550"/>
      <c r="BB26" s="550"/>
      <c r="BC26" s="550"/>
    </row>
    <row r="27" spans="1:55">
      <c r="A27" s="531" t="str">
        <f t="shared" si="0"/>
        <v>AQ</v>
      </c>
      <c r="B27" s="50" t="str">
        <f t="shared" si="1"/>
        <v>SIPPM25</v>
      </c>
      <c r="C27" s="50" t="s">
        <v>253</v>
      </c>
      <c r="D27" s="532" t="s">
        <v>125</v>
      </c>
      <c r="E27" s="50" t="s">
        <v>53</v>
      </c>
      <c r="F27" s="533" t="str">
        <f>R.6LQDevName3</f>
        <v xml:space="preserve"> </v>
      </c>
      <c r="G27" s="543">
        <f>R.6LQDevHrs3</f>
        <v>0</v>
      </c>
      <c r="H27" s="544">
        <f>Table3[[#This Row],[Hrs Rank]]</f>
        <v>0</v>
      </c>
      <c r="I27" s="534">
        <f t="shared" si="2"/>
        <v>0</v>
      </c>
      <c r="J27" s="534">
        <f t="shared" si="3"/>
        <v>0</v>
      </c>
      <c r="K27" s="546"/>
      <c r="L27" s="546"/>
      <c r="M27" s="547" t="s">
        <v>223</v>
      </c>
      <c r="N27" s="547" t="s">
        <v>223</v>
      </c>
      <c r="O27" s="548"/>
      <c r="P27" s="549"/>
      <c r="Q27" s="550"/>
      <c r="R27" s="550"/>
      <c r="S27" s="549"/>
      <c r="T27" s="550"/>
      <c r="U27" s="550"/>
      <c r="V27" s="549"/>
      <c r="W27" s="550"/>
      <c r="X27" s="550"/>
      <c r="Y27" s="549"/>
      <c r="Z27" s="550"/>
      <c r="AA27" s="550"/>
      <c r="AB27" s="549"/>
      <c r="AC27" s="550"/>
      <c r="AD27" s="550"/>
      <c r="AE27" s="549"/>
      <c r="AF27" s="550"/>
      <c r="AG27" s="550"/>
      <c r="AH27" s="549"/>
      <c r="AI27" s="550"/>
      <c r="AJ27" s="550"/>
      <c r="AK27" s="549"/>
      <c r="AL27" s="550"/>
      <c r="AM27" s="550"/>
      <c r="AN27" s="549"/>
      <c r="AO27" s="550"/>
      <c r="AP27" s="550"/>
      <c r="AQ27" s="549"/>
      <c r="AR27" s="550"/>
      <c r="AS27" s="550"/>
      <c r="AT27" s="549"/>
      <c r="AU27" s="550"/>
      <c r="AV27" s="550"/>
      <c r="AW27" s="549"/>
      <c r="AX27" s="550"/>
      <c r="AY27" s="550"/>
      <c r="AZ27" s="549"/>
      <c r="BA27" s="550"/>
      <c r="BB27" s="550"/>
      <c r="BC27" s="550"/>
    </row>
    <row r="28" spans="1:55">
      <c r="A28" s="531" t="str">
        <f t="shared" si="0"/>
        <v>AQ</v>
      </c>
      <c r="B28" s="50" t="str">
        <f t="shared" si="1"/>
        <v>SIPPM25</v>
      </c>
      <c r="C28" s="50" t="s">
        <v>253</v>
      </c>
      <c r="D28" s="532" t="s">
        <v>125</v>
      </c>
      <c r="E28" s="50" t="s">
        <v>53</v>
      </c>
      <c r="F28" s="533" t="str">
        <f>R.6LQDevName4</f>
        <v xml:space="preserve"> </v>
      </c>
      <c r="G28" s="543">
        <f>R.6LQDevHrs4</f>
        <v>0</v>
      </c>
      <c r="H28" s="544">
        <f>Table3[[#This Row],[Hrs Rank]]</f>
        <v>0</v>
      </c>
      <c r="I28" s="534">
        <f t="shared" si="2"/>
        <v>0</v>
      </c>
      <c r="J28" s="534">
        <f t="shared" si="3"/>
        <v>0</v>
      </c>
      <c r="K28" s="546"/>
      <c r="L28" s="546"/>
      <c r="M28" s="547" t="s">
        <v>223</v>
      </c>
      <c r="N28" s="547" t="s">
        <v>223</v>
      </c>
      <c r="O28" s="548"/>
      <c r="P28" s="549"/>
      <c r="Q28" s="550"/>
      <c r="R28" s="550"/>
      <c r="S28" s="549"/>
      <c r="T28" s="550"/>
      <c r="U28" s="550"/>
      <c r="V28" s="549"/>
      <c r="W28" s="550"/>
      <c r="X28" s="550"/>
      <c r="Y28" s="549"/>
      <c r="Z28" s="550"/>
      <c r="AA28" s="550"/>
      <c r="AB28" s="549"/>
      <c r="AC28" s="550"/>
      <c r="AD28" s="550"/>
      <c r="AE28" s="549"/>
      <c r="AF28" s="550"/>
      <c r="AG28" s="550"/>
      <c r="AH28" s="549"/>
      <c r="AI28" s="550"/>
      <c r="AJ28" s="550"/>
      <c r="AK28" s="549"/>
      <c r="AL28" s="550"/>
      <c r="AM28" s="550"/>
      <c r="AN28" s="549"/>
      <c r="AO28" s="550"/>
      <c r="AP28" s="550"/>
      <c r="AQ28" s="549"/>
      <c r="AR28" s="550"/>
      <c r="AS28" s="550"/>
      <c r="AT28" s="549"/>
      <c r="AU28" s="550"/>
      <c r="AV28" s="550"/>
      <c r="AW28" s="549"/>
      <c r="AX28" s="550"/>
      <c r="AY28" s="550"/>
      <c r="AZ28" s="549"/>
      <c r="BA28" s="550"/>
      <c r="BB28" s="550"/>
      <c r="BC28" s="550"/>
    </row>
    <row r="29" spans="1:55">
      <c r="A29" s="531" t="str">
        <f t="shared" si="0"/>
        <v>AQ</v>
      </c>
      <c r="B29" s="50" t="str">
        <f t="shared" si="1"/>
        <v>SIPPM25</v>
      </c>
      <c r="C29" s="50" t="s">
        <v>253</v>
      </c>
      <c r="D29" s="532" t="s">
        <v>125</v>
      </c>
      <c r="E29" s="50" t="s">
        <v>52</v>
      </c>
      <c r="F29" s="533" t="str">
        <f>R.6LQImpName1</f>
        <v xml:space="preserve"> </v>
      </c>
      <c r="G29" s="543">
        <f>R.6LQImpHrs1</f>
        <v>0</v>
      </c>
      <c r="H29" s="544">
        <f>Table3[[#This Row],[Hrs Rank]]</f>
        <v>0</v>
      </c>
      <c r="I29" s="534">
        <f t="shared" si="2"/>
        <v>0</v>
      </c>
      <c r="J29" s="534">
        <f t="shared" si="3"/>
        <v>0</v>
      </c>
      <c r="K29" s="546"/>
      <c r="L29" s="546"/>
      <c r="M29" s="547" t="s">
        <v>223</v>
      </c>
      <c r="N29" s="547" t="s">
        <v>223</v>
      </c>
      <c r="O29" s="548"/>
      <c r="P29" s="549"/>
      <c r="Q29" s="550"/>
      <c r="R29" s="550"/>
      <c r="S29" s="549"/>
      <c r="T29" s="550"/>
      <c r="U29" s="550"/>
      <c r="V29" s="549"/>
      <c r="W29" s="550"/>
      <c r="X29" s="550"/>
      <c r="Y29" s="549"/>
      <c r="Z29" s="550"/>
      <c r="AA29" s="550"/>
      <c r="AB29" s="549"/>
      <c r="AC29" s="550"/>
      <c r="AD29" s="550"/>
      <c r="AE29" s="549"/>
      <c r="AF29" s="550"/>
      <c r="AG29" s="550"/>
      <c r="AH29" s="549"/>
      <c r="AI29" s="550"/>
      <c r="AJ29" s="550"/>
      <c r="AK29" s="549"/>
      <c r="AL29" s="550"/>
      <c r="AM29" s="550"/>
      <c r="AN29" s="549"/>
      <c r="AO29" s="550"/>
      <c r="AP29" s="550"/>
      <c r="AQ29" s="549"/>
      <c r="AR29" s="550"/>
      <c r="AS29" s="550"/>
      <c r="AT29" s="549"/>
      <c r="AU29" s="550"/>
      <c r="AV29" s="550"/>
      <c r="AW29" s="549"/>
      <c r="AX29" s="550"/>
      <c r="AY29" s="550"/>
      <c r="AZ29" s="549"/>
      <c r="BA29" s="550"/>
      <c r="BB29" s="550"/>
      <c r="BC29" s="550"/>
    </row>
    <row r="30" spans="1:55">
      <c r="A30" s="531" t="str">
        <f t="shared" si="0"/>
        <v>AQ</v>
      </c>
      <c r="B30" s="50" t="str">
        <f t="shared" si="1"/>
        <v>SIPPM25</v>
      </c>
      <c r="C30" s="50" t="s">
        <v>253</v>
      </c>
      <c r="D30" s="532" t="s">
        <v>125</v>
      </c>
      <c r="E30" s="50" t="s">
        <v>52</v>
      </c>
      <c r="F30" s="533" t="str">
        <f>R.6LQImpName2</f>
        <v xml:space="preserve"> </v>
      </c>
      <c r="G30" s="543">
        <f>R.6LQImpHrs2</f>
        <v>0</v>
      </c>
      <c r="H30" s="544">
        <f>Table3[[#This Row],[Hrs Rank]]</f>
        <v>0</v>
      </c>
      <c r="I30" s="534">
        <f t="shared" si="2"/>
        <v>0</v>
      </c>
      <c r="J30" s="534">
        <f t="shared" si="3"/>
        <v>0</v>
      </c>
      <c r="K30" s="546"/>
      <c r="L30" s="546"/>
      <c r="M30" s="547" t="s">
        <v>223</v>
      </c>
      <c r="N30" s="547" t="s">
        <v>223</v>
      </c>
      <c r="O30" s="548"/>
      <c r="P30" s="549"/>
      <c r="Q30" s="550"/>
      <c r="R30" s="550"/>
      <c r="S30" s="549"/>
      <c r="T30" s="550"/>
      <c r="U30" s="550"/>
      <c r="V30" s="549"/>
      <c r="W30" s="550"/>
      <c r="X30" s="550"/>
      <c r="Y30" s="549"/>
      <c r="Z30" s="550"/>
      <c r="AA30" s="550"/>
      <c r="AB30" s="549"/>
      <c r="AC30" s="550"/>
      <c r="AD30" s="550"/>
      <c r="AE30" s="549"/>
      <c r="AF30" s="550"/>
      <c r="AG30" s="550"/>
      <c r="AH30" s="549"/>
      <c r="AI30" s="550"/>
      <c r="AJ30" s="550"/>
      <c r="AK30" s="549"/>
      <c r="AL30" s="550"/>
      <c r="AM30" s="550"/>
      <c r="AN30" s="549"/>
      <c r="AO30" s="550"/>
      <c r="AP30" s="550"/>
      <c r="AQ30" s="549"/>
      <c r="AR30" s="550"/>
      <c r="AS30" s="550"/>
      <c r="AT30" s="549"/>
      <c r="AU30" s="550"/>
      <c r="AV30" s="550"/>
      <c r="AW30" s="549"/>
      <c r="AX30" s="550"/>
      <c r="AY30" s="550"/>
      <c r="AZ30" s="549"/>
      <c r="BA30" s="550"/>
      <c r="BB30" s="550"/>
      <c r="BC30" s="550"/>
    </row>
    <row r="31" spans="1:55">
      <c r="A31" s="531" t="str">
        <f t="shared" si="0"/>
        <v>AQ</v>
      </c>
      <c r="B31" s="50" t="str">
        <f t="shared" si="1"/>
        <v>SIPPM25</v>
      </c>
      <c r="C31" s="50" t="s">
        <v>253</v>
      </c>
      <c r="D31" s="532" t="s">
        <v>125</v>
      </c>
      <c r="E31" s="50" t="s">
        <v>52</v>
      </c>
      <c r="F31" s="533" t="str">
        <f>R.6LQImpName3</f>
        <v xml:space="preserve"> </v>
      </c>
      <c r="G31" s="543">
        <f>R.6LQImpHrs3</f>
        <v>0</v>
      </c>
      <c r="H31" s="544">
        <f>Table3[[#This Row],[Hrs Rank]]</f>
        <v>0</v>
      </c>
      <c r="I31" s="534">
        <f t="shared" si="2"/>
        <v>0</v>
      </c>
      <c r="J31" s="534">
        <f t="shared" si="3"/>
        <v>0</v>
      </c>
      <c r="K31" s="546"/>
      <c r="L31" s="546"/>
      <c r="M31" s="547" t="s">
        <v>223</v>
      </c>
      <c r="N31" s="547" t="s">
        <v>223</v>
      </c>
      <c r="O31" s="548"/>
      <c r="P31" s="549"/>
      <c r="Q31" s="550"/>
      <c r="R31" s="550"/>
      <c r="S31" s="549"/>
      <c r="T31" s="550"/>
      <c r="U31" s="550"/>
      <c r="V31" s="549"/>
      <c r="W31" s="550"/>
      <c r="X31" s="550"/>
      <c r="Y31" s="549"/>
      <c r="Z31" s="550"/>
      <c r="AA31" s="550"/>
      <c r="AB31" s="549"/>
      <c r="AC31" s="550"/>
      <c r="AD31" s="550"/>
      <c r="AE31" s="549"/>
      <c r="AF31" s="550"/>
      <c r="AG31" s="550"/>
      <c r="AH31" s="549"/>
      <c r="AI31" s="550"/>
      <c r="AJ31" s="550"/>
      <c r="AK31" s="549"/>
      <c r="AL31" s="550"/>
      <c r="AM31" s="550"/>
      <c r="AN31" s="549"/>
      <c r="AO31" s="550"/>
      <c r="AP31" s="550"/>
      <c r="AQ31" s="549"/>
      <c r="AR31" s="550"/>
      <c r="AS31" s="550"/>
      <c r="AT31" s="549"/>
      <c r="AU31" s="550"/>
      <c r="AV31" s="550"/>
      <c r="AW31" s="549"/>
      <c r="AX31" s="550"/>
      <c r="AY31" s="550"/>
      <c r="AZ31" s="549"/>
      <c r="BA31" s="550"/>
      <c r="BB31" s="550"/>
      <c r="BC31" s="550"/>
    </row>
    <row r="32" spans="1:55">
      <c r="A32" s="531" t="str">
        <f t="shared" si="0"/>
        <v>AQ</v>
      </c>
      <c r="B32" s="50" t="str">
        <f t="shared" si="1"/>
        <v>SIPPM25</v>
      </c>
      <c r="C32" s="50" t="s">
        <v>253</v>
      </c>
      <c r="D32" s="532" t="s">
        <v>125</v>
      </c>
      <c r="E32" s="50" t="s">
        <v>52</v>
      </c>
      <c r="F32" s="533" t="str">
        <f>R.6LQImpName4</f>
        <v xml:space="preserve"> </v>
      </c>
      <c r="G32" s="543">
        <f>R.6LQImpHrs4</f>
        <v>0</v>
      </c>
      <c r="H32" s="544">
        <f>Table3[[#This Row],[Hrs Rank]]</f>
        <v>0</v>
      </c>
      <c r="I32" s="534">
        <f t="shared" si="2"/>
        <v>0</v>
      </c>
      <c r="J32" s="534">
        <f t="shared" si="3"/>
        <v>0</v>
      </c>
      <c r="K32" s="546"/>
      <c r="L32" s="546"/>
      <c r="M32" s="547" t="s">
        <v>223</v>
      </c>
      <c r="N32" s="547" t="s">
        <v>223</v>
      </c>
      <c r="O32" s="548"/>
      <c r="P32" s="549"/>
      <c r="Q32" s="550"/>
      <c r="R32" s="550"/>
      <c r="S32" s="549"/>
      <c r="T32" s="550"/>
      <c r="U32" s="550"/>
      <c r="V32" s="549"/>
      <c r="W32" s="550"/>
      <c r="X32" s="550"/>
      <c r="Y32" s="549"/>
      <c r="Z32" s="550"/>
      <c r="AA32" s="550"/>
      <c r="AB32" s="549"/>
      <c r="AC32" s="550"/>
      <c r="AD32" s="550"/>
      <c r="AE32" s="549"/>
      <c r="AF32" s="550"/>
      <c r="AG32" s="550"/>
      <c r="AH32" s="549"/>
      <c r="AI32" s="550"/>
      <c r="AJ32" s="550"/>
      <c r="AK32" s="549"/>
      <c r="AL32" s="550"/>
      <c r="AM32" s="550"/>
      <c r="AN32" s="549"/>
      <c r="AO32" s="550"/>
      <c r="AP32" s="550"/>
      <c r="AQ32" s="549"/>
      <c r="AR32" s="550"/>
      <c r="AS32" s="550"/>
      <c r="AT32" s="549"/>
      <c r="AU32" s="550"/>
      <c r="AV32" s="550"/>
      <c r="AW32" s="549"/>
      <c r="AX32" s="550"/>
      <c r="AY32" s="550"/>
      <c r="AZ32" s="549"/>
      <c r="BA32" s="550"/>
      <c r="BB32" s="550"/>
      <c r="BC32" s="550"/>
    </row>
    <row r="33" spans="1:55">
      <c r="A33" s="531" t="str">
        <f t="shared" si="0"/>
        <v>AQ</v>
      </c>
      <c r="B33" s="50" t="str">
        <f t="shared" si="1"/>
        <v>SIPPM25</v>
      </c>
      <c r="C33" s="50" t="s">
        <v>253</v>
      </c>
      <c r="D33" s="532" t="s">
        <v>126</v>
      </c>
      <c r="E33" s="50" t="s">
        <v>53</v>
      </c>
      <c r="F33" s="535">
        <f>R.6WQDevName1</f>
        <v>0</v>
      </c>
      <c r="G33" s="543">
        <f>R.6WQDevHrs1</f>
        <v>0</v>
      </c>
      <c r="H33" s="544">
        <f>Table3[[#This Row],[Hrs Rank]]</f>
        <v>0</v>
      </c>
      <c r="I33" s="534">
        <f t="shared" si="2"/>
        <v>0</v>
      </c>
      <c r="J33" s="534">
        <f t="shared" si="3"/>
        <v>0</v>
      </c>
      <c r="K33" s="546"/>
      <c r="L33" s="546"/>
      <c r="M33" s="547" t="s">
        <v>223</v>
      </c>
      <c r="N33" s="547" t="s">
        <v>223</v>
      </c>
      <c r="O33" s="548"/>
      <c r="P33" s="549"/>
      <c r="Q33" s="550"/>
      <c r="R33" s="550"/>
      <c r="S33" s="549"/>
      <c r="T33" s="550"/>
      <c r="U33" s="550"/>
      <c r="V33" s="549"/>
      <c r="W33" s="550"/>
      <c r="X33" s="550"/>
      <c r="Y33" s="549"/>
      <c r="Z33" s="550"/>
      <c r="AA33" s="550"/>
      <c r="AB33" s="549"/>
      <c r="AC33" s="550"/>
      <c r="AD33" s="550"/>
      <c r="AE33" s="549"/>
      <c r="AF33" s="550"/>
      <c r="AG33" s="550"/>
      <c r="AH33" s="549"/>
      <c r="AI33" s="550"/>
      <c r="AJ33" s="550"/>
      <c r="AK33" s="549"/>
      <c r="AL33" s="550"/>
      <c r="AM33" s="550"/>
      <c r="AN33" s="549"/>
      <c r="AO33" s="550"/>
      <c r="AP33" s="550"/>
      <c r="AQ33" s="549"/>
      <c r="AR33" s="550"/>
      <c r="AS33" s="550"/>
      <c r="AT33" s="549"/>
      <c r="AU33" s="550"/>
      <c r="AV33" s="550"/>
      <c r="AW33" s="549"/>
      <c r="AX33" s="550"/>
      <c r="AY33" s="550"/>
      <c r="AZ33" s="549"/>
      <c r="BA33" s="550"/>
      <c r="BB33" s="550"/>
      <c r="BC33" s="550"/>
    </row>
    <row r="34" spans="1:55">
      <c r="A34" s="531" t="str">
        <f t="shared" si="0"/>
        <v>AQ</v>
      </c>
      <c r="B34" s="50" t="str">
        <f t="shared" si="1"/>
        <v>SIPPM25</v>
      </c>
      <c r="C34" s="50" t="s">
        <v>253</v>
      </c>
      <c r="D34" s="532" t="s">
        <v>126</v>
      </c>
      <c r="E34" s="50" t="s">
        <v>53</v>
      </c>
      <c r="F34" s="535">
        <f>R.6WQDevName2</f>
        <v>0</v>
      </c>
      <c r="G34" s="543">
        <f>R.6WQDevHrs2</f>
        <v>0</v>
      </c>
      <c r="H34" s="544">
        <f>Table3[[#This Row],[Hrs Rank]]</f>
        <v>0</v>
      </c>
      <c r="I34" s="534">
        <f t="shared" si="2"/>
        <v>0</v>
      </c>
      <c r="J34" s="534">
        <f t="shared" si="3"/>
        <v>0</v>
      </c>
      <c r="K34" s="546"/>
      <c r="L34" s="546"/>
      <c r="M34" s="547" t="s">
        <v>223</v>
      </c>
      <c r="N34" s="547" t="s">
        <v>223</v>
      </c>
      <c r="O34" s="548"/>
      <c r="P34" s="549"/>
      <c r="Q34" s="550"/>
      <c r="R34" s="550"/>
      <c r="S34" s="549"/>
      <c r="T34" s="550"/>
      <c r="U34" s="550"/>
      <c r="V34" s="549"/>
      <c r="W34" s="550"/>
      <c r="X34" s="550"/>
      <c r="Y34" s="549"/>
      <c r="Z34" s="550"/>
      <c r="AA34" s="550"/>
      <c r="AB34" s="549"/>
      <c r="AC34" s="550"/>
      <c r="AD34" s="550"/>
      <c r="AE34" s="549"/>
      <c r="AF34" s="550"/>
      <c r="AG34" s="550"/>
      <c r="AH34" s="549"/>
      <c r="AI34" s="550"/>
      <c r="AJ34" s="550"/>
      <c r="AK34" s="549"/>
      <c r="AL34" s="550"/>
      <c r="AM34" s="550"/>
      <c r="AN34" s="549"/>
      <c r="AO34" s="550"/>
      <c r="AP34" s="550"/>
      <c r="AQ34" s="549"/>
      <c r="AR34" s="550"/>
      <c r="AS34" s="550"/>
      <c r="AT34" s="549"/>
      <c r="AU34" s="550"/>
      <c r="AV34" s="550"/>
      <c r="AW34" s="549"/>
      <c r="AX34" s="550"/>
      <c r="AY34" s="550"/>
      <c r="AZ34" s="549"/>
      <c r="BA34" s="550"/>
      <c r="BB34" s="550"/>
      <c r="BC34" s="550"/>
    </row>
    <row r="35" spans="1:55">
      <c r="A35" s="531" t="str">
        <f t="shared" ref="A35:A66" si="4">R.1Division</f>
        <v>AQ</v>
      </c>
      <c r="B35" s="50" t="str">
        <f t="shared" ref="B35:B66" si="5">R.1CodeName</f>
        <v>SIPPM25</v>
      </c>
      <c r="C35" s="50" t="s">
        <v>253</v>
      </c>
      <c r="D35" s="532" t="s">
        <v>126</v>
      </c>
      <c r="E35" s="50" t="s">
        <v>53</v>
      </c>
      <c r="F35" s="535">
        <f>R.6WQDevName3</f>
        <v>0</v>
      </c>
      <c r="G35" s="543">
        <f>R.6WQDevHrs3</f>
        <v>0</v>
      </c>
      <c r="H35" s="544">
        <f>Table3[[#This Row],[Hrs Rank]]</f>
        <v>0</v>
      </c>
      <c r="I35" s="534">
        <f t="shared" si="2"/>
        <v>0</v>
      </c>
      <c r="J35" s="534">
        <f t="shared" si="3"/>
        <v>0</v>
      </c>
      <c r="K35" s="546"/>
      <c r="L35" s="546"/>
      <c r="M35" s="547" t="s">
        <v>223</v>
      </c>
      <c r="N35" s="547" t="s">
        <v>223</v>
      </c>
      <c r="O35" s="548"/>
      <c r="P35" s="549"/>
      <c r="Q35" s="550"/>
      <c r="R35" s="550"/>
      <c r="S35" s="549"/>
      <c r="T35" s="550"/>
      <c r="U35" s="550"/>
      <c r="V35" s="549"/>
      <c r="W35" s="550"/>
      <c r="X35" s="550"/>
      <c r="Y35" s="549"/>
      <c r="Z35" s="550"/>
      <c r="AA35" s="550"/>
      <c r="AB35" s="549"/>
      <c r="AC35" s="550"/>
      <c r="AD35" s="550"/>
      <c r="AE35" s="549"/>
      <c r="AF35" s="550"/>
      <c r="AG35" s="550"/>
      <c r="AH35" s="549"/>
      <c r="AI35" s="550"/>
      <c r="AJ35" s="550"/>
      <c r="AK35" s="549"/>
      <c r="AL35" s="550"/>
      <c r="AM35" s="550"/>
      <c r="AN35" s="549"/>
      <c r="AO35" s="550"/>
      <c r="AP35" s="550"/>
      <c r="AQ35" s="549"/>
      <c r="AR35" s="550"/>
      <c r="AS35" s="550"/>
      <c r="AT35" s="549"/>
      <c r="AU35" s="550"/>
      <c r="AV35" s="550"/>
      <c r="AW35" s="549"/>
      <c r="AX35" s="550"/>
      <c r="AY35" s="550"/>
      <c r="AZ35" s="549"/>
      <c r="BA35" s="550"/>
      <c r="BB35" s="550"/>
      <c r="BC35" s="550"/>
    </row>
    <row r="36" spans="1:55">
      <c r="A36" s="531" t="str">
        <f t="shared" si="4"/>
        <v>AQ</v>
      </c>
      <c r="B36" s="50" t="str">
        <f t="shared" si="5"/>
        <v>SIPPM25</v>
      </c>
      <c r="C36" s="50" t="s">
        <v>253</v>
      </c>
      <c r="D36" s="532" t="s">
        <v>126</v>
      </c>
      <c r="E36" s="50" t="s">
        <v>53</v>
      </c>
      <c r="F36" s="535">
        <f>R.6WQDevName4</f>
        <v>0</v>
      </c>
      <c r="G36" s="543">
        <f>R.6WQDevHrs4</f>
        <v>0</v>
      </c>
      <c r="H36" s="544">
        <f>Table3[[#This Row],[Hrs Rank]]</f>
        <v>0</v>
      </c>
      <c r="I36" s="534">
        <f t="shared" si="2"/>
        <v>0</v>
      </c>
      <c r="J36" s="534">
        <f t="shared" si="3"/>
        <v>0</v>
      </c>
      <c r="K36" s="546"/>
      <c r="L36" s="546"/>
      <c r="M36" s="547" t="s">
        <v>223</v>
      </c>
      <c r="N36" s="547" t="s">
        <v>223</v>
      </c>
      <c r="O36" s="548"/>
      <c r="P36" s="549"/>
      <c r="Q36" s="550"/>
      <c r="R36" s="550"/>
      <c r="S36" s="549"/>
      <c r="T36" s="550"/>
      <c r="U36" s="550"/>
      <c r="V36" s="549"/>
      <c r="W36" s="550"/>
      <c r="X36" s="550"/>
      <c r="Y36" s="549"/>
      <c r="Z36" s="550"/>
      <c r="AA36" s="550"/>
      <c r="AB36" s="549"/>
      <c r="AC36" s="550"/>
      <c r="AD36" s="550"/>
      <c r="AE36" s="549"/>
      <c r="AF36" s="550"/>
      <c r="AG36" s="550"/>
      <c r="AH36" s="549"/>
      <c r="AI36" s="550"/>
      <c r="AJ36" s="550"/>
      <c r="AK36" s="549"/>
      <c r="AL36" s="550"/>
      <c r="AM36" s="550"/>
      <c r="AN36" s="549"/>
      <c r="AO36" s="550"/>
      <c r="AP36" s="550"/>
      <c r="AQ36" s="549"/>
      <c r="AR36" s="550"/>
      <c r="AS36" s="550"/>
      <c r="AT36" s="549"/>
      <c r="AU36" s="550"/>
      <c r="AV36" s="550"/>
      <c r="AW36" s="549"/>
      <c r="AX36" s="550"/>
      <c r="AY36" s="550"/>
      <c r="AZ36" s="549"/>
      <c r="BA36" s="550"/>
      <c r="BB36" s="550"/>
      <c r="BC36" s="550"/>
    </row>
    <row r="37" spans="1:55">
      <c r="A37" s="531" t="str">
        <f t="shared" si="4"/>
        <v>AQ</v>
      </c>
      <c r="B37" s="50" t="str">
        <f t="shared" si="5"/>
        <v>SIPPM25</v>
      </c>
      <c r="C37" s="50" t="s">
        <v>253</v>
      </c>
      <c r="D37" s="532" t="s">
        <v>126</v>
      </c>
      <c r="E37" s="50" t="s">
        <v>52</v>
      </c>
      <c r="F37" s="535" t="str">
        <f>R.6WQImpName1</f>
        <v xml:space="preserve"> </v>
      </c>
      <c r="G37" s="543">
        <f>R.6WQImpHrs1</f>
        <v>0</v>
      </c>
      <c r="H37" s="544">
        <f>Table3[[#This Row],[Hrs Rank]]</f>
        <v>0</v>
      </c>
      <c r="I37" s="534">
        <f t="shared" si="2"/>
        <v>0</v>
      </c>
      <c r="J37" s="534">
        <f t="shared" si="3"/>
        <v>0</v>
      </c>
      <c r="K37" s="546"/>
      <c r="L37" s="546"/>
      <c r="M37" s="547" t="s">
        <v>223</v>
      </c>
      <c r="N37" s="547" t="s">
        <v>223</v>
      </c>
      <c r="O37" s="548"/>
      <c r="P37" s="549"/>
      <c r="Q37" s="550"/>
      <c r="R37" s="550"/>
      <c r="S37" s="549"/>
      <c r="T37" s="550"/>
      <c r="U37" s="550"/>
      <c r="V37" s="549"/>
      <c r="W37" s="550"/>
      <c r="X37" s="550"/>
      <c r="Y37" s="549"/>
      <c r="Z37" s="550"/>
      <c r="AA37" s="550"/>
      <c r="AB37" s="549"/>
      <c r="AC37" s="550"/>
      <c r="AD37" s="550"/>
      <c r="AE37" s="549"/>
      <c r="AF37" s="550"/>
      <c r="AG37" s="550"/>
      <c r="AH37" s="549"/>
      <c r="AI37" s="550"/>
      <c r="AJ37" s="550"/>
      <c r="AK37" s="549"/>
      <c r="AL37" s="550"/>
      <c r="AM37" s="550"/>
      <c r="AN37" s="549"/>
      <c r="AO37" s="550"/>
      <c r="AP37" s="550"/>
      <c r="AQ37" s="549"/>
      <c r="AR37" s="550"/>
      <c r="AS37" s="550"/>
      <c r="AT37" s="549"/>
      <c r="AU37" s="550"/>
      <c r="AV37" s="550"/>
      <c r="AW37" s="549"/>
      <c r="AX37" s="550"/>
      <c r="AY37" s="550"/>
      <c r="AZ37" s="549"/>
      <c r="BA37" s="550"/>
      <c r="BB37" s="550"/>
      <c r="BC37" s="550"/>
    </row>
    <row r="38" spans="1:55">
      <c r="A38" s="531" t="str">
        <f t="shared" si="4"/>
        <v>AQ</v>
      </c>
      <c r="B38" s="50" t="str">
        <f t="shared" si="5"/>
        <v>SIPPM25</v>
      </c>
      <c r="C38" s="50" t="s">
        <v>253</v>
      </c>
      <c r="D38" s="532" t="s">
        <v>126</v>
      </c>
      <c r="E38" s="50" t="s">
        <v>52</v>
      </c>
      <c r="F38" s="535" t="str">
        <f>R.6WQImpName2</f>
        <v xml:space="preserve"> </v>
      </c>
      <c r="G38" s="543">
        <f>R.6WQImpHrs2</f>
        <v>0</v>
      </c>
      <c r="H38" s="544">
        <f>Table3[[#This Row],[Hrs Rank]]</f>
        <v>0</v>
      </c>
      <c r="I38" s="534">
        <f t="shared" si="2"/>
        <v>0</v>
      </c>
      <c r="J38" s="534">
        <f t="shared" si="3"/>
        <v>0</v>
      </c>
      <c r="K38" s="546"/>
      <c r="L38" s="546"/>
      <c r="M38" s="547" t="s">
        <v>223</v>
      </c>
      <c r="N38" s="547" t="s">
        <v>223</v>
      </c>
      <c r="O38" s="548"/>
      <c r="P38" s="549"/>
      <c r="Q38" s="550"/>
      <c r="R38" s="550"/>
      <c r="S38" s="549"/>
      <c r="T38" s="550"/>
      <c r="U38" s="550"/>
      <c r="V38" s="549"/>
      <c r="W38" s="550"/>
      <c r="X38" s="550"/>
      <c r="Y38" s="549"/>
      <c r="Z38" s="550"/>
      <c r="AA38" s="550"/>
      <c r="AB38" s="549"/>
      <c r="AC38" s="550"/>
      <c r="AD38" s="550"/>
      <c r="AE38" s="549"/>
      <c r="AF38" s="550"/>
      <c r="AG38" s="550"/>
      <c r="AH38" s="549"/>
      <c r="AI38" s="550"/>
      <c r="AJ38" s="550"/>
      <c r="AK38" s="549"/>
      <c r="AL38" s="550"/>
      <c r="AM38" s="550"/>
      <c r="AN38" s="549"/>
      <c r="AO38" s="550"/>
      <c r="AP38" s="550"/>
      <c r="AQ38" s="549"/>
      <c r="AR38" s="550"/>
      <c r="AS38" s="550"/>
      <c r="AT38" s="549"/>
      <c r="AU38" s="550"/>
      <c r="AV38" s="550"/>
      <c r="AW38" s="549"/>
      <c r="AX38" s="550"/>
      <c r="AY38" s="550"/>
      <c r="AZ38" s="549"/>
      <c r="BA38" s="550"/>
      <c r="BB38" s="550"/>
      <c r="BC38" s="550"/>
    </row>
    <row r="39" spans="1:55">
      <c r="A39" s="531" t="str">
        <f t="shared" si="4"/>
        <v>AQ</v>
      </c>
      <c r="B39" s="50" t="str">
        <f t="shared" si="5"/>
        <v>SIPPM25</v>
      </c>
      <c r="C39" s="50" t="s">
        <v>253</v>
      </c>
      <c r="D39" s="532" t="s">
        <v>126</v>
      </c>
      <c r="E39" s="50" t="s">
        <v>52</v>
      </c>
      <c r="F39" s="535" t="str">
        <f>R.6WQImpName3</f>
        <v xml:space="preserve"> </v>
      </c>
      <c r="G39" s="543">
        <f>R.6WQImpHrs3</f>
        <v>0</v>
      </c>
      <c r="H39" s="544">
        <f>Table3[[#This Row],[Hrs Rank]]</f>
        <v>0</v>
      </c>
      <c r="I39" s="534">
        <f t="shared" si="2"/>
        <v>0</v>
      </c>
      <c r="J39" s="534">
        <f t="shared" si="3"/>
        <v>0</v>
      </c>
      <c r="K39" s="546"/>
      <c r="L39" s="546"/>
      <c r="M39" s="547" t="s">
        <v>223</v>
      </c>
      <c r="N39" s="547" t="s">
        <v>223</v>
      </c>
      <c r="O39" s="548"/>
      <c r="P39" s="549"/>
      <c r="Q39" s="550"/>
      <c r="R39" s="550"/>
      <c r="S39" s="549"/>
      <c r="T39" s="550"/>
      <c r="U39" s="550"/>
      <c r="V39" s="549"/>
      <c r="W39" s="550"/>
      <c r="X39" s="550"/>
      <c r="Y39" s="549"/>
      <c r="Z39" s="550"/>
      <c r="AA39" s="550"/>
      <c r="AB39" s="549"/>
      <c r="AC39" s="550"/>
      <c r="AD39" s="550"/>
      <c r="AE39" s="549"/>
      <c r="AF39" s="550"/>
      <c r="AG39" s="550"/>
      <c r="AH39" s="549"/>
      <c r="AI39" s="550"/>
      <c r="AJ39" s="550"/>
      <c r="AK39" s="549"/>
      <c r="AL39" s="550"/>
      <c r="AM39" s="550"/>
      <c r="AN39" s="549"/>
      <c r="AO39" s="550"/>
      <c r="AP39" s="550"/>
      <c r="AQ39" s="549"/>
      <c r="AR39" s="550"/>
      <c r="AS39" s="550"/>
      <c r="AT39" s="549"/>
      <c r="AU39" s="550"/>
      <c r="AV39" s="550"/>
      <c r="AW39" s="549"/>
      <c r="AX39" s="550"/>
      <c r="AY39" s="550"/>
      <c r="AZ39" s="549"/>
      <c r="BA39" s="550"/>
      <c r="BB39" s="550"/>
      <c r="BC39" s="550"/>
    </row>
    <row r="40" spans="1:55">
      <c r="A40" s="531" t="str">
        <f t="shared" si="4"/>
        <v>AQ</v>
      </c>
      <c r="B40" s="50" t="str">
        <f t="shared" si="5"/>
        <v>SIPPM25</v>
      </c>
      <c r="C40" s="50" t="s">
        <v>253</v>
      </c>
      <c r="D40" s="532" t="s">
        <v>126</v>
      </c>
      <c r="E40" s="50" t="s">
        <v>52</v>
      </c>
      <c r="F40" s="535" t="str">
        <f>R.6WQImpName4</f>
        <v xml:space="preserve"> </v>
      </c>
      <c r="G40" s="543">
        <f>R.6WQImpHrs4</f>
        <v>0</v>
      </c>
      <c r="H40" s="544">
        <f>Table3[[#This Row],[Hrs Rank]]</f>
        <v>0</v>
      </c>
      <c r="I40" s="534">
        <f t="shared" si="2"/>
        <v>0</v>
      </c>
      <c r="J40" s="534">
        <f t="shared" si="3"/>
        <v>0</v>
      </c>
      <c r="K40" s="546"/>
      <c r="L40" s="546"/>
      <c r="M40" s="547" t="s">
        <v>223</v>
      </c>
      <c r="N40" s="547" t="s">
        <v>223</v>
      </c>
      <c r="O40" s="548"/>
      <c r="P40" s="549"/>
      <c r="Q40" s="550"/>
      <c r="R40" s="550"/>
      <c r="S40" s="549"/>
      <c r="T40" s="550"/>
      <c r="U40" s="550"/>
      <c r="V40" s="549"/>
      <c r="W40" s="550"/>
      <c r="X40" s="550"/>
      <c r="Y40" s="549"/>
      <c r="Z40" s="550"/>
      <c r="AA40" s="550"/>
      <c r="AB40" s="549"/>
      <c r="AC40" s="550"/>
      <c r="AD40" s="550"/>
      <c r="AE40" s="549"/>
      <c r="AF40" s="550"/>
      <c r="AG40" s="550"/>
      <c r="AH40" s="549"/>
      <c r="AI40" s="550"/>
      <c r="AJ40" s="550"/>
      <c r="AK40" s="549"/>
      <c r="AL40" s="550"/>
      <c r="AM40" s="550"/>
      <c r="AN40" s="549"/>
      <c r="AO40" s="550"/>
      <c r="AP40" s="550"/>
      <c r="AQ40" s="549"/>
      <c r="AR40" s="550"/>
      <c r="AS40" s="550"/>
      <c r="AT40" s="549"/>
      <c r="AU40" s="550"/>
      <c r="AV40" s="550"/>
      <c r="AW40" s="549"/>
      <c r="AX40" s="550"/>
      <c r="AY40" s="550"/>
      <c r="AZ40" s="549"/>
      <c r="BA40" s="550"/>
      <c r="BB40" s="550"/>
      <c r="BC40" s="550"/>
    </row>
    <row r="41" spans="1:55">
      <c r="A41" s="531" t="str">
        <f t="shared" si="4"/>
        <v>AQ</v>
      </c>
      <c r="B41" s="50" t="str">
        <f t="shared" si="5"/>
        <v>SIPPM25</v>
      </c>
      <c r="C41" s="50" t="s">
        <v>253</v>
      </c>
      <c r="D41" s="532" t="s">
        <v>127</v>
      </c>
      <c r="E41" s="50" t="s">
        <v>53</v>
      </c>
      <c r="F41" s="535" t="str">
        <f>R.6AQDevName1</f>
        <v xml:space="preserve"> </v>
      </c>
      <c r="G41" s="543">
        <f>R.6AQDevHrs1</f>
        <v>0</v>
      </c>
      <c r="H41" s="544">
        <f>Table3[[#This Row],[Hrs Rank]]</f>
        <v>0</v>
      </c>
      <c r="I41" s="534">
        <f t="shared" si="2"/>
        <v>0</v>
      </c>
      <c r="J41" s="534">
        <f t="shared" si="3"/>
        <v>0</v>
      </c>
      <c r="K41" s="546"/>
      <c r="L41" s="546"/>
      <c r="M41" s="547" t="s">
        <v>223</v>
      </c>
      <c r="N41" s="547" t="s">
        <v>223</v>
      </c>
      <c r="O41" s="548"/>
      <c r="P41" s="549"/>
      <c r="Q41" s="550"/>
      <c r="R41" s="550"/>
      <c r="S41" s="549"/>
      <c r="T41" s="550"/>
      <c r="U41" s="550"/>
      <c r="V41" s="549"/>
      <c r="W41" s="550"/>
      <c r="X41" s="550"/>
      <c r="Y41" s="549"/>
      <c r="Z41" s="550"/>
      <c r="AA41" s="550"/>
      <c r="AB41" s="549"/>
      <c r="AC41" s="550"/>
      <c r="AD41" s="550"/>
      <c r="AE41" s="549"/>
      <c r="AF41" s="550"/>
      <c r="AG41" s="550"/>
      <c r="AH41" s="549"/>
      <c r="AI41" s="550"/>
      <c r="AJ41" s="550"/>
      <c r="AK41" s="549"/>
      <c r="AL41" s="550"/>
      <c r="AM41" s="550"/>
      <c r="AN41" s="549"/>
      <c r="AO41" s="550"/>
      <c r="AP41" s="550"/>
      <c r="AQ41" s="549"/>
      <c r="AR41" s="550"/>
      <c r="AS41" s="550"/>
      <c r="AT41" s="549"/>
      <c r="AU41" s="550"/>
      <c r="AV41" s="550"/>
      <c r="AW41" s="549"/>
      <c r="AX41" s="550"/>
      <c r="AY41" s="550"/>
      <c r="AZ41" s="549"/>
      <c r="BA41" s="550"/>
      <c r="BB41" s="550"/>
      <c r="BC41" s="550"/>
    </row>
    <row r="42" spans="1:55">
      <c r="A42" s="531" t="str">
        <f t="shared" si="4"/>
        <v>AQ</v>
      </c>
      <c r="B42" s="50" t="str">
        <f t="shared" si="5"/>
        <v>SIPPM25</v>
      </c>
      <c r="C42" s="50" t="s">
        <v>253</v>
      </c>
      <c r="D42" s="532" t="s">
        <v>127</v>
      </c>
      <c r="E42" s="50" t="s">
        <v>53</v>
      </c>
      <c r="F42" s="535" t="str">
        <f>R.6AQDevName2</f>
        <v xml:space="preserve"> </v>
      </c>
      <c r="G42" s="543">
        <f>R.6AQDevHrs2</f>
        <v>0</v>
      </c>
      <c r="H42" s="544">
        <f>Table3[[#This Row],[Hrs Rank]]</f>
        <v>0</v>
      </c>
      <c r="I42" s="534">
        <f t="shared" si="2"/>
        <v>0</v>
      </c>
      <c r="J42" s="534">
        <f t="shared" si="3"/>
        <v>0</v>
      </c>
      <c r="K42" s="546"/>
      <c r="L42" s="546"/>
      <c r="M42" s="547" t="s">
        <v>223</v>
      </c>
      <c r="N42" s="547" t="s">
        <v>223</v>
      </c>
      <c r="O42" s="548"/>
      <c r="P42" s="549"/>
      <c r="Q42" s="550"/>
      <c r="R42" s="550"/>
      <c r="S42" s="549"/>
      <c r="T42" s="550"/>
      <c r="U42" s="550"/>
      <c r="V42" s="549"/>
      <c r="W42" s="550"/>
      <c r="X42" s="550"/>
      <c r="Y42" s="549"/>
      <c r="Z42" s="550"/>
      <c r="AA42" s="550"/>
      <c r="AB42" s="549"/>
      <c r="AC42" s="550"/>
      <c r="AD42" s="550"/>
      <c r="AE42" s="549"/>
      <c r="AF42" s="550"/>
      <c r="AG42" s="550"/>
      <c r="AH42" s="549"/>
      <c r="AI42" s="550"/>
      <c r="AJ42" s="550"/>
      <c r="AK42" s="549"/>
      <c r="AL42" s="550"/>
      <c r="AM42" s="550"/>
      <c r="AN42" s="549"/>
      <c r="AO42" s="550"/>
      <c r="AP42" s="550"/>
      <c r="AQ42" s="549"/>
      <c r="AR42" s="550"/>
      <c r="AS42" s="550"/>
      <c r="AT42" s="549"/>
      <c r="AU42" s="550"/>
      <c r="AV42" s="550"/>
      <c r="AW42" s="549"/>
      <c r="AX42" s="550"/>
      <c r="AY42" s="550"/>
      <c r="AZ42" s="549"/>
      <c r="BA42" s="550"/>
      <c r="BB42" s="550"/>
      <c r="BC42" s="550"/>
    </row>
    <row r="43" spans="1:55">
      <c r="A43" s="531" t="str">
        <f t="shared" si="4"/>
        <v>AQ</v>
      </c>
      <c r="B43" s="50" t="str">
        <f t="shared" si="5"/>
        <v>SIPPM25</v>
      </c>
      <c r="C43" s="50" t="s">
        <v>253</v>
      </c>
      <c r="D43" s="532" t="s">
        <v>127</v>
      </c>
      <c r="E43" s="50" t="s">
        <v>53</v>
      </c>
      <c r="F43" s="535" t="str">
        <f>R.6AQDevName3</f>
        <v xml:space="preserve"> </v>
      </c>
      <c r="G43" s="543">
        <f>R.6AQDevHrs3</f>
        <v>0</v>
      </c>
      <c r="H43" s="544">
        <f>Table3[[#This Row],[Hrs Rank]]</f>
        <v>0</v>
      </c>
      <c r="I43" s="534">
        <f t="shared" si="2"/>
        <v>0</v>
      </c>
      <c r="J43" s="534">
        <f t="shared" si="3"/>
        <v>0</v>
      </c>
      <c r="K43" s="546"/>
      <c r="L43" s="546"/>
      <c r="M43" s="547" t="s">
        <v>223</v>
      </c>
      <c r="N43" s="547" t="s">
        <v>223</v>
      </c>
      <c r="O43" s="548"/>
      <c r="P43" s="549"/>
      <c r="Q43" s="550"/>
      <c r="R43" s="550"/>
      <c r="S43" s="549"/>
      <c r="T43" s="550"/>
      <c r="U43" s="550"/>
      <c r="V43" s="549"/>
      <c r="W43" s="550"/>
      <c r="X43" s="550"/>
      <c r="Y43" s="549"/>
      <c r="Z43" s="550"/>
      <c r="AA43" s="550"/>
      <c r="AB43" s="549"/>
      <c r="AC43" s="550"/>
      <c r="AD43" s="550"/>
      <c r="AE43" s="549"/>
      <c r="AF43" s="550"/>
      <c r="AG43" s="550"/>
      <c r="AH43" s="549"/>
      <c r="AI43" s="550"/>
      <c r="AJ43" s="550"/>
      <c r="AK43" s="549"/>
      <c r="AL43" s="550"/>
      <c r="AM43" s="550"/>
      <c r="AN43" s="549"/>
      <c r="AO43" s="550"/>
      <c r="AP43" s="550"/>
      <c r="AQ43" s="549"/>
      <c r="AR43" s="550"/>
      <c r="AS43" s="550"/>
      <c r="AT43" s="549"/>
      <c r="AU43" s="550"/>
      <c r="AV43" s="550"/>
      <c r="AW43" s="549"/>
      <c r="AX43" s="550"/>
      <c r="AY43" s="550"/>
      <c r="AZ43" s="549"/>
      <c r="BA43" s="550"/>
      <c r="BB43" s="550"/>
      <c r="BC43" s="550"/>
    </row>
    <row r="44" spans="1:55">
      <c r="A44" s="531" t="str">
        <f t="shared" si="4"/>
        <v>AQ</v>
      </c>
      <c r="B44" s="50" t="str">
        <f t="shared" si="5"/>
        <v>SIPPM25</v>
      </c>
      <c r="C44" s="50" t="s">
        <v>253</v>
      </c>
      <c r="D44" s="532" t="s">
        <v>127</v>
      </c>
      <c r="E44" s="50" t="s">
        <v>53</v>
      </c>
      <c r="F44" s="535">
        <f>R.6AQDevName4</f>
        <v>0</v>
      </c>
      <c r="G44" s="543">
        <f>R.6AQDevHrs4</f>
        <v>0</v>
      </c>
      <c r="H44" s="544">
        <f>Table3[[#This Row],[Hrs Rank]]</f>
        <v>0</v>
      </c>
      <c r="I44" s="534">
        <f t="shared" si="2"/>
        <v>0</v>
      </c>
      <c r="J44" s="534">
        <f t="shared" si="3"/>
        <v>0</v>
      </c>
      <c r="K44" s="546"/>
      <c r="L44" s="546"/>
      <c r="M44" s="547" t="s">
        <v>223</v>
      </c>
      <c r="N44" s="547" t="s">
        <v>223</v>
      </c>
      <c r="O44" s="548"/>
      <c r="P44" s="549"/>
      <c r="Q44" s="550"/>
      <c r="R44" s="550"/>
      <c r="S44" s="549"/>
      <c r="T44" s="550"/>
      <c r="U44" s="550"/>
      <c r="V44" s="549"/>
      <c r="W44" s="550"/>
      <c r="X44" s="550"/>
      <c r="Y44" s="549"/>
      <c r="Z44" s="550"/>
      <c r="AA44" s="550"/>
      <c r="AB44" s="549"/>
      <c r="AC44" s="550"/>
      <c r="AD44" s="550"/>
      <c r="AE44" s="549"/>
      <c r="AF44" s="550"/>
      <c r="AG44" s="550"/>
      <c r="AH44" s="549"/>
      <c r="AI44" s="550"/>
      <c r="AJ44" s="550"/>
      <c r="AK44" s="549"/>
      <c r="AL44" s="550"/>
      <c r="AM44" s="550"/>
      <c r="AN44" s="549"/>
      <c r="AO44" s="550"/>
      <c r="AP44" s="550"/>
      <c r="AQ44" s="549"/>
      <c r="AR44" s="550"/>
      <c r="AS44" s="550"/>
      <c r="AT44" s="549"/>
      <c r="AU44" s="550"/>
      <c r="AV44" s="550"/>
      <c r="AW44" s="549"/>
      <c r="AX44" s="550"/>
      <c r="AY44" s="550"/>
      <c r="AZ44" s="549"/>
      <c r="BA44" s="550"/>
      <c r="BB44" s="550"/>
      <c r="BC44" s="550"/>
    </row>
    <row r="45" spans="1:55">
      <c r="A45" s="531" t="str">
        <f t="shared" si="4"/>
        <v>AQ</v>
      </c>
      <c r="B45" s="50" t="str">
        <f t="shared" si="5"/>
        <v>SIPPM25</v>
      </c>
      <c r="C45" s="50" t="s">
        <v>253</v>
      </c>
      <c r="D45" s="532" t="s">
        <v>127</v>
      </c>
      <c r="E45" s="50" t="s">
        <v>52</v>
      </c>
      <c r="F45" s="535" t="str">
        <f>R.6AQImpName1</f>
        <v xml:space="preserve"> </v>
      </c>
      <c r="G45" s="543">
        <f>R.6AQImpHrs1</f>
        <v>0</v>
      </c>
      <c r="H45" s="544">
        <f>Table3[[#This Row],[Hrs Rank]]</f>
        <v>0</v>
      </c>
      <c r="I45" s="534">
        <f t="shared" si="2"/>
        <v>0</v>
      </c>
      <c r="J45" s="534">
        <f t="shared" si="3"/>
        <v>0</v>
      </c>
      <c r="K45" s="546"/>
      <c r="L45" s="546"/>
      <c r="M45" s="547" t="s">
        <v>223</v>
      </c>
      <c r="N45" s="547" t="s">
        <v>223</v>
      </c>
      <c r="O45" s="548"/>
      <c r="P45" s="549"/>
      <c r="Q45" s="550"/>
      <c r="R45" s="550"/>
      <c r="S45" s="549"/>
      <c r="T45" s="550"/>
      <c r="U45" s="550"/>
      <c r="V45" s="549"/>
      <c r="W45" s="550"/>
      <c r="X45" s="550"/>
      <c r="Y45" s="549"/>
      <c r="Z45" s="550"/>
      <c r="AA45" s="550"/>
      <c r="AB45" s="549"/>
      <c r="AC45" s="550"/>
      <c r="AD45" s="550"/>
      <c r="AE45" s="549"/>
      <c r="AF45" s="550"/>
      <c r="AG45" s="550"/>
      <c r="AH45" s="549"/>
      <c r="AI45" s="550"/>
      <c r="AJ45" s="550"/>
      <c r="AK45" s="549"/>
      <c r="AL45" s="550"/>
      <c r="AM45" s="550"/>
      <c r="AN45" s="549"/>
      <c r="AO45" s="550"/>
      <c r="AP45" s="550"/>
      <c r="AQ45" s="549"/>
      <c r="AR45" s="550"/>
      <c r="AS45" s="550"/>
      <c r="AT45" s="549"/>
      <c r="AU45" s="550"/>
      <c r="AV45" s="550"/>
      <c r="AW45" s="549"/>
      <c r="AX45" s="550"/>
      <c r="AY45" s="550"/>
      <c r="AZ45" s="549"/>
      <c r="BA45" s="550"/>
      <c r="BB45" s="550"/>
      <c r="BC45" s="550"/>
    </row>
    <row r="46" spans="1:55">
      <c r="A46" s="531" t="str">
        <f t="shared" si="4"/>
        <v>AQ</v>
      </c>
      <c r="B46" s="50" t="str">
        <f t="shared" si="5"/>
        <v>SIPPM25</v>
      </c>
      <c r="C46" s="50" t="s">
        <v>253</v>
      </c>
      <c r="D46" s="532" t="s">
        <v>127</v>
      </c>
      <c r="E46" s="50" t="s">
        <v>52</v>
      </c>
      <c r="F46" s="535" t="str">
        <f>R.6AQImpName2</f>
        <v xml:space="preserve"> </v>
      </c>
      <c r="G46" s="543">
        <f>R.6AQImpHrs2</f>
        <v>0</v>
      </c>
      <c r="H46" s="544">
        <f>Table3[[#This Row],[Hrs Rank]]</f>
        <v>0</v>
      </c>
      <c r="I46" s="534">
        <f t="shared" si="2"/>
        <v>0</v>
      </c>
      <c r="J46" s="534">
        <f t="shared" si="3"/>
        <v>0</v>
      </c>
      <c r="K46" s="546"/>
      <c r="L46" s="546"/>
      <c r="M46" s="547" t="s">
        <v>223</v>
      </c>
      <c r="N46" s="547" t="s">
        <v>223</v>
      </c>
      <c r="O46" s="548"/>
      <c r="P46" s="549"/>
      <c r="Q46" s="550"/>
      <c r="R46" s="550"/>
      <c r="S46" s="549"/>
      <c r="T46" s="550"/>
      <c r="U46" s="550"/>
      <c r="V46" s="549"/>
      <c r="W46" s="550"/>
      <c r="X46" s="550"/>
      <c r="Y46" s="549"/>
      <c r="Z46" s="550"/>
      <c r="AA46" s="550"/>
      <c r="AB46" s="549"/>
      <c r="AC46" s="550"/>
      <c r="AD46" s="550"/>
      <c r="AE46" s="549"/>
      <c r="AF46" s="550"/>
      <c r="AG46" s="550"/>
      <c r="AH46" s="549"/>
      <c r="AI46" s="550"/>
      <c r="AJ46" s="550"/>
      <c r="AK46" s="549"/>
      <c r="AL46" s="550"/>
      <c r="AM46" s="550"/>
      <c r="AN46" s="549"/>
      <c r="AO46" s="550"/>
      <c r="AP46" s="550"/>
      <c r="AQ46" s="549"/>
      <c r="AR46" s="550"/>
      <c r="AS46" s="550"/>
      <c r="AT46" s="549"/>
      <c r="AU46" s="550"/>
      <c r="AV46" s="550"/>
      <c r="AW46" s="549"/>
      <c r="AX46" s="550"/>
      <c r="AY46" s="550"/>
      <c r="AZ46" s="549"/>
      <c r="BA46" s="550"/>
      <c r="BB46" s="550"/>
      <c r="BC46" s="550"/>
    </row>
    <row r="47" spans="1:55">
      <c r="A47" s="531" t="str">
        <f t="shared" si="4"/>
        <v>AQ</v>
      </c>
      <c r="B47" s="50" t="str">
        <f t="shared" si="5"/>
        <v>SIPPM25</v>
      </c>
      <c r="C47" s="50" t="s">
        <v>253</v>
      </c>
      <c r="D47" s="532" t="s">
        <v>127</v>
      </c>
      <c r="E47" s="50" t="s">
        <v>52</v>
      </c>
      <c r="F47" s="535" t="str">
        <f>R.6AQImpName3</f>
        <v xml:space="preserve"> </v>
      </c>
      <c r="G47" s="543">
        <f>R.6AQImpHrs3</f>
        <v>0</v>
      </c>
      <c r="H47" s="544">
        <f>Table3[[#This Row],[Hrs Rank]]</f>
        <v>0</v>
      </c>
      <c r="I47" s="534">
        <f t="shared" si="2"/>
        <v>0</v>
      </c>
      <c r="J47" s="534">
        <f t="shared" si="3"/>
        <v>0</v>
      </c>
      <c r="K47" s="546"/>
      <c r="L47" s="546"/>
      <c r="M47" s="547" t="s">
        <v>223</v>
      </c>
      <c r="N47" s="547" t="s">
        <v>223</v>
      </c>
      <c r="O47" s="548"/>
      <c r="P47" s="549"/>
      <c r="Q47" s="550"/>
      <c r="R47" s="550"/>
      <c r="S47" s="549"/>
      <c r="T47" s="550"/>
      <c r="U47" s="550"/>
      <c r="V47" s="549"/>
      <c r="W47" s="550"/>
      <c r="X47" s="550"/>
      <c r="Y47" s="549"/>
      <c r="Z47" s="550"/>
      <c r="AA47" s="550"/>
      <c r="AB47" s="549"/>
      <c r="AC47" s="550"/>
      <c r="AD47" s="550"/>
      <c r="AE47" s="549"/>
      <c r="AF47" s="550"/>
      <c r="AG47" s="550"/>
      <c r="AH47" s="549"/>
      <c r="AI47" s="550"/>
      <c r="AJ47" s="550"/>
      <c r="AK47" s="549"/>
      <c r="AL47" s="550"/>
      <c r="AM47" s="550"/>
      <c r="AN47" s="549"/>
      <c r="AO47" s="550"/>
      <c r="AP47" s="550"/>
      <c r="AQ47" s="549"/>
      <c r="AR47" s="550"/>
      <c r="AS47" s="550"/>
      <c r="AT47" s="549"/>
      <c r="AU47" s="550"/>
      <c r="AV47" s="550"/>
      <c r="AW47" s="549"/>
      <c r="AX47" s="550"/>
      <c r="AY47" s="550"/>
      <c r="AZ47" s="549"/>
      <c r="BA47" s="550"/>
      <c r="BB47" s="550"/>
      <c r="BC47" s="550"/>
    </row>
    <row r="48" spans="1:55">
      <c r="A48" s="531" t="str">
        <f t="shared" si="4"/>
        <v>AQ</v>
      </c>
      <c r="B48" s="50" t="str">
        <f t="shared" si="5"/>
        <v>SIPPM25</v>
      </c>
      <c r="C48" s="50" t="s">
        <v>253</v>
      </c>
      <c r="D48" s="532" t="s">
        <v>127</v>
      </c>
      <c r="E48" s="50" t="s">
        <v>52</v>
      </c>
      <c r="F48" s="535" t="str">
        <f>R.6AQImpName4</f>
        <v xml:space="preserve"> </v>
      </c>
      <c r="G48" s="543">
        <f>R.6AQImpHrs4</f>
        <v>0</v>
      </c>
      <c r="H48" s="544">
        <f>Table3[[#This Row],[Hrs Rank]]</f>
        <v>0</v>
      </c>
      <c r="I48" s="534">
        <f t="shared" si="2"/>
        <v>0</v>
      </c>
      <c r="J48" s="534">
        <f t="shared" si="3"/>
        <v>0</v>
      </c>
      <c r="K48" s="546"/>
      <c r="L48" s="546"/>
      <c r="M48" s="547" t="s">
        <v>223</v>
      </c>
      <c r="N48" s="547" t="s">
        <v>223</v>
      </c>
      <c r="O48" s="548"/>
      <c r="P48" s="549"/>
      <c r="Q48" s="550"/>
      <c r="R48" s="550"/>
      <c r="S48" s="549"/>
      <c r="T48" s="550"/>
      <c r="U48" s="550"/>
      <c r="V48" s="549"/>
      <c r="W48" s="550"/>
      <c r="X48" s="550"/>
      <c r="Y48" s="549"/>
      <c r="Z48" s="550"/>
      <c r="AA48" s="550"/>
      <c r="AB48" s="549"/>
      <c r="AC48" s="550"/>
      <c r="AD48" s="550"/>
      <c r="AE48" s="549"/>
      <c r="AF48" s="550"/>
      <c r="AG48" s="550"/>
      <c r="AH48" s="549"/>
      <c r="AI48" s="550"/>
      <c r="AJ48" s="550"/>
      <c r="AK48" s="549"/>
      <c r="AL48" s="550"/>
      <c r="AM48" s="550"/>
      <c r="AN48" s="549"/>
      <c r="AO48" s="550"/>
      <c r="AP48" s="550"/>
      <c r="AQ48" s="549"/>
      <c r="AR48" s="550"/>
      <c r="AS48" s="550"/>
      <c r="AT48" s="549"/>
      <c r="AU48" s="550"/>
      <c r="AV48" s="550"/>
      <c r="AW48" s="549"/>
      <c r="AX48" s="550"/>
      <c r="AY48" s="550"/>
      <c r="AZ48" s="549"/>
      <c r="BA48" s="550"/>
      <c r="BB48" s="550"/>
      <c r="BC48" s="550"/>
    </row>
    <row r="49" spans="1:55">
      <c r="A49" s="531" t="str">
        <f t="shared" si="4"/>
        <v>AQ</v>
      </c>
      <c r="B49" s="50" t="str">
        <f t="shared" si="5"/>
        <v>SIPPM25</v>
      </c>
      <c r="C49" s="50" t="s">
        <v>253</v>
      </c>
      <c r="D49" s="532" t="s">
        <v>208</v>
      </c>
      <c r="E49" s="50" t="s">
        <v>53</v>
      </c>
      <c r="F49" s="535" t="str">
        <f>R.6MSDDevName1</f>
        <v xml:space="preserve"> </v>
      </c>
      <c r="G49" s="543">
        <f>R.6MSDDevHrs1</f>
        <v>0</v>
      </c>
      <c r="H49" s="544">
        <f>Table3[[#This Row],[Hrs Rank]]</f>
        <v>0</v>
      </c>
      <c r="I49" s="534">
        <f t="shared" si="2"/>
        <v>0</v>
      </c>
      <c r="J49" s="534">
        <f t="shared" si="3"/>
        <v>0</v>
      </c>
      <c r="K49" s="546"/>
      <c r="L49" s="546"/>
      <c r="M49" s="547" t="s">
        <v>223</v>
      </c>
      <c r="N49" s="547" t="s">
        <v>223</v>
      </c>
      <c r="O49" s="548"/>
      <c r="P49" s="549"/>
      <c r="Q49" s="550"/>
      <c r="R49" s="550"/>
      <c r="S49" s="549"/>
      <c r="T49" s="550"/>
      <c r="U49" s="550"/>
      <c r="V49" s="549"/>
      <c r="W49" s="550"/>
      <c r="X49" s="550"/>
      <c r="Y49" s="549"/>
      <c r="Z49" s="550"/>
      <c r="AA49" s="550"/>
      <c r="AB49" s="549"/>
      <c r="AC49" s="550"/>
      <c r="AD49" s="550"/>
      <c r="AE49" s="549"/>
      <c r="AF49" s="550"/>
      <c r="AG49" s="550"/>
      <c r="AH49" s="549"/>
      <c r="AI49" s="550"/>
      <c r="AJ49" s="550"/>
      <c r="AK49" s="549"/>
      <c r="AL49" s="550"/>
      <c r="AM49" s="550"/>
      <c r="AN49" s="549"/>
      <c r="AO49" s="550"/>
      <c r="AP49" s="550"/>
      <c r="AQ49" s="549"/>
      <c r="AR49" s="550"/>
      <c r="AS49" s="550"/>
      <c r="AT49" s="549"/>
      <c r="AU49" s="550"/>
      <c r="AV49" s="550"/>
      <c r="AW49" s="549"/>
      <c r="AX49" s="550"/>
      <c r="AY49" s="550"/>
      <c r="AZ49" s="549"/>
      <c r="BA49" s="550"/>
      <c r="BB49" s="550"/>
      <c r="BC49" s="550"/>
    </row>
    <row r="50" spans="1:55">
      <c r="A50" s="531" t="str">
        <f t="shared" si="4"/>
        <v>AQ</v>
      </c>
      <c r="B50" s="50" t="str">
        <f t="shared" si="5"/>
        <v>SIPPM25</v>
      </c>
      <c r="C50" s="50" t="s">
        <v>253</v>
      </c>
      <c r="D50" s="532" t="s">
        <v>208</v>
      </c>
      <c r="E50" s="50" t="s">
        <v>53</v>
      </c>
      <c r="F50" s="535" t="str">
        <f>R.6MSDDevName2</f>
        <v xml:space="preserve"> </v>
      </c>
      <c r="G50" s="543">
        <f>R.6MSDDevHrs2</f>
        <v>0</v>
      </c>
      <c r="H50" s="544">
        <f>Table3[[#This Row],[Hrs Rank]]</f>
        <v>0</v>
      </c>
      <c r="I50" s="534">
        <f t="shared" si="2"/>
        <v>0</v>
      </c>
      <c r="J50" s="534">
        <f t="shared" si="3"/>
        <v>0</v>
      </c>
      <c r="K50" s="546"/>
      <c r="L50" s="546"/>
      <c r="M50" s="547" t="s">
        <v>223</v>
      </c>
      <c r="N50" s="547" t="s">
        <v>223</v>
      </c>
      <c r="O50" s="548"/>
      <c r="P50" s="549"/>
      <c r="Q50" s="550"/>
      <c r="R50" s="550"/>
      <c r="S50" s="549"/>
      <c r="T50" s="550"/>
      <c r="U50" s="550"/>
      <c r="V50" s="549"/>
      <c r="W50" s="550"/>
      <c r="X50" s="550"/>
      <c r="Y50" s="549"/>
      <c r="Z50" s="550"/>
      <c r="AA50" s="550"/>
      <c r="AB50" s="549"/>
      <c r="AC50" s="550"/>
      <c r="AD50" s="550"/>
      <c r="AE50" s="549"/>
      <c r="AF50" s="550"/>
      <c r="AG50" s="550"/>
      <c r="AH50" s="549"/>
      <c r="AI50" s="550"/>
      <c r="AJ50" s="550"/>
      <c r="AK50" s="549"/>
      <c r="AL50" s="550"/>
      <c r="AM50" s="550"/>
      <c r="AN50" s="549"/>
      <c r="AO50" s="550"/>
      <c r="AP50" s="550"/>
      <c r="AQ50" s="549"/>
      <c r="AR50" s="550"/>
      <c r="AS50" s="550"/>
      <c r="AT50" s="549"/>
      <c r="AU50" s="550"/>
      <c r="AV50" s="550"/>
      <c r="AW50" s="549"/>
      <c r="AX50" s="550"/>
      <c r="AY50" s="550"/>
      <c r="AZ50" s="549"/>
      <c r="BA50" s="550"/>
      <c r="BB50" s="550"/>
      <c r="BC50" s="550"/>
    </row>
    <row r="51" spans="1:55">
      <c r="A51" s="531" t="str">
        <f t="shared" si="4"/>
        <v>AQ</v>
      </c>
      <c r="B51" s="50" t="str">
        <f t="shared" si="5"/>
        <v>SIPPM25</v>
      </c>
      <c r="C51" s="50" t="s">
        <v>253</v>
      </c>
      <c r="D51" s="532" t="s">
        <v>208</v>
      </c>
      <c r="E51" s="50" t="s">
        <v>53</v>
      </c>
      <c r="F51" s="535" t="str">
        <f>R.6MSDDevName3</f>
        <v xml:space="preserve"> </v>
      </c>
      <c r="G51" s="543">
        <f>R.6MSDDevHrs3</f>
        <v>0</v>
      </c>
      <c r="H51" s="544">
        <f>Table3[[#This Row],[Hrs Rank]]</f>
        <v>0</v>
      </c>
      <c r="I51" s="534">
        <f t="shared" si="2"/>
        <v>0</v>
      </c>
      <c r="J51" s="534">
        <f t="shared" si="3"/>
        <v>0</v>
      </c>
      <c r="K51" s="546"/>
      <c r="L51" s="546"/>
      <c r="M51" s="547" t="s">
        <v>223</v>
      </c>
      <c r="N51" s="547" t="s">
        <v>223</v>
      </c>
      <c r="O51" s="548"/>
      <c r="P51" s="549"/>
      <c r="Q51" s="550"/>
      <c r="R51" s="550"/>
      <c r="S51" s="549"/>
      <c r="T51" s="550"/>
      <c r="U51" s="550"/>
      <c r="V51" s="549"/>
      <c r="W51" s="550"/>
      <c r="X51" s="550"/>
      <c r="Y51" s="549"/>
      <c r="Z51" s="550"/>
      <c r="AA51" s="550"/>
      <c r="AB51" s="549"/>
      <c r="AC51" s="550"/>
      <c r="AD51" s="550"/>
      <c r="AE51" s="549"/>
      <c r="AF51" s="550"/>
      <c r="AG51" s="550"/>
      <c r="AH51" s="549"/>
      <c r="AI51" s="550"/>
      <c r="AJ51" s="550"/>
      <c r="AK51" s="549"/>
      <c r="AL51" s="550"/>
      <c r="AM51" s="550"/>
      <c r="AN51" s="549"/>
      <c r="AO51" s="550"/>
      <c r="AP51" s="550"/>
      <c r="AQ51" s="549"/>
      <c r="AR51" s="550"/>
      <c r="AS51" s="550"/>
      <c r="AT51" s="549"/>
      <c r="AU51" s="550"/>
      <c r="AV51" s="550"/>
      <c r="AW51" s="549"/>
      <c r="AX51" s="550"/>
      <c r="AY51" s="550"/>
      <c r="AZ51" s="549"/>
      <c r="BA51" s="550"/>
      <c r="BB51" s="550"/>
      <c r="BC51" s="550"/>
    </row>
    <row r="52" spans="1:55">
      <c r="A52" s="531" t="str">
        <f t="shared" si="4"/>
        <v>AQ</v>
      </c>
      <c r="B52" s="50" t="str">
        <f t="shared" si="5"/>
        <v>SIPPM25</v>
      </c>
      <c r="C52" s="50" t="s">
        <v>253</v>
      </c>
      <c r="D52" s="532" t="s">
        <v>208</v>
      </c>
      <c r="E52" s="50" t="s">
        <v>53</v>
      </c>
      <c r="F52" s="535" t="str">
        <f>R.6MSDDevName4</f>
        <v xml:space="preserve"> </v>
      </c>
      <c r="G52" s="543">
        <f>R.6MSDDevHrs4</f>
        <v>0</v>
      </c>
      <c r="H52" s="544">
        <f>Table3[[#This Row],[Hrs Rank]]</f>
        <v>0</v>
      </c>
      <c r="I52" s="534">
        <f t="shared" si="2"/>
        <v>0</v>
      </c>
      <c r="J52" s="534">
        <f t="shared" si="3"/>
        <v>0</v>
      </c>
      <c r="K52" s="546"/>
      <c r="L52" s="546"/>
      <c r="M52" s="547" t="s">
        <v>223</v>
      </c>
      <c r="N52" s="547" t="s">
        <v>223</v>
      </c>
      <c r="O52" s="548"/>
      <c r="P52" s="549"/>
      <c r="Q52" s="550"/>
      <c r="R52" s="550"/>
      <c r="S52" s="549"/>
      <c r="T52" s="550"/>
      <c r="U52" s="550"/>
      <c r="V52" s="549"/>
      <c r="W52" s="550"/>
      <c r="X52" s="550"/>
      <c r="Y52" s="549"/>
      <c r="Z52" s="550"/>
      <c r="AA52" s="550"/>
      <c r="AB52" s="549"/>
      <c r="AC52" s="550"/>
      <c r="AD52" s="550"/>
      <c r="AE52" s="549"/>
      <c r="AF52" s="550"/>
      <c r="AG52" s="550"/>
      <c r="AH52" s="549"/>
      <c r="AI52" s="550"/>
      <c r="AJ52" s="550"/>
      <c r="AK52" s="549"/>
      <c r="AL52" s="550"/>
      <c r="AM52" s="550"/>
      <c r="AN52" s="549"/>
      <c r="AO52" s="550"/>
      <c r="AP52" s="550"/>
      <c r="AQ52" s="549"/>
      <c r="AR52" s="550"/>
      <c r="AS52" s="550"/>
      <c r="AT52" s="549"/>
      <c r="AU52" s="550"/>
      <c r="AV52" s="550"/>
      <c r="AW52" s="549"/>
      <c r="AX52" s="550"/>
      <c r="AY52" s="550"/>
      <c r="AZ52" s="549"/>
      <c r="BA52" s="550"/>
      <c r="BB52" s="550"/>
      <c r="BC52" s="550"/>
    </row>
    <row r="53" spans="1:55">
      <c r="A53" s="531" t="str">
        <f t="shared" si="4"/>
        <v>AQ</v>
      </c>
      <c r="B53" s="50" t="str">
        <f t="shared" si="5"/>
        <v>SIPPM25</v>
      </c>
      <c r="C53" s="50" t="s">
        <v>253</v>
      </c>
      <c r="D53" s="532" t="s">
        <v>208</v>
      </c>
      <c r="E53" s="50" t="s">
        <v>52</v>
      </c>
      <c r="F53" s="535" t="str">
        <f>R.6MSDImpName1</f>
        <v xml:space="preserve"> </v>
      </c>
      <c r="G53" s="543">
        <f>R.6MSDImpHrs1</f>
        <v>0</v>
      </c>
      <c r="H53" s="544">
        <f>Table3[[#This Row],[Hrs Rank]]</f>
        <v>0</v>
      </c>
      <c r="I53" s="534">
        <f t="shared" si="2"/>
        <v>0</v>
      </c>
      <c r="J53" s="534">
        <f t="shared" si="3"/>
        <v>0</v>
      </c>
      <c r="K53" s="546"/>
      <c r="L53" s="546"/>
      <c r="M53" s="547" t="s">
        <v>223</v>
      </c>
      <c r="N53" s="547" t="s">
        <v>223</v>
      </c>
      <c r="O53" s="548"/>
      <c r="P53" s="549"/>
      <c r="Q53" s="550"/>
      <c r="R53" s="550"/>
      <c r="S53" s="549"/>
      <c r="T53" s="550"/>
      <c r="U53" s="550"/>
      <c r="V53" s="549"/>
      <c r="W53" s="550"/>
      <c r="X53" s="550"/>
      <c r="Y53" s="549"/>
      <c r="Z53" s="550"/>
      <c r="AA53" s="550"/>
      <c r="AB53" s="549"/>
      <c r="AC53" s="550"/>
      <c r="AD53" s="550"/>
      <c r="AE53" s="549"/>
      <c r="AF53" s="550"/>
      <c r="AG53" s="550"/>
      <c r="AH53" s="549"/>
      <c r="AI53" s="550"/>
      <c r="AJ53" s="550"/>
      <c r="AK53" s="549"/>
      <c r="AL53" s="550"/>
      <c r="AM53" s="550"/>
      <c r="AN53" s="549"/>
      <c r="AO53" s="550"/>
      <c r="AP53" s="550"/>
      <c r="AQ53" s="549"/>
      <c r="AR53" s="550"/>
      <c r="AS53" s="550"/>
      <c r="AT53" s="549"/>
      <c r="AU53" s="550"/>
      <c r="AV53" s="550"/>
      <c r="AW53" s="549"/>
      <c r="AX53" s="550"/>
      <c r="AY53" s="550"/>
      <c r="AZ53" s="549"/>
      <c r="BA53" s="550"/>
      <c r="BB53" s="550"/>
      <c r="BC53" s="550"/>
    </row>
    <row r="54" spans="1:55">
      <c r="A54" s="531" t="str">
        <f t="shared" si="4"/>
        <v>AQ</v>
      </c>
      <c r="B54" s="50" t="str">
        <f t="shared" si="5"/>
        <v>SIPPM25</v>
      </c>
      <c r="C54" s="50" t="s">
        <v>253</v>
      </c>
      <c r="D54" s="532" t="s">
        <v>208</v>
      </c>
      <c r="E54" s="50" t="s">
        <v>52</v>
      </c>
      <c r="F54" s="535" t="str">
        <f>R.6MSDImpName2</f>
        <v xml:space="preserve"> </v>
      </c>
      <c r="G54" s="543">
        <f>R.6MSDImpHrs2</f>
        <v>0</v>
      </c>
      <c r="H54" s="544">
        <f>Table3[[#This Row],[Hrs Rank]]</f>
        <v>0</v>
      </c>
      <c r="I54" s="534">
        <f t="shared" si="2"/>
        <v>0</v>
      </c>
      <c r="J54" s="534">
        <f t="shared" si="3"/>
        <v>0</v>
      </c>
      <c r="K54" s="546"/>
      <c r="L54" s="546"/>
      <c r="M54" s="547" t="s">
        <v>223</v>
      </c>
      <c r="N54" s="547" t="s">
        <v>223</v>
      </c>
      <c r="O54" s="548"/>
      <c r="P54" s="549"/>
      <c r="Q54" s="550"/>
      <c r="R54" s="550"/>
      <c r="S54" s="549"/>
      <c r="T54" s="550"/>
      <c r="U54" s="550"/>
      <c r="V54" s="549"/>
      <c r="W54" s="550"/>
      <c r="X54" s="550"/>
      <c r="Y54" s="549"/>
      <c r="Z54" s="550"/>
      <c r="AA54" s="550"/>
      <c r="AB54" s="549"/>
      <c r="AC54" s="550"/>
      <c r="AD54" s="550"/>
      <c r="AE54" s="549"/>
      <c r="AF54" s="550"/>
      <c r="AG54" s="550"/>
      <c r="AH54" s="549"/>
      <c r="AI54" s="550"/>
      <c r="AJ54" s="550"/>
      <c r="AK54" s="549"/>
      <c r="AL54" s="550"/>
      <c r="AM54" s="550"/>
      <c r="AN54" s="549"/>
      <c r="AO54" s="550"/>
      <c r="AP54" s="550"/>
      <c r="AQ54" s="549"/>
      <c r="AR54" s="550"/>
      <c r="AS54" s="550"/>
      <c r="AT54" s="549"/>
      <c r="AU54" s="550"/>
      <c r="AV54" s="550"/>
      <c r="AW54" s="549"/>
      <c r="AX54" s="550"/>
      <c r="AY54" s="550"/>
      <c r="AZ54" s="549"/>
      <c r="BA54" s="550"/>
      <c r="BB54" s="550"/>
      <c r="BC54" s="550"/>
    </row>
    <row r="55" spans="1:55">
      <c r="A55" s="531" t="str">
        <f t="shared" si="4"/>
        <v>AQ</v>
      </c>
      <c r="B55" s="50" t="str">
        <f t="shared" si="5"/>
        <v>SIPPM25</v>
      </c>
      <c r="C55" s="50" t="s">
        <v>253</v>
      </c>
      <c r="D55" s="532" t="s">
        <v>208</v>
      </c>
      <c r="E55" s="50" t="s">
        <v>52</v>
      </c>
      <c r="F55" s="535" t="str">
        <f>R.6MSDImpName3</f>
        <v xml:space="preserve"> </v>
      </c>
      <c r="G55" s="543">
        <f>R.6MSDImpHrs3</f>
        <v>0</v>
      </c>
      <c r="H55" s="544">
        <f>Table3[[#This Row],[Hrs Rank]]</f>
        <v>0</v>
      </c>
      <c r="I55" s="534">
        <f t="shared" si="2"/>
        <v>0</v>
      </c>
      <c r="J55" s="534">
        <f t="shared" si="3"/>
        <v>0</v>
      </c>
      <c r="K55" s="546"/>
      <c r="L55" s="546"/>
      <c r="M55" s="547" t="s">
        <v>223</v>
      </c>
      <c r="N55" s="547" t="s">
        <v>223</v>
      </c>
      <c r="O55" s="548"/>
      <c r="P55" s="549"/>
      <c r="Q55" s="550"/>
      <c r="R55" s="550"/>
      <c r="S55" s="549"/>
      <c r="T55" s="550"/>
      <c r="U55" s="550"/>
      <c r="V55" s="549"/>
      <c r="W55" s="550"/>
      <c r="X55" s="550"/>
      <c r="Y55" s="549"/>
      <c r="Z55" s="550"/>
      <c r="AA55" s="550"/>
      <c r="AB55" s="549"/>
      <c r="AC55" s="550"/>
      <c r="AD55" s="550"/>
      <c r="AE55" s="549"/>
      <c r="AF55" s="550"/>
      <c r="AG55" s="550"/>
      <c r="AH55" s="549"/>
      <c r="AI55" s="550"/>
      <c r="AJ55" s="550"/>
      <c r="AK55" s="549"/>
      <c r="AL55" s="550"/>
      <c r="AM55" s="550"/>
      <c r="AN55" s="549"/>
      <c r="AO55" s="550"/>
      <c r="AP55" s="550"/>
      <c r="AQ55" s="549"/>
      <c r="AR55" s="550"/>
      <c r="AS55" s="550"/>
      <c r="AT55" s="549"/>
      <c r="AU55" s="550"/>
      <c r="AV55" s="550"/>
      <c r="AW55" s="549"/>
      <c r="AX55" s="550"/>
      <c r="AY55" s="550"/>
      <c r="AZ55" s="549"/>
      <c r="BA55" s="550"/>
      <c r="BB55" s="550"/>
      <c r="BC55" s="550"/>
    </row>
    <row r="56" spans="1:55">
      <c r="A56" s="531" t="str">
        <f t="shared" si="4"/>
        <v>AQ</v>
      </c>
      <c r="B56" s="50" t="str">
        <f t="shared" si="5"/>
        <v>SIPPM25</v>
      </c>
      <c r="C56" s="50" t="s">
        <v>253</v>
      </c>
      <c r="D56" s="532" t="s">
        <v>208</v>
      </c>
      <c r="E56" s="50" t="s">
        <v>52</v>
      </c>
      <c r="F56" s="535" t="str">
        <f>R.6MSDImpName4</f>
        <v xml:space="preserve"> </v>
      </c>
      <c r="G56" s="543">
        <f>R.6MSDImpHrs4</f>
        <v>0</v>
      </c>
      <c r="H56" s="544">
        <f>Table3[[#This Row],[Hrs Rank]]</f>
        <v>0</v>
      </c>
      <c r="I56" s="534">
        <f t="shared" si="2"/>
        <v>0</v>
      </c>
      <c r="J56" s="534">
        <f t="shared" si="3"/>
        <v>0</v>
      </c>
      <c r="K56" s="546"/>
      <c r="L56" s="546"/>
      <c r="M56" s="547" t="s">
        <v>223</v>
      </c>
      <c r="N56" s="547" t="s">
        <v>223</v>
      </c>
      <c r="O56" s="548"/>
      <c r="P56" s="549"/>
      <c r="Q56" s="550"/>
      <c r="R56" s="550"/>
      <c r="S56" s="549"/>
      <c r="T56" s="550"/>
      <c r="U56" s="550"/>
      <c r="V56" s="549"/>
      <c r="W56" s="550"/>
      <c r="X56" s="550"/>
      <c r="Y56" s="549"/>
      <c r="Z56" s="550"/>
      <c r="AA56" s="550"/>
      <c r="AB56" s="549"/>
      <c r="AC56" s="550"/>
      <c r="AD56" s="550"/>
      <c r="AE56" s="549"/>
      <c r="AF56" s="550"/>
      <c r="AG56" s="550"/>
      <c r="AH56" s="549"/>
      <c r="AI56" s="550"/>
      <c r="AJ56" s="550"/>
      <c r="AK56" s="549"/>
      <c r="AL56" s="550"/>
      <c r="AM56" s="550"/>
      <c r="AN56" s="549"/>
      <c r="AO56" s="550"/>
      <c r="AP56" s="550"/>
      <c r="AQ56" s="549"/>
      <c r="AR56" s="550"/>
      <c r="AS56" s="550"/>
      <c r="AT56" s="549"/>
      <c r="AU56" s="550"/>
      <c r="AV56" s="550"/>
      <c r="AW56" s="549"/>
      <c r="AX56" s="550"/>
      <c r="AY56" s="550"/>
      <c r="AZ56" s="549"/>
      <c r="BA56" s="550"/>
      <c r="BB56" s="550"/>
      <c r="BC56" s="550"/>
    </row>
    <row r="57" spans="1:55">
      <c r="A57" s="531" t="str">
        <f t="shared" si="4"/>
        <v>AQ</v>
      </c>
      <c r="B57" s="50" t="str">
        <f t="shared" si="5"/>
        <v>SIPPM25</v>
      </c>
      <c r="C57" s="50" t="s">
        <v>254</v>
      </c>
      <c r="D57" s="532" t="s">
        <v>211</v>
      </c>
      <c r="E57" s="50" t="s">
        <v>53</v>
      </c>
      <c r="F57" s="535">
        <f>R.7EastDevName1</f>
        <v>0</v>
      </c>
      <c r="G57" s="543">
        <f>R.7EastDevHrs1</f>
        <v>0</v>
      </c>
      <c r="H57" s="544">
        <f>Table3[[#This Row],[Hrs Rank]]</f>
        <v>0</v>
      </c>
      <c r="I57" s="534">
        <f t="shared" si="2"/>
        <v>0</v>
      </c>
      <c r="J57" s="534">
        <f t="shared" si="3"/>
        <v>0</v>
      </c>
      <c r="K57" s="546"/>
      <c r="L57" s="546"/>
      <c r="M57" s="547" t="s">
        <v>223</v>
      </c>
      <c r="N57" s="547" t="s">
        <v>223</v>
      </c>
      <c r="O57" s="548"/>
      <c r="P57" s="549"/>
      <c r="Q57" s="550"/>
      <c r="R57" s="550"/>
      <c r="S57" s="549"/>
      <c r="T57" s="550"/>
      <c r="U57" s="550"/>
      <c r="V57" s="549"/>
      <c r="W57" s="550"/>
      <c r="X57" s="550"/>
      <c r="Y57" s="549"/>
      <c r="Z57" s="550"/>
      <c r="AA57" s="550"/>
      <c r="AB57" s="549"/>
      <c r="AC57" s="550"/>
      <c r="AD57" s="550"/>
      <c r="AE57" s="549"/>
      <c r="AF57" s="550"/>
      <c r="AG57" s="550"/>
      <c r="AH57" s="549"/>
      <c r="AI57" s="550"/>
      <c r="AJ57" s="550"/>
      <c r="AK57" s="549"/>
      <c r="AL57" s="550"/>
      <c r="AM57" s="550"/>
      <c r="AN57" s="549"/>
      <c r="AO57" s="550"/>
      <c r="AP57" s="550"/>
      <c r="AQ57" s="549"/>
      <c r="AR57" s="550"/>
      <c r="AS57" s="550"/>
      <c r="AT57" s="549"/>
      <c r="AU57" s="550"/>
      <c r="AV57" s="550"/>
      <c r="AW57" s="549"/>
      <c r="AX57" s="550"/>
      <c r="AY57" s="550"/>
      <c r="AZ57" s="549"/>
      <c r="BA57" s="550"/>
      <c r="BB57" s="550"/>
      <c r="BC57" s="550"/>
    </row>
    <row r="58" spans="1:55">
      <c r="A58" s="531" t="str">
        <f t="shared" si="4"/>
        <v>AQ</v>
      </c>
      <c r="B58" s="50" t="str">
        <f t="shared" si="5"/>
        <v>SIPPM25</v>
      </c>
      <c r="C58" s="50" t="s">
        <v>254</v>
      </c>
      <c r="D58" s="532" t="s">
        <v>211</v>
      </c>
      <c r="E58" s="50" t="s">
        <v>53</v>
      </c>
      <c r="F58" s="535" t="str">
        <f>R.7EastDevName2</f>
        <v xml:space="preserve"> </v>
      </c>
      <c r="G58" s="543">
        <f>R.7EastDevHrs2</f>
        <v>0</v>
      </c>
      <c r="H58" s="544">
        <f>Table3[[#This Row],[Hrs Rank]]</f>
        <v>0</v>
      </c>
      <c r="I58" s="534">
        <f t="shared" si="2"/>
        <v>0</v>
      </c>
      <c r="J58" s="534">
        <f t="shared" si="3"/>
        <v>0</v>
      </c>
      <c r="K58" s="546"/>
      <c r="L58" s="546"/>
      <c r="M58" s="547" t="s">
        <v>223</v>
      </c>
      <c r="N58" s="547" t="s">
        <v>223</v>
      </c>
      <c r="O58" s="548"/>
      <c r="P58" s="549"/>
      <c r="Q58" s="550"/>
      <c r="R58" s="550"/>
      <c r="S58" s="549"/>
      <c r="T58" s="550"/>
      <c r="U58" s="550"/>
      <c r="V58" s="549"/>
      <c r="W58" s="550"/>
      <c r="X58" s="550"/>
      <c r="Y58" s="549"/>
      <c r="Z58" s="550"/>
      <c r="AA58" s="550"/>
      <c r="AB58" s="549"/>
      <c r="AC58" s="550"/>
      <c r="AD58" s="550"/>
      <c r="AE58" s="549"/>
      <c r="AF58" s="550"/>
      <c r="AG58" s="550"/>
      <c r="AH58" s="549"/>
      <c r="AI58" s="550"/>
      <c r="AJ58" s="550"/>
      <c r="AK58" s="549"/>
      <c r="AL58" s="550"/>
      <c r="AM58" s="550"/>
      <c r="AN58" s="549"/>
      <c r="AO58" s="550"/>
      <c r="AP58" s="550"/>
      <c r="AQ58" s="549"/>
      <c r="AR58" s="550"/>
      <c r="AS58" s="550"/>
      <c r="AT58" s="549"/>
      <c r="AU58" s="550"/>
      <c r="AV58" s="550"/>
      <c r="AW58" s="549"/>
      <c r="AX58" s="550"/>
      <c r="AY58" s="550"/>
      <c r="AZ58" s="549"/>
      <c r="BA58" s="550"/>
      <c r="BB58" s="550"/>
      <c r="BC58" s="550"/>
    </row>
    <row r="59" spans="1:55">
      <c r="A59" s="531" t="str">
        <f t="shared" si="4"/>
        <v>AQ</v>
      </c>
      <c r="B59" s="50" t="str">
        <f t="shared" si="5"/>
        <v>SIPPM25</v>
      </c>
      <c r="C59" s="50" t="s">
        <v>254</v>
      </c>
      <c r="D59" s="532" t="s">
        <v>211</v>
      </c>
      <c r="E59" s="50" t="s">
        <v>53</v>
      </c>
      <c r="F59" s="535" t="str">
        <f>R.7EastDevName3</f>
        <v xml:space="preserve"> </v>
      </c>
      <c r="G59" s="543">
        <f>R.7EastDevHrs3</f>
        <v>0</v>
      </c>
      <c r="H59" s="544">
        <f>Table3[[#This Row],[Hrs Rank]]</f>
        <v>0</v>
      </c>
      <c r="I59" s="534">
        <f t="shared" si="2"/>
        <v>0</v>
      </c>
      <c r="J59" s="534">
        <f t="shared" si="3"/>
        <v>0</v>
      </c>
      <c r="K59" s="546"/>
      <c r="L59" s="546"/>
      <c r="M59" s="547" t="s">
        <v>223</v>
      </c>
      <c r="N59" s="547" t="s">
        <v>223</v>
      </c>
      <c r="O59" s="548"/>
      <c r="P59" s="549"/>
      <c r="Q59" s="550"/>
      <c r="R59" s="550"/>
      <c r="S59" s="549"/>
      <c r="T59" s="550"/>
      <c r="U59" s="550"/>
      <c r="V59" s="549"/>
      <c r="W59" s="550"/>
      <c r="X59" s="550"/>
      <c r="Y59" s="549"/>
      <c r="Z59" s="550"/>
      <c r="AA59" s="550"/>
      <c r="AB59" s="549"/>
      <c r="AC59" s="550"/>
      <c r="AD59" s="550"/>
      <c r="AE59" s="549"/>
      <c r="AF59" s="550"/>
      <c r="AG59" s="550"/>
      <c r="AH59" s="549"/>
      <c r="AI59" s="550"/>
      <c r="AJ59" s="550"/>
      <c r="AK59" s="549"/>
      <c r="AL59" s="550"/>
      <c r="AM59" s="550"/>
      <c r="AN59" s="549"/>
      <c r="AO59" s="550"/>
      <c r="AP59" s="550"/>
      <c r="AQ59" s="549"/>
      <c r="AR59" s="550"/>
      <c r="AS59" s="550"/>
      <c r="AT59" s="549"/>
      <c r="AU59" s="550"/>
      <c r="AV59" s="550"/>
      <c r="AW59" s="549"/>
      <c r="AX59" s="550"/>
      <c r="AY59" s="550"/>
      <c r="AZ59" s="549"/>
      <c r="BA59" s="550"/>
      <c r="BB59" s="550"/>
      <c r="BC59" s="550"/>
    </row>
    <row r="60" spans="1:55">
      <c r="A60" s="531" t="str">
        <f t="shared" si="4"/>
        <v>AQ</v>
      </c>
      <c r="B60" s="50" t="str">
        <f t="shared" si="5"/>
        <v>SIPPM25</v>
      </c>
      <c r="C60" s="50" t="s">
        <v>254</v>
      </c>
      <c r="D60" s="532" t="s">
        <v>211</v>
      </c>
      <c r="E60" s="50" t="s">
        <v>53</v>
      </c>
      <c r="F60" s="535">
        <f>R.7EastDevName4</f>
        <v>0</v>
      </c>
      <c r="G60" s="543">
        <f>R.7EastDevHrs4</f>
        <v>0</v>
      </c>
      <c r="H60" s="544">
        <f>Table3[[#This Row],[Hrs Rank]]</f>
        <v>0</v>
      </c>
      <c r="I60" s="534">
        <f t="shared" si="2"/>
        <v>0</v>
      </c>
      <c r="J60" s="534">
        <f t="shared" si="3"/>
        <v>0</v>
      </c>
      <c r="K60" s="546"/>
      <c r="L60" s="546"/>
      <c r="M60" s="547" t="s">
        <v>223</v>
      </c>
      <c r="N60" s="547" t="s">
        <v>223</v>
      </c>
      <c r="O60" s="548"/>
      <c r="P60" s="549"/>
      <c r="Q60" s="550"/>
      <c r="R60" s="550"/>
      <c r="S60" s="549"/>
      <c r="T60" s="550"/>
      <c r="U60" s="550"/>
      <c r="V60" s="549"/>
      <c r="W60" s="550"/>
      <c r="X60" s="550"/>
      <c r="Y60" s="549"/>
      <c r="Z60" s="550"/>
      <c r="AA60" s="550"/>
      <c r="AB60" s="549"/>
      <c r="AC60" s="550"/>
      <c r="AD60" s="550"/>
      <c r="AE60" s="549"/>
      <c r="AF60" s="550"/>
      <c r="AG60" s="550"/>
      <c r="AH60" s="549"/>
      <c r="AI60" s="550"/>
      <c r="AJ60" s="550"/>
      <c r="AK60" s="549"/>
      <c r="AL60" s="550"/>
      <c r="AM60" s="550"/>
      <c r="AN60" s="549"/>
      <c r="AO60" s="550"/>
      <c r="AP60" s="550"/>
      <c r="AQ60" s="549"/>
      <c r="AR60" s="550"/>
      <c r="AS60" s="550"/>
      <c r="AT60" s="549"/>
      <c r="AU60" s="550"/>
      <c r="AV60" s="550"/>
      <c r="AW60" s="549"/>
      <c r="AX60" s="550"/>
      <c r="AY60" s="550"/>
      <c r="AZ60" s="549"/>
      <c r="BA60" s="550"/>
      <c r="BB60" s="550"/>
      <c r="BC60" s="550"/>
    </row>
    <row r="61" spans="1:55">
      <c r="A61" s="531" t="str">
        <f t="shared" si="4"/>
        <v>AQ</v>
      </c>
      <c r="B61" s="50" t="str">
        <f t="shared" si="5"/>
        <v>SIPPM25</v>
      </c>
      <c r="C61" s="50" t="s">
        <v>254</v>
      </c>
      <c r="D61" s="532" t="s">
        <v>211</v>
      </c>
      <c r="E61" s="50" t="s">
        <v>52</v>
      </c>
      <c r="F61" s="535">
        <f>R.7EastImpName1</f>
        <v>0</v>
      </c>
      <c r="G61" s="543">
        <f>R.7EastImpHrs1</f>
        <v>0</v>
      </c>
      <c r="H61" s="544">
        <f>Table3[[#This Row],[Hrs Rank]]</f>
        <v>0</v>
      </c>
      <c r="I61" s="534">
        <f t="shared" si="2"/>
        <v>0</v>
      </c>
      <c r="J61" s="534">
        <f t="shared" si="3"/>
        <v>0</v>
      </c>
      <c r="K61" s="546"/>
      <c r="L61" s="546"/>
      <c r="M61" s="547" t="s">
        <v>223</v>
      </c>
      <c r="N61" s="547" t="s">
        <v>223</v>
      </c>
      <c r="O61" s="548"/>
      <c r="P61" s="549"/>
      <c r="Q61" s="550"/>
      <c r="R61" s="550"/>
      <c r="S61" s="549"/>
      <c r="T61" s="550"/>
      <c r="U61" s="550"/>
      <c r="V61" s="549"/>
      <c r="W61" s="550"/>
      <c r="X61" s="550"/>
      <c r="Y61" s="549"/>
      <c r="Z61" s="550"/>
      <c r="AA61" s="550"/>
      <c r="AB61" s="549"/>
      <c r="AC61" s="550"/>
      <c r="AD61" s="550"/>
      <c r="AE61" s="549"/>
      <c r="AF61" s="550"/>
      <c r="AG61" s="550"/>
      <c r="AH61" s="549"/>
      <c r="AI61" s="550"/>
      <c r="AJ61" s="550"/>
      <c r="AK61" s="549"/>
      <c r="AL61" s="550"/>
      <c r="AM61" s="550"/>
      <c r="AN61" s="549"/>
      <c r="AO61" s="550"/>
      <c r="AP61" s="550"/>
      <c r="AQ61" s="549"/>
      <c r="AR61" s="550"/>
      <c r="AS61" s="550"/>
      <c r="AT61" s="549"/>
      <c r="AU61" s="550"/>
      <c r="AV61" s="550"/>
      <c r="AW61" s="549"/>
      <c r="AX61" s="550"/>
      <c r="AY61" s="550"/>
      <c r="AZ61" s="549"/>
      <c r="BA61" s="550"/>
      <c r="BB61" s="550"/>
      <c r="BC61" s="550"/>
    </row>
    <row r="62" spans="1:55">
      <c r="A62" s="531" t="str">
        <f t="shared" si="4"/>
        <v>AQ</v>
      </c>
      <c r="B62" s="50" t="str">
        <f t="shared" si="5"/>
        <v>SIPPM25</v>
      </c>
      <c r="C62" s="50" t="s">
        <v>254</v>
      </c>
      <c r="D62" s="532" t="s">
        <v>211</v>
      </c>
      <c r="E62" s="50" t="s">
        <v>52</v>
      </c>
      <c r="F62" s="535">
        <f>R.7EastImpName2</f>
        <v>0</v>
      </c>
      <c r="G62" s="543">
        <f>R.7EastImpHrs2</f>
        <v>0</v>
      </c>
      <c r="H62" s="544">
        <f>Table3[[#This Row],[Hrs Rank]]</f>
        <v>0</v>
      </c>
      <c r="I62" s="534">
        <f t="shared" si="2"/>
        <v>0</v>
      </c>
      <c r="J62" s="534">
        <f t="shared" si="3"/>
        <v>0</v>
      </c>
      <c r="K62" s="546"/>
      <c r="L62" s="546"/>
      <c r="M62" s="547" t="s">
        <v>223</v>
      </c>
      <c r="N62" s="547" t="s">
        <v>223</v>
      </c>
      <c r="O62" s="548"/>
      <c r="P62" s="549"/>
      <c r="Q62" s="550"/>
      <c r="R62" s="550"/>
      <c r="S62" s="549"/>
      <c r="T62" s="550"/>
      <c r="U62" s="550"/>
      <c r="V62" s="549"/>
      <c r="W62" s="550"/>
      <c r="X62" s="550"/>
      <c r="Y62" s="549"/>
      <c r="Z62" s="550"/>
      <c r="AA62" s="550"/>
      <c r="AB62" s="549"/>
      <c r="AC62" s="550"/>
      <c r="AD62" s="550"/>
      <c r="AE62" s="549"/>
      <c r="AF62" s="550"/>
      <c r="AG62" s="550"/>
      <c r="AH62" s="549"/>
      <c r="AI62" s="550"/>
      <c r="AJ62" s="550"/>
      <c r="AK62" s="549"/>
      <c r="AL62" s="550"/>
      <c r="AM62" s="550"/>
      <c r="AN62" s="549"/>
      <c r="AO62" s="550"/>
      <c r="AP62" s="550"/>
      <c r="AQ62" s="549"/>
      <c r="AR62" s="550"/>
      <c r="AS62" s="550"/>
      <c r="AT62" s="549"/>
      <c r="AU62" s="550"/>
      <c r="AV62" s="550"/>
      <c r="AW62" s="549"/>
      <c r="AX62" s="550"/>
      <c r="AY62" s="550"/>
      <c r="AZ62" s="549"/>
      <c r="BA62" s="550"/>
      <c r="BB62" s="550"/>
      <c r="BC62" s="550"/>
    </row>
    <row r="63" spans="1:55">
      <c r="A63" s="531" t="str">
        <f t="shared" si="4"/>
        <v>AQ</v>
      </c>
      <c r="B63" s="50" t="str">
        <f t="shared" si="5"/>
        <v>SIPPM25</v>
      </c>
      <c r="C63" s="50" t="s">
        <v>254</v>
      </c>
      <c r="D63" s="532" t="s">
        <v>211</v>
      </c>
      <c r="E63" s="50" t="s">
        <v>52</v>
      </c>
      <c r="F63" s="535">
        <f>R.7EastImpName3</f>
        <v>0</v>
      </c>
      <c r="G63" s="543">
        <f>R.7EastImpHrs3</f>
        <v>0</v>
      </c>
      <c r="H63" s="544">
        <f>Table3[[#This Row],[Hrs Rank]]</f>
        <v>0</v>
      </c>
      <c r="I63" s="534">
        <f t="shared" si="2"/>
        <v>0</v>
      </c>
      <c r="J63" s="534">
        <f t="shared" si="3"/>
        <v>0</v>
      </c>
      <c r="K63" s="546"/>
      <c r="L63" s="546"/>
      <c r="M63" s="547" t="s">
        <v>223</v>
      </c>
      <c r="N63" s="547" t="s">
        <v>223</v>
      </c>
      <c r="O63" s="548"/>
      <c r="P63" s="549"/>
      <c r="Q63" s="550"/>
      <c r="R63" s="550"/>
      <c r="S63" s="549"/>
      <c r="T63" s="550"/>
      <c r="U63" s="550"/>
      <c r="V63" s="549"/>
      <c r="W63" s="550"/>
      <c r="X63" s="550"/>
      <c r="Y63" s="549"/>
      <c r="Z63" s="550"/>
      <c r="AA63" s="550"/>
      <c r="AB63" s="549"/>
      <c r="AC63" s="550"/>
      <c r="AD63" s="550"/>
      <c r="AE63" s="549"/>
      <c r="AF63" s="550"/>
      <c r="AG63" s="550"/>
      <c r="AH63" s="549"/>
      <c r="AI63" s="550"/>
      <c r="AJ63" s="550"/>
      <c r="AK63" s="549"/>
      <c r="AL63" s="550"/>
      <c r="AM63" s="550"/>
      <c r="AN63" s="549"/>
      <c r="AO63" s="550"/>
      <c r="AP63" s="550"/>
      <c r="AQ63" s="549"/>
      <c r="AR63" s="550"/>
      <c r="AS63" s="550"/>
      <c r="AT63" s="549"/>
      <c r="AU63" s="550"/>
      <c r="AV63" s="550"/>
      <c r="AW63" s="549"/>
      <c r="AX63" s="550"/>
      <c r="AY63" s="550"/>
      <c r="AZ63" s="549"/>
      <c r="BA63" s="550"/>
      <c r="BB63" s="550"/>
      <c r="BC63" s="550"/>
    </row>
    <row r="64" spans="1:55">
      <c r="A64" s="531" t="str">
        <f t="shared" si="4"/>
        <v>AQ</v>
      </c>
      <c r="B64" s="50" t="str">
        <f t="shared" si="5"/>
        <v>SIPPM25</v>
      </c>
      <c r="C64" s="50" t="s">
        <v>254</v>
      </c>
      <c r="D64" s="532" t="s">
        <v>211</v>
      </c>
      <c r="E64" s="50" t="s">
        <v>52</v>
      </c>
      <c r="F64" s="535">
        <f>R.7EastImpName4</f>
        <v>0</v>
      </c>
      <c r="G64" s="543">
        <f>R.7EastImpHrs4</f>
        <v>0</v>
      </c>
      <c r="H64" s="544">
        <f>Table3[[#This Row],[Hrs Rank]]</f>
        <v>0</v>
      </c>
      <c r="I64" s="534">
        <f t="shared" si="2"/>
        <v>0</v>
      </c>
      <c r="J64" s="534">
        <f t="shared" si="3"/>
        <v>0</v>
      </c>
      <c r="K64" s="546"/>
      <c r="L64" s="546"/>
      <c r="M64" s="547" t="s">
        <v>223</v>
      </c>
      <c r="N64" s="547" t="s">
        <v>223</v>
      </c>
      <c r="O64" s="548"/>
      <c r="P64" s="549"/>
      <c r="Q64" s="550"/>
      <c r="R64" s="550"/>
      <c r="S64" s="549"/>
      <c r="T64" s="550"/>
      <c r="U64" s="550"/>
      <c r="V64" s="549"/>
      <c r="W64" s="550"/>
      <c r="X64" s="550"/>
      <c r="Y64" s="549"/>
      <c r="Z64" s="550"/>
      <c r="AA64" s="550"/>
      <c r="AB64" s="549"/>
      <c r="AC64" s="550"/>
      <c r="AD64" s="550"/>
      <c r="AE64" s="549"/>
      <c r="AF64" s="550"/>
      <c r="AG64" s="550"/>
      <c r="AH64" s="549"/>
      <c r="AI64" s="550"/>
      <c r="AJ64" s="550"/>
      <c r="AK64" s="549"/>
      <c r="AL64" s="550"/>
      <c r="AM64" s="550"/>
      <c r="AN64" s="549"/>
      <c r="AO64" s="550"/>
      <c r="AP64" s="550"/>
      <c r="AQ64" s="549"/>
      <c r="AR64" s="550"/>
      <c r="AS64" s="550"/>
      <c r="AT64" s="549"/>
      <c r="AU64" s="550"/>
      <c r="AV64" s="550"/>
      <c r="AW64" s="549"/>
      <c r="AX64" s="550"/>
      <c r="AY64" s="550"/>
      <c r="AZ64" s="549"/>
      <c r="BA64" s="550"/>
      <c r="BB64" s="550"/>
      <c r="BC64" s="550"/>
    </row>
    <row r="65" spans="1:55" s="491" customFormat="1">
      <c r="A65" s="531" t="str">
        <f t="shared" si="4"/>
        <v>AQ</v>
      </c>
      <c r="B65" s="50" t="str">
        <f t="shared" si="5"/>
        <v>SIPPM25</v>
      </c>
      <c r="C65" s="50" t="s">
        <v>254</v>
      </c>
      <c r="D65" s="532" t="s">
        <v>212</v>
      </c>
      <c r="E65" s="50" t="s">
        <v>53</v>
      </c>
      <c r="F65" s="535">
        <f>R.7WestDevName1</f>
        <v>0</v>
      </c>
      <c r="G65" s="543">
        <f>R.7WestDevHrs1</f>
        <v>0</v>
      </c>
      <c r="H65" s="544">
        <f>Table3[[#This Row],[Hrs Rank]]</f>
        <v>0</v>
      </c>
      <c r="I65" s="534">
        <f t="shared" si="2"/>
        <v>0</v>
      </c>
      <c r="J65" s="534">
        <f t="shared" si="3"/>
        <v>0</v>
      </c>
      <c r="K65" s="546"/>
      <c r="L65" s="546"/>
      <c r="M65" s="547" t="s">
        <v>223</v>
      </c>
      <c r="N65" s="547" t="s">
        <v>223</v>
      </c>
      <c r="O65" s="548"/>
      <c r="P65" s="549"/>
      <c r="Q65" s="550"/>
      <c r="R65" s="550"/>
      <c r="S65" s="549"/>
      <c r="T65" s="550"/>
      <c r="U65" s="550"/>
      <c r="V65" s="549"/>
      <c r="W65" s="550"/>
      <c r="X65" s="550"/>
      <c r="Y65" s="549"/>
      <c r="Z65" s="550"/>
      <c r="AA65" s="550"/>
      <c r="AB65" s="549"/>
      <c r="AC65" s="550"/>
      <c r="AD65" s="550"/>
      <c r="AE65" s="549"/>
      <c r="AF65" s="550"/>
      <c r="AG65" s="550"/>
      <c r="AH65" s="549"/>
      <c r="AI65" s="550"/>
      <c r="AJ65" s="550"/>
      <c r="AK65" s="549"/>
      <c r="AL65" s="550"/>
      <c r="AM65" s="550"/>
      <c r="AN65" s="549"/>
      <c r="AO65" s="550"/>
      <c r="AP65" s="550"/>
      <c r="AQ65" s="549"/>
      <c r="AR65" s="550"/>
      <c r="AS65" s="550"/>
      <c r="AT65" s="549"/>
      <c r="AU65" s="550"/>
      <c r="AV65" s="550"/>
      <c r="AW65" s="549"/>
      <c r="AX65" s="550"/>
      <c r="AY65" s="550"/>
      <c r="AZ65" s="549"/>
      <c r="BA65" s="550"/>
      <c r="BB65" s="550"/>
      <c r="BC65" s="550"/>
    </row>
    <row r="66" spans="1:55" s="491" customFormat="1">
      <c r="A66" s="531" t="str">
        <f t="shared" si="4"/>
        <v>AQ</v>
      </c>
      <c r="B66" s="50" t="str">
        <f t="shared" si="5"/>
        <v>SIPPM25</v>
      </c>
      <c r="C66" s="50" t="s">
        <v>254</v>
      </c>
      <c r="D66" s="532" t="s">
        <v>212</v>
      </c>
      <c r="E66" s="50" t="s">
        <v>53</v>
      </c>
      <c r="F66" s="535">
        <f>R.7WestDevName2</f>
        <v>0</v>
      </c>
      <c r="G66" s="543">
        <f>R.7WestDevHrs2</f>
        <v>0</v>
      </c>
      <c r="H66" s="544">
        <f>Table3[[#This Row],[Hrs Rank]]</f>
        <v>0</v>
      </c>
      <c r="I66" s="534">
        <f t="shared" si="2"/>
        <v>0</v>
      </c>
      <c r="J66" s="534">
        <f t="shared" si="3"/>
        <v>0</v>
      </c>
      <c r="K66" s="546"/>
      <c r="L66" s="546"/>
      <c r="M66" s="547" t="s">
        <v>223</v>
      </c>
      <c r="N66" s="547" t="s">
        <v>223</v>
      </c>
      <c r="O66" s="548"/>
      <c r="P66" s="549"/>
      <c r="Q66" s="550"/>
      <c r="R66" s="550"/>
      <c r="S66" s="549"/>
      <c r="T66" s="550"/>
      <c r="U66" s="550"/>
      <c r="V66" s="549"/>
      <c r="W66" s="550"/>
      <c r="X66" s="550"/>
      <c r="Y66" s="549"/>
      <c r="Z66" s="550"/>
      <c r="AA66" s="550"/>
      <c r="AB66" s="549"/>
      <c r="AC66" s="550"/>
      <c r="AD66" s="550"/>
      <c r="AE66" s="549"/>
      <c r="AF66" s="550"/>
      <c r="AG66" s="550"/>
      <c r="AH66" s="549"/>
      <c r="AI66" s="550"/>
      <c r="AJ66" s="550"/>
      <c r="AK66" s="549"/>
      <c r="AL66" s="550"/>
      <c r="AM66" s="550"/>
      <c r="AN66" s="549"/>
      <c r="AO66" s="550"/>
      <c r="AP66" s="550"/>
      <c r="AQ66" s="549"/>
      <c r="AR66" s="550"/>
      <c r="AS66" s="550"/>
      <c r="AT66" s="549"/>
      <c r="AU66" s="550"/>
      <c r="AV66" s="550"/>
      <c r="AW66" s="549"/>
      <c r="AX66" s="550"/>
      <c r="AY66" s="550"/>
      <c r="AZ66" s="549"/>
      <c r="BA66" s="550"/>
      <c r="BB66" s="550"/>
      <c r="BC66" s="550"/>
    </row>
    <row r="67" spans="1:55" s="491" customFormat="1">
      <c r="A67" s="531" t="str">
        <f t="shared" ref="A67:A98" si="6">R.1Division</f>
        <v>AQ</v>
      </c>
      <c r="B67" s="50" t="str">
        <f t="shared" ref="B67:B98" si="7">R.1CodeName</f>
        <v>SIPPM25</v>
      </c>
      <c r="C67" s="50" t="s">
        <v>254</v>
      </c>
      <c r="D67" s="532" t="s">
        <v>212</v>
      </c>
      <c r="E67" s="50" t="s">
        <v>53</v>
      </c>
      <c r="F67" s="535">
        <f>R.7WestDevName3</f>
        <v>0</v>
      </c>
      <c r="G67" s="543">
        <f>R.7WestDevHrs3</f>
        <v>0</v>
      </c>
      <c r="H67" s="544">
        <f>Table3[[#This Row],[Hrs Rank]]</f>
        <v>0</v>
      </c>
      <c r="I67" s="534">
        <f t="shared" ref="I67:I130" si="8">IF(ISNA(VLOOKUP($H67,R.VL_DEQResourceHours,2,FALSE)),0,VLOOKUP($H67,R.VL_DEQResourceHours,2,FALSE))</f>
        <v>0</v>
      </c>
      <c r="J67" s="534">
        <f t="shared" ref="J67:J130" si="9">IF(ISNA(VLOOKUP($H67,R.VL_DEQResourceHours,3,FALSE)),0,VLOOKUP($H67,R.VL_DEQResourceHours,3,FALSE))</f>
        <v>0</v>
      </c>
      <c r="K67" s="546"/>
      <c r="L67" s="546"/>
      <c r="M67" s="547" t="s">
        <v>223</v>
      </c>
      <c r="N67" s="547" t="s">
        <v>223</v>
      </c>
      <c r="O67" s="548"/>
      <c r="P67" s="549"/>
      <c r="Q67" s="550"/>
      <c r="R67" s="550"/>
      <c r="S67" s="549"/>
      <c r="T67" s="550"/>
      <c r="U67" s="550"/>
      <c r="V67" s="549"/>
      <c r="W67" s="550"/>
      <c r="X67" s="550"/>
      <c r="Y67" s="549"/>
      <c r="Z67" s="550"/>
      <c r="AA67" s="550"/>
      <c r="AB67" s="549"/>
      <c r="AC67" s="550"/>
      <c r="AD67" s="550"/>
      <c r="AE67" s="549"/>
      <c r="AF67" s="550"/>
      <c r="AG67" s="550"/>
      <c r="AH67" s="549"/>
      <c r="AI67" s="550"/>
      <c r="AJ67" s="550"/>
      <c r="AK67" s="549"/>
      <c r="AL67" s="550"/>
      <c r="AM67" s="550"/>
      <c r="AN67" s="549"/>
      <c r="AO67" s="550"/>
      <c r="AP67" s="550"/>
      <c r="AQ67" s="549"/>
      <c r="AR67" s="550"/>
      <c r="AS67" s="550"/>
      <c r="AT67" s="549"/>
      <c r="AU67" s="550"/>
      <c r="AV67" s="550"/>
      <c r="AW67" s="549"/>
      <c r="AX67" s="550"/>
      <c r="AY67" s="550"/>
      <c r="AZ67" s="549"/>
      <c r="BA67" s="550"/>
      <c r="BB67" s="550"/>
      <c r="BC67" s="550"/>
    </row>
    <row r="68" spans="1:55" s="491" customFormat="1">
      <c r="A68" s="531" t="str">
        <f t="shared" si="6"/>
        <v>AQ</v>
      </c>
      <c r="B68" s="50" t="str">
        <f t="shared" si="7"/>
        <v>SIPPM25</v>
      </c>
      <c r="C68" s="50" t="s">
        <v>254</v>
      </c>
      <c r="D68" s="532" t="s">
        <v>212</v>
      </c>
      <c r="E68" s="50" t="s">
        <v>53</v>
      </c>
      <c r="F68" s="535">
        <f>R.7WestDevName4</f>
        <v>0</v>
      </c>
      <c r="G68" s="543">
        <f>R.7WestDevHrs4</f>
        <v>0</v>
      </c>
      <c r="H68" s="544">
        <f>Table3[[#This Row],[Hrs Rank]]</f>
        <v>0</v>
      </c>
      <c r="I68" s="534">
        <f t="shared" si="8"/>
        <v>0</v>
      </c>
      <c r="J68" s="534">
        <f t="shared" si="9"/>
        <v>0</v>
      </c>
      <c r="K68" s="546"/>
      <c r="L68" s="546"/>
      <c r="M68" s="547" t="s">
        <v>223</v>
      </c>
      <c r="N68" s="547" t="s">
        <v>223</v>
      </c>
      <c r="O68" s="548"/>
      <c r="P68" s="549"/>
      <c r="Q68" s="550"/>
      <c r="R68" s="550"/>
      <c r="S68" s="549"/>
      <c r="T68" s="550"/>
      <c r="U68" s="550"/>
      <c r="V68" s="549"/>
      <c r="W68" s="550"/>
      <c r="X68" s="550"/>
      <c r="Y68" s="549"/>
      <c r="Z68" s="550"/>
      <c r="AA68" s="550"/>
      <c r="AB68" s="549"/>
      <c r="AC68" s="550"/>
      <c r="AD68" s="550"/>
      <c r="AE68" s="549"/>
      <c r="AF68" s="550"/>
      <c r="AG68" s="550"/>
      <c r="AH68" s="549"/>
      <c r="AI68" s="550"/>
      <c r="AJ68" s="550"/>
      <c r="AK68" s="549"/>
      <c r="AL68" s="550"/>
      <c r="AM68" s="550"/>
      <c r="AN68" s="549"/>
      <c r="AO68" s="550"/>
      <c r="AP68" s="550"/>
      <c r="AQ68" s="549"/>
      <c r="AR68" s="550"/>
      <c r="AS68" s="550"/>
      <c r="AT68" s="549"/>
      <c r="AU68" s="550"/>
      <c r="AV68" s="550"/>
      <c r="AW68" s="549"/>
      <c r="AX68" s="550"/>
      <c r="AY68" s="550"/>
      <c r="AZ68" s="549"/>
      <c r="BA68" s="550"/>
      <c r="BB68" s="550"/>
      <c r="BC68" s="550"/>
    </row>
    <row r="69" spans="1:55" s="491" customFormat="1">
      <c r="A69" s="531" t="str">
        <f t="shared" si="6"/>
        <v>AQ</v>
      </c>
      <c r="B69" s="50" t="str">
        <f t="shared" si="7"/>
        <v>SIPPM25</v>
      </c>
      <c r="C69" s="50" t="s">
        <v>254</v>
      </c>
      <c r="D69" s="532" t="s">
        <v>212</v>
      </c>
      <c r="E69" s="50" t="s">
        <v>52</v>
      </c>
      <c r="F69" s="535" t="str">
        <f>R.7WestImpName1</f>
        <v xml:space="preserve"> </v>
      </c>
      <c r="G69" s="543">
        <f>R.7WestImpHrs1</f>
        <v>0</v>
      </c>
      <c r="H69" s="544">
        <f>Table3[[#This Row],[Hrs Rank]]</f>
        <v>0</v>
      </c>
      <c r="I69" s="534">
        <f t="shared" si="8"/>
        <v>0</v>
      </c>
      <c r="J69" s="534">
        <f t="shared" si="9"/>
        <v>0</v>
      </c>
      <c r="K69" s="546"/>
      <c r="L69" s="546"/>
      <c r="M69" s="547" t="s">
        <v>223</v>
      </c>
      <c r="N69" s="547" t="s">
        <v>223</v>
      </c>
      <c r="O69" s="548"/>
      <c r="P69" s="549"/>
      <c r="Q69" s="550"/>
      <c r="R69" s="550"/>
      <c r="S69" s="549"/>
      <c r="T69" s="550"/>
      <c r="U69" s="550"/>
      <c r="V69" s="549"/>
      <c r="W69" s="550"/>
      <c r="X69" s="550"/>
      <c r="Y69" s="549"/>
      <c r="Z69" s="550"/>
      <c r="AA69" s="550"/>
      <c r="AB69" s="549"/>
      <c r="AC69" s="550"/>
      <c r="AD69" s="550"/>
      <c r="AE69" s="549"/>
      <c r="AF69" s="550"/>
      <c r="AG69" s="550"/>
      <c r="AH69" s="549"/>
      <c r="AI69" s="550"/>
      <c r="AJ69" s="550"/>
      <c r="AK69" s="549"/>
      <c r="AL69" s="550"/>
      <c r="AM69" s="550"/>
      <c r="AN69" s="549"/>
      <c r="AO69" s="550"/>
      <c r="AP69" s="550"/>
      <c r="AQ69" s="549"/>
      <c r="AR69" s="550"/>
      <c r="AS69" s="550"/>
      <c r="AT69" s="549"/>
      <c r="AU69" s="550"/>
      <c r="AV69" s="550"/>
      <c r="AW69" s="549"/>
      <c r="AX69" s="550"/>
      <c r="AY69" s="550"/>
      <c r="AZ69" s="549"/>
      <c r="BA69" s="550"/>
      <c r="BB69" s="550"/>
      <c r="BC69" s="550"/>
    </row>
    <row r="70" spans="1:55" s="491" customFormat="1">
      <c r="A70" s="531" t="str">
        <f t="shared" si="6"/>
        <v>AQ</v>
      </c>
      <c r="B70" s="50" t="str">
        <f t="shared" si="7"/>
        <v>SIPPM25</v>
      </c>
      <c r="C70" s="50" t="s">
        <v>254</v>
      </c>
      <c r="D70" s="532" t="s">
        <v>212</v>
      </c>
      <c r="E70" s="50" t="s">
        <v>52</v>
      </c>
      <c r="F70" s="535">
        <f>R.7WestImpName2</f>
        <v>0</v>
      </c>
      <c r="G70" s="543">
        <f>R.7WestDevHrs2</f>
        <v>0</v>
      </c>
      <c r="H70" s="544">
        <f>Table3[[#This Row],[Hrs Rank]]</f>
        <v>0</v>
      </c>
      <c r="I70" s="534">
        <f t="shared" si="8"/>
        <v>0</v>
      </c>
      <c r="J70" s="534">
        <f t="shared" si="9"/>
        <v>0</v>
      </c>
      <c r="K70" s="546"/>
      <c r="L70" s="546"/>
      <c r="M70" s="547" t="s">
        <v>223</v>
      </c>
      <c r="N70" s="547" t="s">
        <v>223</v>
      </c>
      <c r="O70" s="548"/>
      <c r="P70" s="549"/>
      <c r="Q70" s="550"/>
      <c r="R70" s="550"/>
      <c r="S70" s="549"/>
      <c r="T70" s="550"/>
      <c r="U70" s="550"/>
      <c r="V70" s="549"/>
      <c r="W70" s="550"/>
      <c r="X70" s="550"/>
      <c r="Y70" s="549"/>
      <c r="Z70" s="550"/>
      <c r="AA70" s="550"/>
      <c r="AB70" s="549"/>
      <c r="AC70" s="550"/>
      <c r="AD70" s="550"/>
      <c r="AE70" s="549"/>
      <c r="AF70" s="550"/>
      <c r="AG70" s="550"/>
      <c r="AH70" s="549"/>
      <c r="AI70" s="550"/>
      <c r="AJ70" s="550"/>
      <c r="AK70" s="549"/>
      <c r="AL70" s="550"/>
      <c r="AM70" s="550"/>
      <c r="AN70" s="549"/>
      <c r="AO70" s="550"/>
      <c r="AP70" s="550"/>
      <c r="AQ70" s="549"/>
      <c r="AR70" s="550"/>
      <c r="AS70" s="550"/>
      <c r="AT70" s="549"/>
      <c r="AU70" s="550"/>
      <c r="AV70" s="550"/>
      <c r="AW70" s="549"/>
      <c r="AX70" s="550"/>
      <c r="AY70" s="550"/>
      <c r="AZ70" s="549"/>
      <c r="BA70" s="550"/>
      <c r="BB70" s="550"/>
      <c r="BC70" s="550"/>
    </row>
    <row r="71" spans="1:55" s="491" customFormat="1">
      <c r="A71" s="531" t="str">
        <f t="shared" si="6"/>
        <v>AQ</v>
      </c>
      <c r="B71" s="50" t="str">
        <f t="shared" si="7"/>
        <v>SIPPM25</v>
      </c>
      <c r="C71" s="50" t="s">
        <v>254</v>
      </c>
      <c r="D71" s="532" t="s">
        <v>212</v>
      </c>
      <c r="E71" s="50" t="s">
        <v>52</v>
      </c>
      <c r="F71" s="535">
        <f>R.7WestImpName3</f>
        <v>0</v>
      </c>
      <c r="G71" s="543">
        <f>R.7WestDevHrs3</f>
        <v>0</v>
      </c>
      <c r="H71" s="544">
        <f>Table3[[#This Row],[Hrs Rank]]</f>
        <v>0</v>
      </c>
      <c r="I71" s="534">
        <f t="shared" si="8"/>
        <v>0</v>
      </c>
      <c r="J71" s="534">
        <f t="shared" si="9"/>
        <v>0</v>
      </c>
      <c r="K71" s="546"/>
      <c r="L71" s="546"/>
      <c r="M71" s="547" t="s">
        <v>223</v>
      </c>
      <c r="N71" s="547" t="s">
        <v>223</v>
      </c>
      <c r="O71" s="548"/>
      <c r="P71" s="549"/>
      <c r="Q71" s="550"/>
      <c r="R71" s="550"/>
      <c r="S71" s="549"/>
      <c r="T71" s="550"/>
      <c r="U71" s="550"/>
      <c r="V71" s="549"/>
      <c r="W71" s="550"/>
      <c r="X71" s="550"/>
      <c r="Y71" s="549"/>
      <c r="Z71" s="550"/>
      <c r="AA71" s="550"/>
      <c r="AB71" s="549"/>
      <c r="AC71" s="550"/>
      <c r="AD71" s="550"/>
      <c r="AE71" s="549"/>
      <c r="AF71" s="550"/>
      <c r="AG71" s="550"/>
      <c r="AH71" s="549"/>
      <c r="AI71" s="550"/>
      <c r="AJ71" s="550"/>
      <c r="AK71" s="549"/>
      <c r="AL71" s="550"/>
      <c r="AM71" s="550"/>
      <c r="AN71" s="549"/>
      <c r="AO71" s="550"/>
      <c r="AP71" s="550"/>
      <c r="AQ71" s="549"/>
      <c r="AR71" s="550"/>
      <c r="AS71" s="550"/>
      <c r="AT71" s="549"/>
      <c r="AU71" s="550"/>
      <c r="AV71" s="550"/>
      <c r="AW71" s="549"/>
      <c r="AX71" s="550"/>
      <c r="AY71" s="550"/>
      <c r="AZ71" s="549"/>
      <c r="BA71" s="550"/>
      <c r="BB71" s="550"/>
      <c r="BC71" s="550"/>
    </row>
    <row r="72" spans="1:55" s="491" customFormat="1">
      <c r="A72" s="531" t="str">
        <f t="shared" si="6"/>
        <v>AQ</v>
      </c>
      <c r="B72" s="50" t="str">
        <f t="shared" si="7"/>
        <v>SIPPM25</v>
      </c>
      <c r="C72" s="50" t="s">
        <v>254</v>
      </c>
      <c r="D72" s="532" t="s">
        <v>212</v>
      </c>
      <c r="E72" s="50" t="s">
        <v>52</v>
      </c>
      <c r="F72" s="535">
        <f>R.7WestImpName4</f>
        <v>0</v>
      </c>
      <c r="G72" s="543">
        <f>R.7WestDevHrs4</f>
        <v>0</v>
      </c>
      <c r="H72" s="544">
        <f>Table3[[#This Row],[Hrs Rank]]</f>
        <v>0</v>
      </c>
      <c r="I72" s="534">
        <f t="shared" si="8"/>
        <v>0</v>
      </c>
      <c r="J72" s="534">
        <f t="shared" si="9"/>
        <v>0</v>
      </c>
      <c r="K72" s="546"/>
      <c r="L72" s="546"/>
      <c r="M72" s="547" t="s">
        <v>223</v>
      </c>
      <c r="N72" s="547" t="s">
        <v>223</v>
      </c>
      <c r="O72" s="548"/>
      <c r="P72" s="549"/>
      <c r="Q72" s="550"/>
      <c r="R72" s="550"/>
      <c r="S72" s="549"/>
      <c r="T72" s="550"/>
      <c r="U72" s="550"/>
      <c r="V72" s="549"/>
      <c r="W72" s="550"/>
      <c r="X72" s="550"/>
      <c r="Y72" s="549"/>
      <c r="Z72" s="550"/>
      <c r="AA72" s="550"/>
      <c r="AB72" s="549"/>
      <c r="AC72" s="550"/>
      <c r="AD72" s="550"/>
      <c r="AE72" s="549"/>
      <c r="AF72" s="550"/>
      <c r="AG72" s="550"/>
      <c r="AH72" s="549"/>
      <c r="AI72" s="550"/>
      <c r="AJ72" s="550"/>
      <c r="AK72" s="549"/>
      <c r="AL72" s="550"/>
      <c r="AM72" s="550"/>
      <c r="AN72" s="549"/>
      <c r="AO72" s="550"/>
      <c r="AP72" s="550"/>
      <c r="AQ72" s="549"/>
      <c r="AR72" s="550"/>
      <c r="AS72" s="550"/>
      <c r="AT72" s="549"/>
      <c r="AU72" s="550"/>
      <c r="AV72" s="550"/>
      <c r="AW72" s="549"/>
      <c r="AX72" s="550"/>
      <c r="AY72" s="550"/>
      <c r="AZ72" s="549"/>
      <c r="BA72" s="550"/>
      <c r="BB72" s="550"/>
      <c r="BC72" s="550"/>
    </row>
    <row r="73" spans="1:55" s="491" customFormat="1">
      <c r="A73" s="531" t="str">
        <f t="shared" si="6"/>
        <v>AQ</v>
      </c>
      <c r="B73" s="50" t="str">
        <f t="shared" si="7"/>
        <v>SIPPM25</v>
      </c>
      <c r="C73" s="50" t="s">
        <v>254</v>
      </c>
      <c r="D73" s="532" t="s">
        <v>213</v>
      </c>
      <c r="E73" s="50" t="s">
        <v>53</v>
      </c>
      <c r="F73" s="535" t="str">
        <f>R.7NWRegionDevName1</f>
        <v xml:space="preserve"> </v>
      </c>
      <c r="G73" s="543">
        <f>R.7NWRegionDevHrs1</f>
        <v>0</v>
      </c>
      <c r="H73" s="544">
        <f>Table3[[#This Row],[Hrs Rank]]</f>
        <v>0</v>
      </c>
      <c r="I73" s="534">
        <f t="shared" si="8"/>
        <v>0</v>
      </c>
      <c r="J73" s="534">
        <f t="shared" si="9"/>
        <v>0</v>
      </c>
      <c r="K73" s="546"/>
      <c r="L73" s="546"/>
      <c r="M73" s="547" t="s">
        <v>223</v>
      </c>
      <c r="N73" s="547" t="s">
        <v>223</v>
      </c>
      <c r="O73" s="548"/>
      <c r="P73" s="549"/>
      <c r="Q73" s="550"/>
      <c r="R73" s="550"/>
      <c r="S73" s="549"/>
      <c r="T73" s="550"/>
      <c r="U73" s="550"/>
      <c r="V73" s="549"/>
      <c r="W73" s="550"/>
      <c r="X73" s="550"/>
      <c r="Y73" s="549"/>
      <c r="Z73" s="550"/>
      <c r="AA73" s="550"/>
      <c r="AB73" s="549"/>
      <c r="AC73" s="550"/>
      <c r="AD73" s="550"/>
      <c r="AE73" s="549"/>
      <c r="AF73" s="550"/>
      <c r="AG73" s="550"/>
      <c r="AH73" s="549"/>
      <c r="AI73" s="550"/>
      <c r="AJ73" s="550"/>
      <c r="AK73" s="549"/>
      <c r="AL73" s="550"/>
      <c r="AM73" s="550"/>
      <c r="AN73" s="549"/>
      <c r="AO73" s="550"/>
      <c r="AP73" s="550"/>
      <c r="AQ73" s="549"/>
      <c r="AR73" s="550"/>
      <c r="AS73" s="550"/>
      <c r="AT73" s="549"/>
      <c r="AU73" s="550"/>
      <c r="AV73" s="550"/>
      <c r="AW73" s="549"/>
      <c r="AX73" s="550"/>
      <c r="AY73" s="550"/>
      <c r="AZ73" s="549"/>
      <c r="BA73" s="550"/>
      <c r="BB73" s="550"/>
      <c r="BC73" s="550"/>
    </row>
    <row r="74" spans="1:55" s="491" customFormat="1">
      <c r="A74" s="531" t="str">
        <f t="shared" si="6"/>
        <v>AQ</v>
      </c>
      <c r="B74" s="50" t="str">
        <f t="shared" si="7"/>
        <v>SIPPM25</v>
      </c>
      <c r="C74" s="50" t="s">
        <v>254</v>
      </c>
      <c r="D74" s="532" t="s">
        <v>213</v>
      </c>
      <c r="E74" s="50" t="s">
        <v>53</v>
      </c>
      <c r="F74" s="535" t="str">
        <f>R.7NWRegionDevName2</f>
        <v xml:space="preserve"> </v>
      </c>
      <c r="G74" s="543">
        <f>R.7NWRegionDevHrs2</f>
        <v>0</v>
      </c>
      <c r="H74" s="544">
        <f>Table3[[#This Row],[Hrs Rank]]</f>
        <v>0</v>
      </c>
      <c r="I74" s="534">
        <f t="shared" si="8"/>
        <v>0</v>
      </c>
      <c r="J74" s="534">
        <f t="shared" si="9"/>
        <v>0</v>
      </c>
      <c r="K74" s="546"/>
      <c r="L74" s="546"/>
      <c r="M74" s="547" t="s">
        <v>223</v>
      </c>
      <c r="N74" s="547" t="s">
        <v>223</v>
      </c>
      <c r="O74" s="548"/>
      <c r="P74" s="549"/>
      <c r="Q74" s="550"/>
      <c r="R74" s="550"/>
      <c r="S74" s="549"/>
      <c r="T74" s="550"/>
      <c r="U74" s="550"/>
      <c r="V74" s="549"/>
      <c r="W74" s="550"/>
      <c r="X74" s="550"/>
      <c r="Y74" s="549"/>
      <c r="Z74" s="550"/>
      <c r="AA74" s="550"/>
      <c r="AB74" s="549"/>
      <c r="AC74" s="550"/>
      <c r="AD74" s="550"/>
      <c r="AE74" s="549"/>
      <c r="AF74" s="550"/>
      <c r="AG74" s="550"/>
      <c r="AH74" s="549"/>
      <c r="AI74" s="550"/>
      <c r="AJ74" s="550"/>
      <c r="AK74" s="549"/>
      <c r="AL74" s="550"/>
      <c r="AM74" s="550"/>
      <c r="AN74" s="549"/>
      <c r="AO74" s="550"/>
      <c r="AP74" s="550"/>
      <c r="AQ74" s="549"/>
      <c r="AR74" s="550"/>
      <c r="AS74" s="550"/>
      <c r="AT74" s="549"/>
      <c r="AU74" s="550"/>
      <c r="AV74" s="550"/>
      <c r="AW74" s="549"/>
      <c r="AX74" s="550"/>
      <c r="AY74" s="550"/>
      <c r="AZ74" s="549"/>
      <c r="BA74" s="550"/>
      <c r="BB74" s="550"/>
      <c r="BC74" s="550"/>
    </row>
    <row r="75" spans="1:55" s="491" customFormat="1">
      <c r="A75" s="531" t="str">
        <f t="shared" si="6"/>
        <v>AQ</v>
      </c>
      <c r="B75" s="50" t="str">
        <f t="shared" si="7"/>
        <v>SIPPM25</v>
      </c>
      <c r="C75" s="50" t="s">
        <v>254</v>
      </c>
      <c r="D75" s="532" t="s">
        <v>213</v>
      </c>
      <c r="E75" s="50" t="s">
        <v>53</v>
      </c>
      <c r="F75" s="535" t="str">
        <f>R.7NWRegionDevName3</f>
        <v xml:space="preserve"> </v>
      </c>
      <c r="G75" s="543">
        <f>R.7NWRegionDevHrs3</f>
        <v>0</v>
      </c>
      <c r="H75" s="544">
        <f>Table3[[#This Row],[Hrs Rank]]</f>
        <v>0</v>
      </c>
      <c r="I75" s="534">
        <f t="shared" si="8"/>
        <v>0</v>
      </c>
      <c r="J75" s="534">
        <f t="shared" si="9"/>
        <v>0</v>
      </c>
      <c r="K75" s="546"/>
      <c r="L75" s="546"/>
      <c r="M75" s="547" t="s">
        <v>223</v>
      </c>
      <c r="N75" s="547" t="s">
        <v>223</v>
      </c>
      <c r="O75" s="548"/>
      <c r="P75" s="549"/>
      <c r="Q75" s="550"/>
      <c r="R75" s="550"/>
      <c r="S75" s="549"/>
      <c r="T75" s="550"/>
      <c r="U75" s="550"/>
      <c r="V75" s="549"/>
      <c r="W75" s="550"/>
      <c r="X75" s="550"/>
      <c r="Y75" s="549"/>
      <c r="Z75" s="550"/>
      <c r="AA75" s="550"/>
      <c r="AB75" s="549"/>
      <c r="AC75" s="550"/>
      <c r="AD75" s="550"/>
      <c r="AE75" s="549"/>
      <c r="AF75" s="550"/>
      <c r="AG75" s="550"/>
      <c r="AH75" s="549"/>
      <c r="AI75" s="550"/>
      <c r="AJ75" s="550"/>
      <c r="AK75" s="549"/>
      <c r="AL75" s="550"/>
      <c r="AM75" s="550"/>
      <c r="AN75" s="549"/>
      <c r="AO75" s="550"/>
      <c r="AP75" s="550"/>
      <c r="AQ75" s="549"/>
      <c r="AR75" s="550"/>
      <c r="AS75" s="550"/>
      <c r="AT75" s="549"/>
      <c r="AU75" s="550"/>
      <c r="AV75" s="550"/>
      <c r="AW75" s="549"/>
      <c r="AX75" s="550"/>
      <c r="AY75" s="550"/>
      <c r="AZ75" s="549"/>
      <c r="BA75" s="550"/>
      <c r="BB75" s="550"/>
      <c r="BC75" s="550"/>
    </row>
    <row r="76" spans="1:55" s="491" customFormat="1">
      <c r="A76" s="531" t="str">
        <f t="shared" si="6"/>
        <v>AQ</v>
      </c>
      <c r="B76" s="50" t="str">
        <f t="shared" si="7"/>
        <v>SIPPM25</v>
      </c>
      <c r="C76" s="50" t="s">
        <v>254</v>
      </c>
      <c r="D76" s="532" t="s">
        <v>213</v>
      </c>
      <c r="E76" s="50" t="s">
        <v>53</v>
      </c>
      <c r="F76" s="535" t="str">
        <f>R.7NWRegionDevName4</f>
        <v xml:space="preserve"> </v>
      </c>
      <c r="G76" s="543">
        <f>R.7NWRegionDevHrs4</f>
        <v>0</v>
      </c>
      <c r="H76" s="544">
        <f>Table3[[#This Row],[Hrs Rank]]</f>
        <v>0</v>
      </c>
      <c r="I76" s="534">
        <f t="shared" si="8"/>
        <v>0</v>
      </c>
      <c r="J76" s="534">
        <f t="shared" si="9"/>
        <v>0</v>
      </c>
      <c r="K76" s="546"/>
      <c r="L76" s="546"/>
      <c r="M76" s="547" t="s">
        <v>223</v>
      </c>
      <c r="N76" s="547" t="s">
        <v>223</v>
      </c>
      <c r="O76" s="548"/>
      <c r="P76" s="549"/>
      <c r="Q76" s="550"/>
      <c r="R76" s="550"/>
      <c r="S76" s="549"/>
      <c r="T76" s="550"/>
      <c r="U76" s="550"/>
      <c r="V76" s="549"/>
      <c r="W76" s="550"/>
      <c r="X76" s="550"/>
      <c r="Y76" s="549"/>
      <c r="Z76" s="550"/>
      <c r="AA76" s="550"/>
      <c r="AB76" s="549"/>
      <c r="AC76" s="550"/>
      <c r="AD76" s="550"/>
      <c r="AE76" s="549"/>
      <c r="AF76" s="550"/>
      <c r="AG76" s="550"/>
      <c r="AH76" s="549"/>
      <c r="AI76" s="550"/>
      <c r="AJ76" s="550"/>
      <c r="AK76" s="549"/>
      <c r="AL76" s="550"/>
      <c r="AM76" s="550"/>
      <c r="AN76" s="549"/>
      <c r="AO76" s="550"/>
      <c r="AP76" s="550"/>
      <c r="AQ76" s="549"/>
      <c r="AR76" s="550"/>
      <c r="AS76" s="550"/>
      <c r="AT76" s="549"/>
      <c r="AU76" s="550"/>
      <c r="AV76" s="550"/>
      <c r="AW76" s="549"/>
      <c r="AX76" s="550"/>
      <c r="AY76" s="550"/>
      <c r="AZ76" s="549"/>
      <c r="BA76" s="550"/>
      <c r="BB76" s="550"/>
      <c r="BC76" s="550"/>
    </row>
    <row r="77" spans="1:55" s="491" customFormat="1">
      <c r="A77" s="531" t="str">
        <f t="shared" si="6"/>
        <v>AQ</v>
      </c>
      <c r="B77" s="50" t="str">
        <f t="shared" si="7"/>
        <v>SIPPM25</v>
      </c>
      <c r="C77" s="50" t="s">
        <v>254</v>
      </c>
      <c r="D77" s="532" t="s">
        <v>213</v>
      </c>
      <c r="E77" s="50" t="s">
        <v>52</v>
      </c>
      <c r="F77" s="535" t="str">
        <f>R.7NWRegionImpName1</f>
        <v xml:space="preserve"> </v>
      </c>
      <c r="G77" s="543">
        <f>R.7NWRegionImpHrs1</f>
        <v>0</v>
      </c>
      <c r="H77" s="544">
        <f>Table3[[#This Row],[Hrs Rank]]</f>
        <v>0</v>
      </c>
      <c r="I77" s="534">
        <f t="shared" si="8"/>
        <v>0</v>
      </c>
      <c r="J77" s="534">
        <f t="shared" si="9"/>
        <v>0</v>
      </c>
      <c r="K77" s="546"/>
      <c r="L77" s="546"/>
      <c r="M77" s="547" t="s">
        <v>223</v>
      </c>
      <c r="N77" s="547" t="s">
        <v>223</v>
      </c>
      <c r="O77" s="548"/>
      <c r="P77" s="549"/>
      <c r="Q77" s="550"/>
      <c r="R77" s="550"/>
      <c r="S77" s="549"/>
      <c r="T77" s="550"/>
      <c r="U77" s="550"/>
      <c r="V77" s="549"/>
      <c r="W77" s="550"/>
      <c r="X77" s="550"/>
      <c r="Y77" s="549"/>
      <c r="Z77" s="550"/>
      <c r="AA77" s="550"/>
      <c r="AB77" s="549"/>
      <c r="AC77" s="550"/>
      <c r="AD77" s="550"/>
      <c r="AE77" s="549"/>
      <c r="AF77" s="550"/>
      <c r="AG77" s="550"/>
      <c r="AH77" s="549"/>
      <c r="AI77" s="550"/>
      <c r="AJ77" s="550"/>
      <c r="AK77" s="549"/>
      <c r="AL77" s="550"/>
      <c r="AM77" s="550"/>
      <c r="AN77" s="549"/>
      <c r="AO77" s="550"/>
      <c r="AP77" s="550"/>
      <c r="AQ77" s="549"/>
      <c r="AR77" s="550"/>
      <c r="AS77" s="550"/>
      <c r="AT77" s="549"/>
      <c r="AU77" s="550"/>
      <c r="AV77" s="550"/>
      <c r="AW77" s="549"/>
      <c r="AX77" s="550"/>
      <c r="AY77" s="550"/>
      <c r="AZ77" s="549"/>
      <c r="BA77" s="550"/>
      <c r="BB77" s="550"/>
      <c r="BC77" s="550"/>
    </row>
    <row r="78" spans="1:55" s="491" customFormat="1">
      <c r="A78" s="531" t="str">
        <f t="shared" si="6"/>
        <v>AQ</v>
      </c>
      <c r="B78" s="50" t="str">
        <f t="shared" si="7"/>
        <v>SIPPM25</v>
      </c>
      <c r="C78" s="50" t="s">
        <v>254</v>
      </c>
      <c r="D78" s="532" t="s">
        <v>213</v>
      </c>
      <c r="E78" s="50" t="s">
        <v>52</v>
      </c>
      <c r="F78" s="535" t="str">
        <f>R.7NWRegionImpName2</f>
        <v xml:space="preserve"> </v>
      </c>
      <c r="G78" s="543">
        <f>R.7NWRegionImpHrs2</f>
        <v>0</v>
      </c>
      <c r="H78" s="544">
        <f>Table3[[#This Row],[Hrs Rank]]</f>
        <v>0</v>
      </c>
      <c r="I78" s="534">
        <f t="shared" si="8"/>
        <v>0</v>
      </c>
      <c r="J78" s="534">
        <f t="shared" si="9"/>
        <v>0</v>
      </c>
      <c r="K78" s="546"/>
      <c r="L78" s="546"/>
      <c r="M78" s="547" t="s">
        <v>223</v>
      </c>
      <c r="N78" s="547" t="s">
        <v>223</v>
      </c>
      <c r="O78" s="548"/>
      <c r="P78" s="549"/>
      <c r="Q78" s="550"/>
      <c r="R78" s="550"/>
      <c r="S78" s="549"/>
      <c r="T78" s="550"/>
      <c r="U78" s="550"/>
      <c r="V78" s="549"/>
      <c r="W78" s="550"/>
      <c r="X78" s="550"/>
      <c r="Y78" s="549"/>
      <c r="Z78" s="550"/>
      <c r="AA78" s="550"/>
      <c r="AB78" s="549"/>
      <c r="AC78" s="550"/>
      <c r="AD78" s="550"/>
      <c r="AE78" s="549"/>
      <c r="AF78" s="550"/>
      <c r="AG78" s="550"/>
      <c r="AH78" s="549"/>
      <c r="AI78" s="550"/>
      <c r="AJ78" s="550"/>
      <c r="AK78" s="549"/>
      <c r="AL78" s="550"/>
      <c r="AM78" s="550"/>
      <c r="AN78" s="549"/>
      <c r="AO78" s="550"/>
      <c r="AP78" s="550"/>
      <c r="AQ78" s="549"/>
      <c r="AR78" s="550"/>
      <c r="AS78" s="550"/>
      <c r="AT78" s="549"/>
      <c r="AU78" s="550"/>
      <c r="AV78" s="550"/>
      <c r="AW78" s="549"/>
      <c r="AX78" s="550"/>
      <c r="AY78" s="550"/>
      <c r="AZ78" s="549"/>
      <c r="BA78" s="550"/>
      <c r="BB78" s="550"/>
      <c r="BC78" s="550"/>
    </row>
    <row r="79" spans="1:55" s="491" customFormat="1">
      <c r="A79" s="531" t="str">
        <f t="shared" si="6"/>
        <v>AQ</v>
      </c>
      <c r="B79" s="50" t="str">
        <f t="shared" si="7"/>
        <v>SIPPM25</v>
      </c>
      <c r="C79" s="50" t="s">
        <v>254</v>
      </c>
      <c r="D79" s="532" t="s">
        <v>213</v>
      </c>
      <c r="E79" s="50" t="s">
        <v>52</v>
      </c>
      <c r="F79" s="535" t="str">
        <f>R.7NWRegionImpName3</f>
        <v xml:space="preserve"> </v>
      </c>
      <c r="G79" s="543">
        <f>R.7NWRegionImpHrs3</f>
        <v>0</v>
      </c>
      <c r="H79" s="544">
        <f>Table3[[#This Row],[Hrs Rank]]</f>
        <v>0</v>
      </c>
      <c r="I79" s="534">
        <f t="shared" si="8"/>
        <v>0</v>
      </c>
      <c r="J79" s="534">
        <f t="shared" si="9"/>
        <v>0</v>
      </c>
      <c r="K79" s="546"/>
      <c r="L79" s="546"/>
      <c r="M79" s="547" t="s">
        <v>223</v>
      </c>
      <c r="N79" s="547" t="s">
        <v>223</v>
      </c>
      <c r="O79" s="548"/>
      <c r="P79" s="549"/>
      <c r="Q79" s="550"/>
      <c r="R79" s="550"/>
      <c r="S79" s="549"/>
      <c r="T79" s="550"/>
      <c r="U79" s="550"/>
      <c r="V79" s="549"/>
      <c r="W79" s="550"/>
      <c r="X79" s="550"/>
      <c r="Y79" s="549"/>
      <c r="Z79" s="550"/>
      <c r="AA79" s="550"/>
      <c r="AB79" s="549"/>
      <c r="AC79" s="550"/>
      <c r="AD79" s="550"/>
      <c r="AE79" s="549"/>
      <c r="AF79" s="550"/>
      <c r="AG79" s="550"/>
      <c r="AH79" s="549"/>
      <c r="AI79" s="550"/>
      <c r="AJ79" s="550"/>
      <c r="AK79" s="549"/>
      <c r="AL79" s="550"/>
      <c r="AM79" s="550"/>
      <c r="AN79" s="549"/>
      <c r="AO79" s="550"/>
      <c r="AP79" s="550"/>
      <c r="AQ79" s="549"/>
      <c r="AR79" s="550"/>
      <c r="AS79" s="550"/>
      <c r="AT79" s="549"/>
      <c r="AU79" s="550"/>
      <c r="AV79" s="550"/>
      <c r="AW79" s="549"/>
      <c r="AX79" s="550"/>
      <c r="AY79" s="550"/>
      <c r="AZ79" s="549"/>
      <c r="BA79" s="550"/>
      <c r="BB79" s="550"/>
      <c r="BC79" s="550"/>
    </row>
    <row r="80" spans="1:55" s="491" customFormat="1">
      <c r="A80" s="531" t="str">
        <f t="shared" si="6"/>
        <v>AQ</v>
      </c>
      <c r="B80" s="50" t="str">
        <f t="shared" si="7"/>
        <v>SIPPM25</v>
      </c>
      <c r="C80" s="50" t="s">
        <v>254</v>
      </c>
      <c r="D80" s="532" t="s">
        <v>213</v>
      </c>
      <c r="E80" s="50" t="s">
        <v>52</v>
      </c>
      <c r="F80" s="535" t="str">
        <f>R.7NWRegionImpName4</f>
        <v xml:space="preserve"> </v>
      </c>
      <c r="G80" s="543">
        <f>R.7NWRegionImpHrs4</f>
        <v>0</v>
      </c>
      <c r="H80" s="544">
        <f>Table3[[#This Row],[Hrs Rank]]</f>
        <v>0</v>
      </c>
      <c r="I80" s="534">
        <f t="shared" si="8"/>
        <v>0</v>
      </c>
      <c r="J80" s="534">
        <f t="shared" si="9"/>
        <v>0</v>
      </c>
      <c r="K80" s="546"/>
      <c r="L80" s="546"/>
      <c r="M80" s="547" t="s">
        <v>223</v>
      </c>
      <c r="N80" s="547" t="s">
        <v>223</v>
      </c>
      <c r="O80" s="548"/>
      <c r="P80" s="549"/>
      <c r="Q80" s="550"/>
      <c r="R80" s="550"/>
      <c r="S80" s="549"/>
      <c r="T80" s="550"/>
      <c r="U80" s="550"/>
      <c r="V80" s="549"/>
      <c r="W80" s="550"/>
      <c r="X80" s="550"/>
      <c r="Y80" s="549"/>
      <c r="Z80" s="550"/>
      <c r="AA80" s="550"/>
      <c r="AB80" s="549"/>
      <c r="AC80" s="550"/>
      <c r="AD80" s="550"/>
      <c r="AE80" s="549"/>
      <c r="AF80" s="550"/>
      <c r="AG80" s="550"/>
      <c r="AH80" s="549"/>
      <c r="AI80" s="550"/>
      <c r="AJ80" s="550"/>
      <c r="AK80" s="549"/>
      <c r="AL80" s="550"/>
      <c r="AM80" s="550"/>
      <c r="AN80" s="549"/>
      <c r="AO80" s="550"/>
      <c r="AP80" s="550"/>
      <c r="AQ80" s="549"/>
      <c r="AR80" s="550"/>
      <c r="AS80" s="550"/>
      <c r="AT80" s="549"/>
      <c r="AU80" s="550"/>
      <c r="AV80" s="550"/>
      <c r="AW80" s="549"/>
      <c r="AX80" s="550"/>
      <c r="AY80" s="550"/>
      <c r="AZ80" s="549"/>
      <c r="BA80" s="550"/>
      <c r="BB80" s="550"/>
      <c r="BC80" s="550"/>
    </row>
    <row r="81" spans="1:55" s="491" customFormat="1">
      <c r="A81" s="531" t="str">
        <f t="shared" si="6"/>
        <v>AQ</v>
      </c>
      <c r="B81" s="50" t="str">
        <f t="shared" si="7"/>
        <v>SIPPM25</v>
      </c>
      <c r="C81" s="50" t="s">
        <v>255</v>
      </c>
      <c r="D81" s="532" t="s">
        <v>146</v>
      </c>
      <c r="E81" s="50" t="s">
        <v>53</v>
      </c>
      <c r="F81" s="535" t="str">
        <f>R.8BudDevName1</f>
        <v>Budget analyst</v>
      </c>
      <c r="G81" s="543">
        <f>R.8BudDevHrs1</f>
        <v>0</v>
      </c>
      <c r="H81" s="544">
        <f>Table3[[#This Row],[Hrs Rank]]</f>
        <v>0</v>
      </c>
      <c r="I81" s="534">
        <f t="shared" si="8"/>
        <v>0</v>
      </c>
      <c r="J81" s="534">
        <f t="shared" si="9"/>
        <v>0</v>
      </c>
      <c r="K81" s="546"/>
      <c r="L81" s="546"/>
      <c r="M81" s="547" t="s">
        <v>223</v>
      </c>
      <c r="N81" s="547" t="s">
        <v>223</v>
      </c>
      <c r="O81" s="548"/>
      <c r="P81" s="549"/>
      <c r="Q81" s="550"/>
      <c r="R81" s="550"/>
      <c r="S81" s="549"/>
      <c r="T81" s="550"/>
      <c r="U81" s="550"/>
      <c r="V81" s="549"/>
      <c r="W81" s="550"/>
      <c r="X81" s="550"/>
      <c r="Y81" s="549"/>
      <c r="Z81" s="550"/>
      <c r="AA81" s="550"/>
      <c r="AB81" s="549"/>
      <c r="AC81" s="550"/>
      <c r="AD81" s="550"/>
      <c r="AE81" s="549"/>
      <c r="AF81" s="550"/>
      <c r="AG81" s="550"/>
      <c r="AH81" s="549"/>
      <c r="AI81" s="550"/>
      <c r="AJ81" s="550"/>
      <c r="AK81" s="549"/>
      <c r="AL81" s="550"/>
      <c r="AM81" s="550"/>
      <c r="AN81" s="549"/>
      <c r="AO81" s="550"/>
      <c r="AP81" s="550"/>
      <c r="AQ81" s="549"/>
      <c r="AR81" s="550"/>
      <c r="AS81" s="550"/>
      <c r="AT81" s="549"/>
      <c r="AU81" s="550"/>
      <c r="AV81" s="550"/>
      <c r="AW81" s="549"/>
      <c r="AX81" s="550"/>
      <c r="AY81" s="550"/>
      <c r="AZ81" s="549"/>
      <c r="BA81" s="550"/>
      <c r="BB81" s="550"/>
      <c r="BC81" s="550"/>
    </row>
    <row r="82" spans="1:55" s="491" customFormat="1">
      <c r="A82" s="531" t="str">
        <f t="shared" si="6"/>
        <v>AQ</v>
      </c>
      <c r="B82" s="50" t="str">
        <f t="shared" si="7"/>
        <v>SIPPM25</v>
      </c>
      <c r="C82" s="50" t="s">
        <v>255</v>
      </c>
      <c r="D82" s="532" t="s">
        <v>146</v>
      </c>
      <c r="E82" s="50" t="s">
        <v>53</v>
      </c>
      <c r="F82" s="535" t="str">
        <f>R.8BudDevName2</f>
        <v xml:space="preserve"> </v>
      </c>
      <c r="G82" s="543">
        <f>R.8BudDevHrs2</f>
        <v>0</v>
      </c>
      <c r="H82" s="544">
        <f>Table3[[#This Row],[Hrs Rank]]</f>
        <v>0</v>
      </c>
      <c r="I82" s="534">
        <f t="shared" si="8"/>
        <v>0</v>
      </c>
      <c r="J82" s="534">
        <f t="shared" si="9"/>
        <v>0</v>
      </c>
      <c r="K82" s="546"/>
      <c r="L82" s="546"/>
      <c r="M82" s="547" t="s">
        <v>223</v>
      </c>
      <c r="N82" s="547" t="s">
        <v>223</v>
      </c>
      <c r="O82" s="548"/>
      <c r="P82" s="549"/>
      <c r="Q82" s="550"/>
      <c r="R82" s="550"/>
      <c r="S82" s="549"/>
      <c r="T82" s="550"/>
      <c r="U82" s="550"/>
      <c r="V82" s="549"/>
      <c r="W82" s="550"/>
      <c r="X82" s="550"/>
      <c r="Y82" s="549"/>
      <c r="Z82" s="550"/>
      <c r="AA82" s="550"/>
      <c r="AB82" s="549"/>
      <c r="AC82" s="550"/>
      <c r="AD82" s="550"/>
      <c r="AE82" s="549"/>
      <c r="AF82" s="550"/>
      <c r="AG82" s="550"/>
      <c r="AH82" s="549"/>
      <c r="AI82" s="550"/>
      <c r="AJ82" s="550"/>
      <c r="AK82" s="549"/>
      <c r="AL82" s="550"/>
      <c r="AM82" s="550"/>
      <c r="AN82" s="549"/>
      <c r="AO82" s="550"/>
      <c r="AP82" s="550"/>
      <c r="AQ82" s="549"/>
      <c r="AR82" s="550"/>
      <c r="AS82" s="550"/>
      <c r="AT82" s="549"/>
      <c r="AU82" s="550"/>
      <c r="AV82" s="550"/>
      <c r="AW82" s="549"/>
      <c r="AX82" s="550"/>
      <c r="AY82" s="550"/>
      <c r="AZ82" s="549"/>
      <c r="BA82" s="550"/>
      <c r="BB82" s="550"/>
      <c r="BC82" s="550"/>
    </row>
    <row r="83" spans="1:55" s="491" customFormat="1">
      <c r="A83" s="531" t="str">
        <f t="shared" si="6"/>
        <v>AQ</v>
      </c>
      <c r="B83" s="50" t="str">
        <f t="shared" si="7"/>
        <v>SIPPM25</v>
      </c>
      <c r="C83" s="50" t="s">
        <v>255</v>
      </c>
      <c r="D83" s="532" t="s">
        <v>146</v>
      </c>
      <c r="E83" s="50" t="s">
        <v>53</v>
      </c>
      <c r="F83" s="535" t="str">
        <f>R.8BudDevName3</f>
        <v xml:space="preserve"> </v>
      </c>
      <c r="G83" s="543">
        <f>R.8BudDevHrs3</f>
        <v>0</v>
      </c>
      <c r="H83" s="544">
        <f>Table3[[#This Row],[Hrs Rank]]</f>
        <v>0</v>
      </c>
      <c r="I83" s="534">
        <f t="shared" si="8"/>
        <v>0</v>
      </c>
      <c r="J83" s="534">
        <f t="shared" si="9"/>
        <v>0</v>
      </c>
      <c r="K83" s="546"/>
      <c r="L83" s="546"/>
      <c r="M83" s="547" t="s">
        <v>223</v>
      </c>
      <c r="N83" s="547" t="s">
        <v>223</v>
      </c>
      <c r="O83" s="548"/>
      <c r="P83" s="549"/>
      <c r="Q83" s="550"/>
      <c r="R83" s="550"/>
      <c r="S83" s="549"/>
      <c r="T83" s="550"/>
      <c r="U83" s="550"/>
      <c r="V83" s="549"/>
      <c r="W83" s="550"/>
      <c r="X83" s="550"/>
      <c r="Y83" s="549"/>
      <c r="Z83" s="550"/>
      <c r="AA83" s="550"/>
      <c r="AB83" s="549"/>
      <c r="AC83" s="550"/>
      <c r="AD83" s="550"/>
      <c r="AE83" s="549"/>
      <c r="AF83" s="550"/>
      <c r="AG83" s="550"/>
      <c r="AH83" s="549"/>
      <c r="AI83" s="550"/>
      <c r="AJ83" s="550"/>
      <c r="AK83" s="549"/>
      <c r="AL83" s="550"/>
      <c r="AM83" s="550"/>
      <c r="AN83" s="549"/>
      <c r="AO83" s="550"/>
      <c r="AP83" s="550"/>
      <c r="AQ83" s="549"/>
      <c r="AR83" s="550"/>
      <c r="AS83" s="550"/>
      <c r="AT83" s="549"/>
      <c r="AU83" s="550"/>
      <c r="AV83" s="550"/>
      <c r="AW83" s="549"/>
      <c r="AX83" s="550"/>
      <c r="AY83" s="550"/>
      <c r="AZ83" s="549"/>
      <c r="BA83" s="550"/>
      <c r="BB83" s="550"/>
      <c r="BC83" s="550"/>
    </row>
    <row r="84" spans="1:55" s="491" customFormat="1">
      <c r="A84" s="531" t="str">
        <f t="shared" si="6"/>
        <v>AQ</v>
      </c>
      <c r="B84" s="50" t="str">
        <f t="shared" si="7"/>
        <v>SIPPM25</v>
      </c>
      <c r="C84" s="50" t="s">
        <v>255</v>
      </c>
      <c r="D84" s="532" t="s">
        <v>146</v>
      </c>
      <c r="E84" s="50" t="s">
        <v>53</v>
      </c>
      <c r="F84" s="535" t="str">
        <f>R.8BudDevName4</f>
        <v xml:space="preserve"> </v>
      </c>
      <c r="G84" s="543">
        <f>R.8BudDevHrs4</f>
        <v>0</v>
      </c>
      <c r="H84" s="544">
        <f>Table3[[#This Row],[Hrs Rank]]</f>
        <v>0</v>
      </c>
      <c r="I84" s="534">
        <f t="shared" si="8"/>
        <v>0</v>
      </c>
      <c r="J84" s="534">
        <f t="shared" si="9"/>
        <v>0</v>
      </c>
      <c r="K84" s="546"/>
      <c r="L84" s="546"/>
      <c r="M84" s="547" t="s">
        <v>223</v>
      </c>
      <c r="N84" s="547" t="s">
        <v>223</v>
      </c>
      <c r="O84" s="548"/>
      <c r="P84" s="549"/>
      <c r="Q84" s="550"/>
      <c r="R84" s="550"/>
      <c r="S84" s="549"/>
      <c r="T84" s="550"/>
      <c r="U84" s="550"/>
      <c r="V84" s="549"/>
      <c r="W84" s="550"/>
      <c r="X84" s="550"/>
      <c r="Y84" s="549"/>
      <c r="Z84" s="550"/>
      <c r="AA84" s="550"/>
      <c r="AB84" s="549"/>
      <c r="AC84" s="550"/>
      <c r="AD84" s="550"/>
      <c r="AE84" s="549"/>
      <c r="AF84" s="550"/>
      <c r="AG84" s="550"/>
      <c r="AH84" s="549"/>
      <c r="AI84" s="550"/>
      <c r="AJ84" s="550"/>
      <c r="AK84" s="549"/>
      <c r="AL84" s="550"/>
      <c r="AM84" s="550"/>
      <c r="AN84" s="549"/>
      <c r="AO84" s="550"/>
      <c r="AP84" s="550"/>
      <c r="AQ84" s="549"/>
      <c r="AR84" s="550"/>
      <c r="AS84" s="550"/>
      <c r="AT84" s="549"/>
      <c r="AU84" s="550"/>
      <c r="AV84" s="550"/>
      <c r="AW84" s="549"/>
      <c r="AX84" s="550"/>
      <c r="AY84" s="550"/>
      <c r="AZ84" s="549"/>
      <c r="BA84" s="550"/>
      <c r="BB84" s="550"/>
      <c r="BC84" s="550"/>
    </row>
    <row r="85" spans="1:55" s="491" customFormat="1">
      <c r="A85" s="531" t="str">
        <f t="shared" si="6"/>
        <v>AQ</v>
      </c>
      <c r="B85" s="50" t="str">
        <f t="shared" si="7"/>
        <v>SIPPM25</v>
      </c>
      <c r="C85" s="50" t="s">
        <v>255</v>
      </c>
      <c r="D85" s="532" t="s">
        <v>146</v>
      </c>
      <c r="E85" s="50" t="s">
        <v>52</v>
      </c>
      <c r="F85" s="535" t="str">
        <f>R.8BudImpName1</f>
        <v xml:space="preserve"> </v>
      </c>
      <c r="G85" s="543">
        <f>R.8BudImpHrs1</f>
        <v>0</v>
      </c>
      <c r="H85" s="544">
        <f>Table3[[#This Row],[Hrs Rank]]</f>
        <v>0</v>
      </c>
      <c r="I85" s="534">
        <f t="shared" si="8"/>
        <v>0</v>
      </c>
      <c r="J85" s="534">
        <f t="shared" si="9"/>
        <v>0</v>
      </c>
      <c r="K85" s="546"/>
      <c r="L85" s="546"/>
      <c r="M85" s="547" t="s">
        <v>223</v>
      </c>
      <c r="N85" s="547" t="s">
        <v>223</v>
      </c>
      <c r="O85" s="548"/>
      <c r="P85" s="549"/>
      <c r="Q85" s="550"/>
      <c r="R85" s="550"/>
      <c r="S85" s="549"/>
      <c r="T85" s="550"/>
      <c r="U85" s="550"/>
      <c r="V85" s="549"/>
      <c r="W85" s="550"/>
      <c r="X85" s="550"/>
      <c r="Y85" s="549"/>
      <c r="Z85" s="550"/>
      <c r="AA85" s="550"/>
      <c r="AB85" s="549"/>
      <c r="AC85" s="550"/>
      <c r="AD85" s="550"/>
      <c r="AE85" s="549"/>
      <c r="AF85" s="550"/>
      <c r="AG85" s="550"/>
      <c r="AH85" s="549"/>
      <c r="AI85" s="550"/>
      <c r="AJ85" s="550"/>
      <c r="AK85" s="549"/>
      <c r="AL85" s="550"/>
      <c r="AM85" s="550"/>
      <c r="AN85" s="549"/>
      <c r="AO85" s="550"/>
      <c r="AP85" s="550"/>
      <c r="AQ85" s="549"/>
      <c r="AR85" s="550"/>
      <c r="AS85" s="550"/>
      <c r="AT85" s="549"/>
      <c r="AU85" s="550"/>
      <c r="AV85" s="550"/>
      <c r="AW85" s="549"/>
      <c r="AX85" s="550"/>
      <c r="AY85" s="550"/>
      <c r="AZ85" s="549"/>
      <c r="BA85" s="550"/>
      <c r="BB85" s="550"/>
      <c r="BC85" s="550"/>
    </row>
    <row r="86" spans="1:55" s="491" customFormat="1">
      <c r="A86" s="531" t="str">
        <f t="shared" si="6"/>
        <v>AQ</v>
      </c>
      <c r="B86" s="50" t="str">
        <f t="shared" si="7"/>
        <v>SIPPM25</v>
      </c>
      <c r="C86" s="50" t="s">
        <v>255</v>
      </c>
      <c r="D86" s="532" t="s">
        <v>146</v>
      </c>
      <c r="E86" s="50" t="s">
        <v>52</v>
      </c>
      <c r="F86" s="535" t="str">
        <f>R.8BudImpName2</f>
        <v xml:space="preserve"> </v>
      </c>
      <c r="G86" s="543">
        <f>R.8BudImpHrs2</f>
        <v>0</v>
      </c>
      <c r="H86" s="544">
        <f>Table3[[#This Row],[Hrs Rank]]</f>
        <v>0</v>
      </c>
      <c r="I86" s="534">
        <f t="shared" si="8"/>
        <v>0</v>
      </c>
      <c r="J86" s="534">
        <f t="shared" si="9"/>
        <v>0</v>
      </c>
      <c r="K86" s="546"/>
      <c r="L86" s="546"/>
      <c r="M86" s="547" t="s">
        <v>223</v>
      </c>
      <c r="N86" s="547" t="s">
        <v>223</v>
      </c>
      <c r="O86" s="548"/>
      <c r="P86" s="549"/>
      <c r="Q86" s="550"/>
      <c r="R86" s="550"/>
      <c r="S86" s="549"/>
      <c r="T86" s="550"/>
      <c r="U86" s="550"/>
      <c r="V86" s="549"/>
      <c r="W86" s="550"/>
      <c r="X86" s="550"/>
      <c r="Y86" s="549"/>
      <c r="Z86" s="550"/>
      <c r="AA86" s="550"/>
      <c r="AB86" s="549"/>
      <c r="AC86" s="550"/>
      <c r="AD86" s="550"/>
      <c r="AE86" s="549"/>
      <c r="AF86" s="550"/>
      <c r="AG86" s="550"/>
      <c r="AH86" s="549"/>
      <c r="AI86" s="550"/>
      <c r="AJ86" s="550"/>
      <c r="AK86" s="549"/>
      <c r="AL86" s="550"/>
      <c r="AM86" s="550"/>
      <c r="AN86" s="549"/>
      <c r="AO86" s="550"/>
      <c r="AP86" s="550"/>
      <c r="AQ86" s="549"/>
      <c r="AR86" s="550"/>
      <c r="AS86" s="550"/>
      <c r="AT86" s="549"/>
      <c r="AU86" s="550"/>
      <c r="AV86" s="550"/>
      <c r="AW86" s="549"/>
      <c r="AX86" s="550"/>
      <c r="AY86" s="550"/>
      <c r="AZ86" s="549"/>
      <c r="BA86" s="550"/>
      <c r="BB86" s="550"/>
      <c r="BC86" s="550"/>
    </row>
    <row r="87" spans="1:55" s="491" customFormat="1">
      <c r="A87" s="531" t="str">
        <f t="shared" si="6"/>
        <v>AQ</v>
      </c>
      <c r="B87" s="50" t="str">
        <f t="shared" si="7"/>
        <v>SIPPM25</v>
      </c>
      <c r="C87" s="50" t="s">
        <v>255</v>
      </c>
      <c r="D87" s="532" t="s">
        <v>146</v>
      </c>
      <c r="E87" s="50" t="s">
        <v>52</v>
      </c>
      <c r="F87" s="535" t="str">
        <f>R.8BudImpName3</f>
        <v xml:space="preserve"> </v>
      </c>
      <c r="G87" s="543">
        <f>R.8BudImpHrs3</f>
        <v>0</v>
      </c>
      <c r="H87" s="544">
        <f>Table3[[#This Row],[Hrs Rank]]</f>
        <v>0</v>
      </c>
      <c r="I87" s="534">
        <f t="shared" si="8"/>
        <v>0</v>
      </c>
      <c r="J87" s="534">
        <f t="shared" si="9"/>
        <v>0</v>
      </c>
      <c r="K87" s="546"/>
      <c r="L87" s="546"/>
      <c r="M87" s="547" t="s">
        <v>223</v>
      </c>
      <c r="N87" s="547" t="s">
        <v>223</v>
      </c>
      <c r="O87" s="548"/>
      <c r="P87" s="549"/>
      <c r="Q87" s="550"/>
      <c r="R87" s="550"/>
      <c r="S87" s="549"/>
      <c r="T87" s="550"/>
      <c r="U87" s="550"/>
      <c r="V87" s="549"/>
      <c r="W87" s="550"/>
      <c r="X87" s="550"/>
      <c r="Y87" s="549"/>
      <c r="Z87" s="550"/>
      <c r="AA87" s="550"/>
      <c r="AB87" s="549"/>
      <c r="AC87" s="550"/>
      <c r="AD87" s="550"/>
      <c r="AE87" s="549"/>
      <c r="AF87" s="550"/>
      <c r="AG87" s="550"/>
      <c r="AH87" s="549"/>
      <c r="AI87" s="550"/>
      <c r="AJ87" s="550"/>
      <c r="AK87" s="549"/>
      <c r="AL87" s="550"/>
      <c r="AM87" s="550"/>
      <c r="AN87" s="549"/>
      <c r="AO87" s="550"/>
      <c r="AP87" s="550"/>
      <c r="AQ87" s="549"/>
      <c r="AR87" s="550"/>
      <c r="AS87" s="550"/>
      <c r="AT87" s="549"/>
      <c r="AU87" s="550"/>
      <c r="AV87" s="550"/>
      <c r="AW87" s="549"/>
      <c r="AX87" s="550"/>
      <c r="AY87" s="550"/>
      <c r="AZ87" s="549"/>
      <c r="BA87" s="550"/>
      <c r="BB87" s="550"/>
      <c r="BC87" s="550"/>
    </row>
    <row r="88" spans="1:55" s="491" customFormat="1">
      <c r="A88" s="531" t="str">
        <f t="shared" si="6"/>
        <v>AQ</v>
      </c>
      <c r="B88" s="50" t="str">
        <f t="shared" si="7"/>
        <v>SIPPM25</v>
      </c>
      <c r="C88" s="50" t="s">
        <v>255</v>
      </c>
      <c r="D88" s="532" t="s">
        <v>146</v>
      </c>
      <c r="E88" s="50" t="s">
        <v>52</v>
      </c>
      <c r="F88" s="535" t="str">
        <f>R.8BudImpName4</f>
        <v xml:space="preserve"> </v>
      </c>
      <c r="G88" s="543">
        <f>R.8BudImpHrs4</f>
        <v>0</v>
      </c>
      <c r="H88" s="544">
        <f>Table3[[#This Row],[Hrs Rank]]</f>
        <v>0</v>
      </c>
      <c r="I88" s="534">
        <f t="shared" si="8"/>
        <v>0</v>
      </c>
      <c r="J88" s="534">
        <f t="shared" si="9"/>
        <v>0</v>
      </c>
      <c r="K88" s="546"/>
      <c r="L88" s="546"/>
      <c r="M88" s="547" t="s">
        <v>223</v>
      </c>
      <c r="N88" s="547" t="s">
        <v>223</v>
      </c>
      <c r="O88" s="548"/>
      <c r="P88" s="549"/>
      <c r="Q88" s="550"/>
      <c r="R88" s="550"/>
      <c r="S88" s="549"/>
      <c r="T88" s="550"/>
      <c r="U88" s="550"/>
      <c r="V88" s="549"/>
      <c r="W88" s="550"/>
      <c r="X88" s="550"/>
      <c r="Y88" s="549"/>
      <c r="Z88" s="550"/>
      <c r="AA88" s="550"/>
      <c r="AB88" s="549"/>
      <c r="AC88" s="550"/>
      <c r="AD88" s="550"/>
      <c r="AE88" s="549"/>
      <c r="AF88" s="550"/>
      <c r="AG88" s="550"/>
      <c r="AH88" s="549"/>
      <c r="AI88" s="550"/>
      <c r="AJ88" s="550"/>
      <c r="AK88" s="549"/>
      <c r="AL88" s="550"/>
      <c r="AM88" s="550"/>
      <c r="AN88" s="549"/>
      <c r="AO88" s="550"/>
      <c r="AP88" s="550"/>
      <c r="AQ88" s="549"/>
      <c r="AR88" s="550"/>
      <c r="AS88" s="550"/>
      <c r="AT88" s="549"/>
      <c r="AU88" s="550"/>
      <c r="AV88" s="550"/>
      <c r="AW88" s="549"/>
      <c r="AX88" s="550"/>
      <c r="AY88" s="550"/>
      <c r="AZ88" s="549"/>
      <c r="BA88" s="550"/>
      <c r="BB88" s="550"/>
      <c r="BC88" s="550"/>
    </row>
    <row r="89" spans="1:55" s="491" customFormat="1">
      <c r="A89" s="531" t="str">
        <f t="shared" si="6"/>
        <v>AQ</v>
      </c>
      <c r="B89" s="50" t="str">
        <f t="shared" si="7"/>
        <v>SIPPM25</v>
      </c>
      <c r="C89" s="50" t="s">
        <v>255</v>
      </c>
      <c r="D89" s="532" t="s">
        <v>144</v>
      </c>
      <c r="E89" s="50" t="s">
        <v>53</v>
      </c>
      <c r="F89" s="535" t="str">
        <f>R.8AcctDevName1</f>
        <v xml:space="preserve"> </v>
      </c>
      <c r="G89" s="543">
        <f>R.8AcctDevHrs1</f>
        <v>0</v>
      </c>
      <c r="H89" s="544">
        <f>Table3[[#This Row],[Hrs Rank]]</f>
        <v>0</v>
      </c>
      <c r="I89" s="534">
        <f t="shared" si="8"/>
        <v>0</v>
      </c>
      <c r="J89" s="534">
        <f t="shared" si="9"/>
        <v>0</v>
      </c>
      <c r="K89" s="546"/>
      <c r="L89" s="546"/>
      <c r="M89" s="547" t="s">
        <v>223</v>
      </c>
      <c r="N89" s="547" t="s">
        <v>223</v>
      </c>
      <c r="O89" s="548"/>
      <c r="P89" s="549"/>
      <c r="Q89" s="550"/>
      <c r="R89" s="550"/>
      <c r="S89" s="549"/>
      <c r="T89" s="550"/>
      <c r="U89" s="550"/>
      <c r="V89" s="549"/>
      <c r="W89" s="550"/>
      <c r="X89" s="550"/>
      <c r="Y89" s="549"/>
      <c r="Z89" s="550"/>
      <c r="AA89" s="550"/>
      <c r="AB89" s="549"/>
      <c r="AC89" s="550"/>
      <c r="AD89" s="550"/>
      <c r="AE89" s="549"/>
      <c r="AF89" s="550"/>
      <c r="AG89" s="550"/>
      <c r="AH89" s="549"/>
      <c r="AI89" s="550"/>
      <c r="AJ89" s="550"/>
      <c r="AK89" s="549"/>
      <c r="AL89" s="550"/>
      <c r="AM89" s="550"/>
      <c r="AN89" s="549"/>
      <c r="AO89" s="550"/>
      <c r="AP89" s="550"/>
      <c r="AQ89" s="549"/>
      <c r="AR89" s="550"/>
      <c r="AS89" s="550"/>
      <c r="AT89" s="549"/>
      <c r="AU89" s="550"/>
      <c r="AV89" s="550"/>
      <c r="AW89" s="549"/>
      <c r="AX89" s="550"/>
      <c r="AY89" s="550"/>
      <c r="AZ89" s="549"/>
      <c r="BA89" s="550"/>
      <c r="BB89" s="550"/>
      <c r="BC89" s="550"/>
    </row>
    <row r="90" spans="1:55" s="491" customFormat="1">
      <c r="A90" s="531" t="str">
        <f t="shared" si="6"/>
        <v>AQ</v>
      </c>
      <c r="B90" s="50" t="str">
        <f t="shared" si="7"/>
        <v>SIPPM25</v>
      </c>
      <c r="C90" s="50" t="s">
        <v>255</v>
      </c>
      <c r="D90" s="532" t="s">
        <v>144</v>
      </c>
      <c r="E90" s="50" t="s">
        <v>53</v>
      </c>
      <c r="F90" s="535" t="str">
        <f>R.8AcctDevName2</f>
        <v xml:space="preserve"> </v>
      </c>
      <c r="G90" s="543">
        <f>R.8AcctDevHrs2</f>
        <v>0</v>
      </c>
      <c r="H90" s="544">
        <f>Table3[[#This Row],[Hrs Rank]]</f>
        <v>0</v>
      </c>
      <c r="I90" s="534">
        <f t="shared" si="8"/>
        <v>0</v>
      </c>
      <c r="J90" s="534">
        <f t="shared" si="9"/>
        <v>0</v>
      </c>
      <c r="K90" s="546"/>
      <c r="L90" s="546"/>
      <c r="M90" s="547" t="s">
        <v>223</v>
      </c>
      <c r="N90" s="547" t="s">
        <v>223</v>
      </c>
      <c r="O90" s="548"/>
      <c r="P90" s="549"/>
      <c r="Q90" s="550"/>
      <c r="R90" s="550"/>
      <c r="S90" s="549"/>
      <c r="T90" s="550"/>
      <c r="U90" s="550"/>
      <c r="V90" s="549"/>
      <c r="W90" s="550"/>
      <c r="X90" s="550"/>
      <c r="Y90" s="549"/>
      <c r="Z90" s="550"/>
      <c r="AA90" s="550"/>
      <c r="AB90" s="549"/>
      <c r="AC90" s="550"/>
      <c r="AD90" s="550"/>
      <c r="AE90" s="549"/>
      <c r="AF90" s="550"/>
      <c r="AG90" s="550"/>
      <c r="AH90" s="549"/>
      <c r="AI90" s="550"/>
      <c r="AJ90" s="550"/>
      <c r="AK90" s="549"/>
      <c r="AL90" s="550"/>
      <c r="AM90" s="550"/>
      <c r="AN90" s="549"/>
      <c r="AO90" s="550"/>
      <c r="AP90" s="550"/>
      <c r="AQ90" s="549"/>
      <c r="AR90" s="550"/>
      <c r="AS90" s="550"/>
      <c r="AT90" s="549"/>
      <c r="AU90" s="550"/>
      <c r="AV90" s="550"/>
      <c r="AW90" s="549"/>
      <c r="AX90" s="550"/>
      <c r="AY90" s="550"/>
      <c r="AZ90" s="549"/>
      <c r="BA90" s="550"/>
      <c r="BB90" s="550"/>
      <c r="BC90" s="550"/>
    </row>
    <row r="91" spans="1:55" s="491" customFormat="1">
      <c r="A91" s="531" t="str">
        <f t="shared" si="6"/>
        <v>AQ</v>
      </c>
      <c r="B91" s="50" t="str">
        <f t="shared" si="7"/>
        <v>SIPPM25</v>
      </c>
      <c r="C91" s="50" t="s">
        <v>255</v>
      </c>
      <c r="D91" s="532" t="s">
        <v>144</v>
      </c>
      <c r="E91" s="50" t="s">
        <v>53</v>
      </c>
      <c r="F91" s="535" t="str">
        <f>R.8AcctDevName3</f>
        <v xml:space="preserve"> </v>
      </c>
      <c r="G91" s="543">
        <f>R.8AcctDevHrs3</f>
        <v>0</v>
      </c>
      <c r="H91" s="544">
        <f>Table3[[#This Row],[Hrs Rank]]</f>
        <v>0</v>
      </c>
      <c r="I91" s="534">
        <f t="shared" si="8"/>
        <v>0</v>
      </c>
      <c r="J91" s="534">
        <f t="shared" si="9"/>
        <v>0</v>
      </c>
      <c r="K91" s="546"/>
      <c r="L91" s="546"/>
      <c r="M91" s="547" t="s">
        <v>223</v>
      </c>
      <c r="N91" s="547" t="s">
        <v>223</v>
      </c>
      <c r="O91" s="548"/>
      <c r="P91" s="549"/>
      <c r="Q91" s="550"/>
      <c r="R91" s="550"/>
      <c r="S91" s="549"/>
      <c r="T91" s="550"/>
      <c r="U91" s="550"/>
      <c r="V91" s="549"/>
      <c r="W91" s="550"/>
      <c r="X91" s="550"/>
      <c r="Y91" s="549"/>
      <c r="Z91" s="550"/>
      <c r="AA91" s="550"/>
      <c r="AB91" s="549"/>
      <c r="AC91" s="550"/>
      <c r="AD91" s="550"/>
      <c r="AE91" s="549"/>
      <c r="AF91" s="550"/>
      <c r="AG91" s="550"/>
      <c r="AH91" s="549"/>
      <c r="AI91" s="550"/>
      <c r="AJ91" s="550"/>
      <c r="AK91" s="549"/>
      <c r="AL91" s="550"/>
      <c r="AM91" s="550"/>
      <c r="AN91" s="549"/>
      <c r="AO91" s="550"/>
      <c r="AP91" s="550"/>
      <c r="AQ91" s="549"/>
      <c r="AR91" s="550"/>
      <c r="AS91" s="550"/>
      <c r="AT91" s="549"/>
      <c r="AU91" s="550"/>
      <c r="AV91" s="550"/>
      <c r="AW91" s="549"/>
      <c r="AX91" s="550"/>
      <c r="AY91" s="550"/>
      <c r="AZ91" s="549"/>
      <c r="BA91" s="550"/>
      <c r="BB91" s="550"/>
      <c r="BC91" s="550"/>
    </row>
    <row r="92" spans="1:55">
      <c r="A92" s="531" t="str">
        <f t="shared" si="6"/>
        <v>AQ</v>
      </c>
      <c r="B92" s="50" t="str">
        <f t="shared" si="7"/>
        <v>SIPPM25</v>
      </c>
      <c r="C92" s="50" t="s">
        <v>255</v>
      </c>
      <c r="D92" s="532" t="s">
        <v>144</v>
      </c>
      <c r="E92" s="50" t="s">
        <v>53</v>
      </c>
      <c r="F92" s="535" t="str">
        <f>R.8AcctDevName4</f>
        <v xml:space="preserve"> </v>
      </c>
      <c r="G92" s="543">
        <f>R.8AcctDevHrs4</f>
        <v>0</v>
      </c>
      <c r="H92" s="544">
        <f>Table3[[#This Row],[Hrs Rank]]</f>
        <v>0</v>
      </c>
      <c r="I92" s="534">
        <f t="shared" si="8"/>
        <v>0</v>
      </c>
      <c r="J92" s="534">
        <f t="shared" si="9"/>
        <v>0</v>
      </c>
      <c r="K92" s="546"/>
      <c r="L92" s="546"/>
      <c r="M92" s="547" t="s">
        <v>223</v>
      </c>
      <c r="N92" s="547" t="s">
        <v>223</v>
      </c>
      <c r="O92" s="548"/>
      <c r="P92" s="549"/>
      <c r="Q92" s="550"/>
      <c r="R92" s="550"/>
      <c r="S92" s="549"/>
      <c r="T92" s="550"/>
      <c r="U92" s="550"/>
      <c r="V92" s="549"/>
      <c r="W92" s="550"/>
      <c r="X92" s="550"/>
      <c r="Y92" s="549"/>
      <c r="Z92" s="550"/>
      <c r="AA92" s="550"/>
      <c r="AB92" s="549"/>
      <c r="AC92" s="550"/>
      <c r="AD92" s="550"/>
      <c r="AE92" s="549"/>
      <c r="AF92" s="550"/>
      <c r="AG92" s="550"/>
      <c r="AH92" s="549"/>
      <c r="AI92" s="550"/>
      <c r="AJ92" s="550"/>
      <c r="AK92" s="549"/>
      <c r="AL92" s="550"/>
      <c r="AM92" s="550"/>
      <c r="AN92" s="549"/>
      <c r="AO92" s="550"/>
      <c r="AP92" s="550"/>
      <c r="AQ92" s="549"/>
      <c r="AR92" s="550"/>
      <c r="AS92" s="550"/>
      <c r="AT92" s="549"/>
      <c r="AU92" s="550"/>
      <c r="AV92" s="550"/>
      <c r="AW92" s="549"/>
      <c r="AX92" s="550"/>
      <c r="AY92" s="550"/>
      <c r="AZ92" s="549"/>
      <c r="BA92" s="550"/>
      <c r="BB92" s="550"/>
      <c r="BC92" s="550"/>
    </row>
    <row r="93" spans="1:55">
      <c r="A93" s="531" t="str">
        <f t="shared" si="6"/>
        <v>AQ</v>
      </c>
      <c r="B93" s="50" t="str">
        <f t="shared" si="7"/>
        <v>SIPPM25</v>
      </c>
      <c r="C93" s="50" t="s">
        <v>255</v>
      </c>
      <c r="D93" s="532" t="s">
        <v>144</v>
      </c>
      <c r="E93" s="50" t="s">
        <v>52</v>
      </c>
      <c r="F93" s="535">
        <f>R.8AcctImpName1</f>
        <v>0</v>
      </c>
      <c r="G93" s="543">
        <f>R.8AcctImpHrs1</f>
        <v>0</v>
      </c>
      <c r="H93" s="544">
        <f>Table3[[#This Row],[Hrs Rank]]</f>
        <v>0</v>
      </c>
      <c r="I93" s="534">
        <f t="shared" si="8"/>
        <v>0</v>
      </c>
      <c r="J93" s="534">
        <f t="shared" si="9"/>
        <v>0</v>
      </c>
      <c r="K93" s="546"/>
      <c r="L93" s="546"/>
      <c r="M93" s="547" t="s">
        <v>223</v>
      </c>
      <c r="N93" s="547" t="s">
        <v>223</v>
      </c>
      <c r="O93" s="548"/>
      <c r="P93" s="549"/>
      <c r="Q93" s="550"/>
      <c r="R93" s="550"/>
      <c r="S93" s="549"/>
      <c r="T93" s="550"/>
      <c r="U93" s="550"/>
      <c r="V93" s="549"/>
      <c r="W93" s="550"/>
      <c r="X93" s="550"/>
      <c r="Y93" s="549"/>
      <c r="Z93" s="550"/>
      <c r="AA93" s="550"/>
      <c r="AB93" s="549"/>
      <c r="AC93" s="550"/>
      <c r="AD93" s="550"/>
      <c r="AE93" s="549"/>
      <c r="AF93" s="550"/>
      <c r="AG93" s="550"/>
      <c r="AH93" s="549"/>
      <c r="AI93" s="550"/>
      <c r="AJ93" s="550"/>
      <c r="AK93" s="549"/>
      <c r="AL93" s="550"/>
      <c r="AM93" s="550"/>
      <c r="AN93" s="549"/>
      <c r="AO93" s="550"/>
      <c r="AP93" s="550"/>
      <c r="AQ93" s="549"/>
      <c r="AR93" s="550"/>
      <c r="AS93" s="550"/>
      <c r="AT93" s="549"/>
      <c r="AU93" s="550"/>
      <c r="AV93" s="550"/>
      <c r="AW93" s="549"/>
      <c r="AX93" s="550"/>
      <c r="AY93" s="550"/>
      <c r="AZ93" s="549"/>
      <c r="BA93" s="550"/>
      <c r="BB93" s="550"/>
      <c r="BC93" s="550"/>
    </row>
    <row r="94" spans="1:55">
      <c r="A94" s="531" t="str">
        <f t="shared" si="6"/>
        <v>AQ</v>
      </c>
      <c r="B94" s="50" t="str">
        <f t="shared" si="7"/>
        <v>SIPPM25</v>
      </c>
      <c r="C94" s="50" t="s">
        <v>255</v>
      </c>
      <c r="D94" s="532" t="s">
        <v>144</v>
      </c>
      <c r="E94" s="50" t="s">
        <v>52</v>
      </c>
      <c r="F94" s="535" t="str">
        <f>R.8AcctImpName2</f>
        <v xml:space="preserve"> </v>
      </c>
      <c r="G94" s="543">
        <f>R.8AcctImpHrs2</f>
        <v>0</v>
      </c>
      <c r="H94" s="544">
        <f>Table3[[#This Row],[Hrs Rank]]</f>
        <v>0</v>
      </c>
      <c r="I94" s="534">
        <f t="shared" si="8"/>
        <v>0</v>
      </c>
      <c r="J94" s="534">
        <f t="shared" si="9"/>
        <v>0</v>
      </c>
      <c r="K94" s="546"/>
      <c r="L94" s="546"/>
      <c r="M94" s="547" t="s">
        <v>223</v>
      </c>
      <c r="N94" s="547" t="s">
        <v>223</v>
      </c>
      <c r="O94" s="548"/>
      <c r="P94" s="549"/>
      <c r="Q94" s="550"/>
      <c r="R94" s="550"/>
      <c r="S94" s="549"/>
      <c r="T94" s="550"/>
      <c r="U94" s="550"/>
      <c r="V94" s="549"/>
      <c r="W94" s="550"/>
      <c r="X94" s="550"/>
      <c r="Y94" s="549"/>
      <c r="Z94" s="550"/>
      <c r="AA94" s="550"/>
      <c r="AB94" s="549"/>
      <c r="AC94" s="550"/>
      <c r="AD94" s="550"/>
      <c r="AE94" s="549"/>
      <c r="AF94" s="550"/>
      <c r="AG94" s="550"/>
      <c r="AH94" s="549"/>
      <c r="AI94" s="550"/>
      <c r="AJ94" s="550"/>
      <c r="AK94" s="549"/>
      <c r="AL94" s="550"/>
      <c r="AM94" s="550"/>
      <c r="AN94" s="549"/>
      <c r="AO94" s="550"/>
      <c r="AP94" s="550"/>
      <c r="AQ94" s="549"/>
      <c r="AR94" s="550"/>
      <c r="AS94" s="550"/>
      <c r="AT94" s="549"/>
      <c r="AU94" s="550"/>
      <c r="AV94" s="550"/>
      <c r="AW94" s="549"/>
      <c r="AX94" s="550"/>
      <c r="AY94" s="550"/>
      <c r="AZ94" s="549"/>
      <c r="BA94" s="550"/>
      <c r="BB94" s="550"/>
      <c r="BC94" s="550"/>
    </row>
    <row r="95" spans="1:55">
      <c r="A95" s="531" t="str">
        <f t="shared" si="6"/>
        <v>AQ</v>
      </c>
      <c r="B95" s="50" t="str">
        <f t="shared" si="7"/>
        <v>SIPPM25</v>
      </c>
      <c r="C95" s="50" t="s">
        <v>255</v>
      </c>
      <c r="D95" s="532" t="s">
        <v>144</v>
      </c>
      <c r="E95" s="50" t="s">
        <v>52</v>
      </c>
      <c r="F95" s="535" t="str">
        <f>R.8AcctImpName3</f>
        <v xml:space="preserve"> </v>
      </c>
      <c r="G95" s="543">
        <f>R.8AcctImpHrs3</f>
        <v>0</v>
      </c>
      <c r="H95" s="544">
        <f>Table3[[#This Row],[Hrs Rank]]</f>
        <v>0</v>
      </c>
      <c r="I95" s="534">
        <f t="shared" si="8"/>
        <v>0</v>
      </c>
      <c r="J95" s="534">
        <f t="shared" si="9"/>
        <v>0</v>
      </c>
      <c r="K95" s="546"/>
      <c r="L95" s="546"/>
      <c r="M95" s="547" t="s">
        <v>223</v>
      </c>
      <c r="N95" s="547" t="s">
        <v>223</v>
      </c>
      <c r="O95" s="548"/>
      <c r="P95" s="549"/>
      <c r="Q95" s="550"/>
      <c r="R95" s="550"/>
      <c r="S95" s="549"/>
      <c r="T95" s="550"/>
      <c r="U95" s="550"/>
      <c r="V95" s="549"/>
      <c r="W95" s="550"/>
      <c r="X95" s="550"/>
      <c r="Y95" s="549"/>
      <c r="Z95" s="550"/>
      <c r="AA95" s="550"/>
      <c r="AB95" s="549"/>
      <c r="AC95" s="550"/>
      <c r="AD95" s="550"/>
      <c r="AE95" s="549"/>
      <c r="AF95" s="550"/>
      <c r="AG95" s="550"/>
      <c r="AH95" s="549"/>
      <c r="AI95" s="550"/>
      <c r="AJ95" s="550"/>
      <c r="AK95" s="549"/>
      <c r="AL95" s="550"/>
      <c r="AM95" s="550"/>
      <c r="AN95" s="549"/>
      <c r="AO95" s="550"/>
      <c r="AP95" s="550"/>
      <c r="AQ95" s="549"/>
      <c r="AR95" s="550"/>
      <c r="AS95" s="550"/>
      <c r="AT95" s="549"/>
      <c r="AU95" s="550"/>
      <c r="AV95" s="550"/>
      <c r="AW95" s="549"/>
      <c r="AX95" s="550"/>
      <c r="AY95" s="550"/>
      <c r="AZ95" s="549"/>
      <c r="BA95" s="550"/>
      <c r="BB95" s="550"/>
      <c r="BC95" s="550"/>
    </row>
    <row r="96" spans="1:55">
      <c r="A96" s="531" t="str">
        <f t="shared" si="6"/>
        <v>AQ</v>
      </c>
      <c r="B96" s="50" t="str">
        <f t="shared" si="7"/>
        <v>SIPPM25</v>
      </c>
      <c r="C96" s="50" t="s">
        <v>255</v>
      </c>
      <c r="D96" s="532" t="s">
        <v>144</v>
      </c>
      <c r="E96" s="50" t="s">
        <v>52</v>
      </c>
      <c r="F96" s="535" t="str">
        <f>R.8AcctImpName4</f>
        <v xml:space="preserve"> </v>
      </c>
      <c r="G96" s="543">
        <f>R.8AcctImpHrs4</f>
        <v>0</v>
      </c>
      <c r="H96" s="544">
        <f>Table3[[#This Row],[Hrs Rank]]</f>
        <v>0</v>
      </c>
      <c r="I96" s="534">
        <f t="shared" si="8"/>
        <v>0</v>
      </c>
      <c r="J96" s="534">
        <f t="shared" si="9"/>
        <v>0</v>
      </c>
      <c r="K96" s="546"/>
      <c r="L96" s="546"/>
      <c r="M96" s="547" t="s">
        <v>223</v>
      </c>
      <c r="N96" s="547" t="s">
        <v>223</v>
      </c>
      <c r="O96" s="548"/>
      <c r="P96" s="549"/>
      <c r="Q96" s="550"/>
      <c r="R96" s="550"/>
      <c r="S96" s="549"/>
      <c r="T96" s="550"/>
      <c r="U96" s="550"/>
      <c r="V96" s="549"/>
      <c r="W96" s="550"/>
      <c r="X96" s="550"/>
      <c r="Y96" s="549"/>
      <c r="Z96" s="550"/>
      <c r="AA96" s="550"/>
      <c r="AB96" s="549"/>
      <c r="AC96" s="550"/>
      <c r="AD96" s="550"/>
      <c r="AE96" s="549"/>
      <c r="AF96" s="550"/>
      <c r="AG96" s="550"/>
      <c r="AH96" s="549"/>
      <c r="AI96" s="550"/>
      <c r="AJ96" s="550"/>
      <c r="AK96" s="549"/>
      <c r="AL96" s="550"/>
      <c r="AM96" s="550"/>
      <c r="AN96" s="549"/>
      <c r="AO96" s="550"/>
      <c r="AP96" s="550"/>
      <c r="AQ96" s="549"/>
      <c r="AR96" s="550"/>
      <c r="AS96" s="550"/>
      <c r="AT96" s="549"/>
      <c r="AU96" s="550"/>
      <c r="AV96" s="550"/>
      <c r="AW96" s="549"/>
      <c r="AX96" s="550"/>
      <c r="AY96" s="550"/>
      <c r="AZ96" s="549"/>
      <c r="BA96" s="550"/>
      <c r="BB96" s="550"/>
      <c r="BC96" s="550"/>
    </row>
    <row r="97" spans="1:55">
      <c r="A97" s="531" t="str">
        <f t="shared" si="6"/>
        <v>AQ</v>
      </c>
      <c r="B97" s="50" t="str">
        <f t="shared" si="7"/>
        <v>SIPPM25</v>
      </c>
      <c r="C97" s="50" t="s">
        <v>255</v>
      </c>
      <c r="D97" s="532" t="s">
        <v>145</v>
      </c>
      <c r="E97" s="50" t="s">
        <v>53</v>
      </c>
      <c r="F97" s="535">
        <f>R.8DContractDevName1</f>
        <v>0</v>
      </c>
      <c r="G97" s="543">
        <f>R.8DContractDevHrs1</f>
        <v>0</v>
      </c>
      <c r="H97" s="544">
        <f>Table3[[#This Row],[Hrs Rank]]</f>
        <v>0</v>
      </c>
      <c r="I97" s="534">
        <f t="shared" si="8"/>
        <v>0</v>
      </c>
      <c r="J97" s="534">
        <f t="shared" si="9"/>
        <v>0</v>
      </c>
      <c r="K97" s="546"/>
      <c r="L97" s="546"/>
      <c r="M97" s="547" t="s">
        <v>223</v>
      </c>
      <c r="N97" s="547" t="s">
        <v>223</v>
      </c>
      <c r="O97" s="548"/>
      <c r="P97" s="549"/>
      <c r="Q97" s="550"/>
      <c r="R97" s="550"/>
      <c r="S97" s="549"/>
      <c r="T97" s="550"/>
      <c r="U97" s="550"/>
      <c r="V97" s="549"/>
      <c r="W97" s="550"/>
      <c r="X97" s="550"/>
      <c r="Y97" s="549"/>
      <c r="Z97" s="550"/>
      <c r="AA97" s="550"/>
      <c r="AB97" s="549"/>
      <c r="AC97" s="550"/>
      <c r="AD97" s="550"/>
      <c r="AE97" s="549"/>
      <c r="AF97" s="550"/>
      <c r="AG97" s="550"/>
      <c r="AH97" s="549"/>
      <c r="AI97" s="550"/>
      <c r="AJ97" s="550"/>
      <c r="AK97" s="549"/>
      <c r="AL97" s="550"/>
      <c r="AM97" s="550"/>
      <c r="AN97" s="549"/>
      <c r="AO97" s="550"/>
      <c r="AP97" s="550"/>
      <c r="AQ97" s="549"/>
      <c r="AR97" s="550"/>
      <c r="AS97" s="550"/>
      <c r="AT97" s="549"/>
      <c r="AU97" s="550"/>
      <c r="AV97" s="550"/>
      <c r="AW97" s="549"/>
      <c r="AX97" s="550"/>
      <c r="AY97" s="550"/>
      <c r="AZ97" s="549"/>
      <c r="BA97" s="550"/>
      <c r="BB97" s="550"/>
      <c r="BC97" s="550"/>
    </row>
    <row r="98" spans="1:55">
      <c r="A98" s="531" t="str">
        <f t="shared" si="6"/>
        <v>AQ</v>
      </c>
      <c r="B98" s="50" t="str">
        <f t="shared" si="7"/>
        <v>SIPPM25</v>
      </c>
      <c r="C98" s="50" t="s">
        <v>255</v>
      </c>
      <c r="D98" s="532" t="s">
        <v>145</v>
      </c>
      <c r="E98" s="50" t="s">
        <v>53</v>
      </c>
      <c r="F98" s="535" t="str">
        <f>R.8DContractDevName2</f>
        <v xml:space="preserve"> </v>
      </c>
      <c r="G98" s="543">
        <f>R.8DContractDevHrs2</f>
        <v>0</v>
      </c>
      <c r="H98" s="544">
        <f>Table3[[#This Row],[Hrs Rank]]</f>
        <v>0</v>
      </c>
      <c r="I98" s="534">
        <f t="shared" si="8"/>
        <v>0</v>
      </c>
      <c r="J98" s="534">
        <f t="shared" si="9"/>
        <v>0</v>
      </c>
      <c r="K98" s="546"/>
      <c r="L98" s="546"/>
      <c r="M98" s="547" t="s">
        <v>223</v>
      </c>
      <c r="N98" s="547" t="s">
        <v>223</v>
      </c>
      <c r="O98" s="548"/>
      <c r="P98" s="549"/>
      <c r="Q98" s="550"/>
      <c r="R98" s="550"/>
      <c r="S98" s="549"/>
      <c r="T98" s="550"/>
      <c r="U98" s="550"/>
      <c r="V98" s="549"/>
      <c r="W98" s="550"/>
      <c r="X98" s="550"/>
      <c r="Y98" s="549"/>
      <c r="Z98" s="550"/>
      <c r="AA98" s="550"/>
      <c r="AB98" s="549"/>
      <c r="AC98" s="550"/>
      <c r="AD98" s="550"/>
      <c r="AE98" s="549"/>
      <c r="AF98" s="550"/>
      <c r="AG98" s="550"/>
      <c r="AH98" s="549"/>
      <c r="AI98" s="550"/>
      <c r="AJ98" s="550"/>
      <c r="AK98" s="549"/>
      <c r="AL98" s="550"/>
      <c r="AM98" s="550"/>
      <c r="AN98" s="549"/>
      <c r="AO98" s="550"/>
      <c r="AP98" s="550"/>
      <c r="AQ98" s="549"/>
      <c r="AR98" s="550"/>
      <c r="AS98" s="550"/>
      <c r="AT98" s="549"/>
      <c r="AU98" s="550"/>
      <c r="AV98" s="550"/>
      <c r="AW98" s="549"/>
      <c r="AX98" s="550"/>
      <c r="AY98" s="550"/>
      <c r="AZ98" s="549"/>
      <c r="BA98" s="550"/>
      <c r="BB98" s="550"/>
      <c r="BC98" s="550"/>
    </row>
    <row r="99" spans="1:55">
      <c r="A99" s="531" t="str">
        <f t="shared" ref="A99:A112" si="10">R.1Division</f>
        <v>AQ</v>
      </c>
      <c r="B99" s="50" t="str">
        <f t="shared" ref="B99:B112" si="11">R.1CodeName</f>
        <v>SIPPM25</v>
      </c>
      <c r="C99" s="50" t="s">
        <v>255</v>
      </c>
      <c r="D99" s="532" t="s">
        <v>145</v>
      </c>
      <c r="E99" s="50" t="s">
        <v>53</v>
      </c>
      <c r="F99" s="535" t="str">
        <f>R.8DContractDevName3</f>
        <v xml:space="preserve"> </v>
      </c>
      <c r="G99" s="543">
        <f>R.8DContractDevHrs3</f>
        <v>0</v>
      </c>
      <c r="H99" s="544">
        <f>Table3[[#This Row],[Hrs Rank]]</f>
        <v>0</v>
      </c>
      <c r="I99" s="534">
        <f t="shared" si="8"/>
        <v>0</v>
      </c>
      <c r="J99" s="534">
        <f t="shared" si="9"/>
        <v>0</v>
      </c>
      <c r="K99" s="546"/>
      <c r="L99" s="546"/>
      <c r="M99" s="547" t="s">
        <v>223</v>
      </c>
      <c r="N99" s="547" t="s">
        <v>223</v>
      </c>
      <c r="O99" s="548"/>
      <c r="P99" s="549"/>
      <c r="Q99" s="550"/>
      <c r="R99" s="550"/>
      <c r="S99" s="549"/>
      <c r="T99" s="550"/>
      <c r="U99" s="550"/>
      <c r="V99" s="549"/>
      <c r="W99" s="550"/>
      <c r="X99" s="550"/>
      <c r="Y99" s="549"/>
      <c r="Z99" s="550"/>
      <c r="AA99" s="550"/>
      <c r="AB99" s="549"/>
      <c r="AC99" s="550"/>
      <c r="AD99" s="550"/>
      <c r="AE99" s="549"/>
      <c r="AF99" s="550"/>
      <c r="AG99" s="550"/>
      <c r="AH99" s="549"/>
      <c r="AI99" s="550"/>
      <c r="AJ99" s="550"/>
      <c r="AK99" s="549"/>
      <c r="AL99" s="550"/>
      <c r="AM99" s="550"/>
      <c r="AN99" s="549"/>
      <c r="AO99" s="550"/>
      <c r="AP99" s="550"/>
      <c r="AQ99" s="549"/>
      <c r="AR99" s="550"/>
      <c r="AS99" s="550"/>
      <c r="AT99" s="549"/>
      <c r="AU99" s="550"/>
      <c r="AV99" s="550"/>
      <c r="AW99" s="549"/>
      <c r="AX99" s="550"/>
      <c r="AY99" s="550"/>
      <c r="AZ99" s="549"/>
      <c r="BA99" s="550"/>
      <c r="BB99" s="550"/>
      <c r="BC99" s="550"/>
    </row>
    <row r="100" spans="1:55">
      <c r="A100" s="531" t="str">
        <f t="shared" si="10"/>
        <v>AQ</v>
      </c>
      <c r="B100" s="50" t="str">
        <f t="shared" si="11"/>
        <v>SIPPM25</v>
      </c>
      <c r="C100" s="50" t="s">
        <v>255</v>
      </c>
      <c r="D100" s="532" t="s">
        <v>145</v>
      </c>
      <c r="E100" s="50" t="s">
        <v>53</v>
      </c>
      <c r="F100" s="535" t="str">
        <f>R.8DContractDevName4</f>
        <v xml:space="preserve"> </v>
      </c>
      <c r="G100" s="543">
        <f>R.8DContractDevHrs4</f>
        <v>0</v>
      </c>
      <c r="H100" s="544">
        <f>Table3[[#This Row],[Hrs Rank]]</f>
        <v>0</v>
      </c>
      <c r="I100" s="534">
        <f t="shared" si="8"/>
        <v>0</v>
      </c>
      <c r="J100" s="534">
        <f t="shared" si="9"/>
        <v>0</v>
      </c>
      <c r="K100" s="546"/>
      <c r="L100" s="546"/>
      <c r="M100" s="547" t="s">
        <v>223</v>
      </c>
      <c r="N100" s="547" t="s">
        <v>223</v>
      </c>
      <c r="O100" s="548"/>
      <c r="P100" s="549"/>
      <c r="Q100" s="550"/>
      <c r="R100" s="550"/>
      <c r="S100" s="549"/>
      <c r="T100" s="550"/>
      <c r="U100" s="550"/>
      <c r="V100" s="549"/>
      <c r="W100" s="550"/>
      <c r="X100" s="550"/>
      <c r="Y100" s="549"/>
      <c r="Z100" s="550"/>
      <c r="AA100" s="550"/>
      <c r="AB100" s="549"/>
      <c r="AC100" s="550"/>
      <c r="AD100" s="550"/>
      <c r="AE100" s="549"/>
      <c r="AF100" s="550"/>
      <c r="AG100" s="550"/>
      <c r="AH100" s="549"/>
      <c r="AI100" s="550"/>
      <c r="AJ100" s="550"/>
      <c r="AK100" s="549"/>
      <c r="AL100" s="550"/>
      <c r="AM100" s="550"/>
      <c r="AN100" s="549"/>
      <c r="AO100" s="550"/>
      <c r="AP100" s="550"/>
      <c r="AQ100" s="549"/>
      <c r="AR100" s="550"/>
      <c r="AS100" s="550"/>
      <c r="AT100" s="549"/>
      <c r="AU100" s="550"/>
      <c r="AV100" s="550"/>
      <c r="AW100" s="549"/>
      <c r="AX100" s="550"/>
      <c r="AY100" s="550"/>
      <c r="AZ100" s="549"/>
      <c r="BA100" s="550"/>
      <c r="BB100" s="550"/>
      <c r="BC100" s="550"/>
    </row>
    <row r="101" spans="1:55">
      <c r="A101" s="531" t="str">
        <f t="shared" si="10"/>
        <v>AQ</v>
      </c>
      <c r="B101" s="50" t="str">
        <f t="shared" si="11"/>
        <v>SIPPM25</v>
      </c>
      <c r="C101" s="50" t="s">
        <v>255</v>
      </c>
      <c r="D101" s="532" t="s">
        <v>145</v>
      </c>
      <c r="E101" s="50" t="s">
        <v>52</v>
      </c>
      <c r="F101" s="535">
        <f>R.8DContractImpName1</f>
        <v>0</v>
      </c>
      <c r="G101" s="543">
        <f>R.8DContractImpHrs1</f>
        <v>0</v>
      </c>
      <c r="H101" s="544">
        <f>Table3[[#This Row],[Hrs Rank]]</f>
        <v>0</v>
      </c>
      <c r="I101" s="534">
        <f t="shared" si="8"/>
        <v>0</v>
      </c>
      <c r="J101" s="534">
        <f t="shared" si="9"/>
        <v>0</v>
      </c>
      <c r="K101" s="546"/>
      <c r="L101" s="546"/>
      <c r="M101" s="547" t="s">
        <v>223</v>
      </c>
      <c r="N101" s="547" t="s">
        <v>223</v>
      </c>
      <c r="O101" s="548"/>
      <c r="P101" s="549"/>
      <c r="Q101" s="550"/>
      <c r="R101" s="550"/>
      <c r="S101" s="549"/>
      <c r="T101" s="550"/>
      <c r="U101" s="550"/>
      <c r="V101" s="549"/>
      <c r="W101" s="550"/>
      <c r="X101" s="550"/>
      <c r="Y101" s="549"/>
      <c r="Z101" s="550"/>
      <c r="AA101" s="550"/>
      <c r="AB101" s="549"/>
      <c r="AC101" s="550"/>
      <c r="AD101" s="550"/>
      <c r="AE101" s="549"/>
      <c r="AF101" s="550"/>
      <c r="AG101" s="550"/>
      <c r="AH101" s="549"/>
      <c r="AI101" s="550"/>
      <c r="AJ101" s="550"/>
      <c r="AK101" s="549"/>
      <c r="AL101" s="550"/>
      <c r="AM101" s="550"/>
      <c r="AN101" s="549"/>
      <c r="AO101" s="550"/>
      <c r="AP101" s="550"/>
      <c r="AQ101" s="549"/>
      <c r="AR101" s="550"/>
      <c r="AS101" s="550"/>
      <c r="AT101" s="549"/>
      <c r="AU101" s="550"/>
      <c r="AV101" s="550"/>
      <c r="AW101" s="549"/>
      <c r="AX101" s="550"/>
      <c r="AY101" s="550"/>
      <c r="AZ101" s="549"/>
      <c r="BA101" s="550"/>
      <c r="BB101" s="550"/>
      <c r="BC101" s="550"/>
    </row>
    <row r="102" spans="1:55">
      <c r="A102" s="531" t="str">
        <f t="shared" si="10"/>
        <v>AQ</v>
      </c>
      <c r="B102" s="50" t="str">
        <f t="shared" si="11"/>
        <v>SIPPM25</v>
      </c>
      <c r="C102" s="50" t="s">
        <v>255</v>
      </c>
      <c r="D102" s="532" t="s">
        <v>145</v>
      </c>
      <c r="E102" s="50" t="s">
        <v>52</v>
      </c>
      <c r="F102" s="535">
        <f>R.8DContractImpName2</f>
        <v>0</v>
      </c>
      <c r="G102" s="543">
        <f>R.8DContractImpHrs2</f>
        <v>0</v>
      </c>
      <c r="H102" s="544">
        <f>Table3[[#This Row],[Hrs Rank]]</f>
        <v>0</v>
      </c>
      <c r="I102" s="534">
        <f t="shared" si="8"/>
        <v>0</v>
      </c>
      <c r="J102" s="534">
        <f t="shared" si="9"/>
        <v>0</v>
      </c>
      <c r="K102" s="546"/>
      <c r="L102" s="546"/>
      <c r="M102" s="547" t="s">
        <v>223</v>
      </c>
      <c r="N102" s="547" t="s">
        <v>223</v>
      </c>
      <c r="O102" s="548"/>
      <c r="P102" s="549"/>
      <c r="Q102" s="550"/>
      <c r="R102" s="550"/>
      <c r="S102" s="549"/>
      <c r="T102" s="550"/>
      <c r="U102" s="550"/>
      <c r="V102" s="549"/>
      <c r="W102" s="550"/>
      <c r="X102" s="550"/>
      <c r="Y102" s="549"/>
      <c r="Z102" s="550"/>
      <c r="AA102" s="550"/>
      <c r="AB102" s="549"/>
      <c r="AC102" s="550"/>
      <c r="AD102" s="550"/>
      <c r="AE102" s="549"/>
      <c r="AF102" s="550"/>
      <c r="AG102" s="550"/>
      <c r="AH102" s="549"/>
      <c r="AI102" s="550"/>
      <c r="AJ102" s="550"/>
      <c r="AK102" s="549"/>
      <c r="AL102" s="550"/>
      <c r="AM102" s="550"/>
      <c r="AN102" s="549"/>
      <c r="AO102" s="550"/>
      <c r="AP102" s="550"/>
      <c r="AQ102" s="549"/>
      <c r="AR102" s="550"/>
      <c r="AS102" s="550"/>
      <c r="AT102" s="549"/>
      <c r="AU102" s="550"/>
      <c r="AV102" s="550"/>
      <c r="AW102" s="549"/>
      <c r="AX102" s="550"/>
      <c r="AY102" s="550"/>
      <c r="AZ102" s="549"/>
      <c r="BA102" s="550"/>
      <c r="BB102" s="550"/>
      <c r="BC102" s="550"/>
    </row>
    <row r="103" spans="1:55">
      <c r="A103" s="531" t="str">
        <f t="shared" si="10"/>
        <v>AQ</v>
      </c>
      <c r="B103" s="50" t="str">
        <f t="shared" si="11"/>
        <v>SIPPM25</v>
      </c>
      <c r="C103" s="50" t="s">
        <v>255</v>
      </c>
      <c r="D103" s="532" t="s">
        <v>145</v>
      </c>
      <c r="E103" s="50" t="s">
        <v>52</v>
      </c>
      <c r="F103" s="535" t="str">
        <f>R.8DContractImpName3</f>
        <v xml:space="preserve"> </v>
      </c>
      <c r="G103" s="543">
        <f>R.8DContractImpHrs3</f>
        <v>0</v>
      </c>
      <c r="H103" s="544">
        <f>Table3[[#This Row],[Hrs Rank]]</f>
        <v>0</v>
      </c>
      <c r="I103" s="534">
        <f t="shared" si="8"/>
        <v>0</v>
      </c>
      <c r="J103" s="534">
        <f t="shared" si="9"/>
        <v>0</v>
      </c>
      <c r="K103" s="546"/>
      <c r="L103" s="546"/>
      <c r="M103" s="547" t="s">
        <v>223</v>
      </c>
      <c r="N103" s="547" t="s">
        <v>223</v>
      </c>
      <c r="O103" s="548"/>
      <c r="P103" s="549"/>
      <c r="Q103" s="550"/>
      <c r="R103" s="550"/>
      <c r="S103" s="549"/>
      <c r="T103" s="550"/>
      <c r="U103" s="550"/>
      <c r="V103" s="549"/>
      <c r="W103" s="550"/>
      <c r="X103" s="550"/>
      <c r="Y103" s="549"/>
      <c r="Z103" s="550"/>
      <c r="AA103" s="550"/>
      <c r="AB103" s="549"/>
      <c r="AC103" s="550"/>
      <c r="AD103" s="550"/>
      <c r="AE103" s="549"/>
      <c r="AF103" s="550"/>
      <c r="AG103" s="550"/>
      <c r="AH103" s="549"/>
      <c r="AI103" s="550"/>
      <c r="AJ103" s="550"/>
      <c r="AK103" s="549"/>
      <c r="AL103" s="550"/>
      <c r="AM103" s="550"/>
      <c r="AN103" s="549"/>
      <c r="AO103" s="550"/>
      <c r="AP103" s="550"/>
      <c r="AQ103" s="549"/>
      <c r="AR103" s="550"/>
      <c r="AS103" s="550"/>
      <c r="AT103" s="549"/>
      <c r="AU103" s="550"/>
      <c r="AV103" s="550"/>
      <c r="AW103" s="549"/>
      <c r="AX103" s="550"/>
      <c r="AY103" s="550"/>
      <c r="AZ103" s="549"/>
      <c r="BA103" s="550"/>
      <c r="BB103" s="550"/>
      <c r="BC103" s="550"/>
    </row>
    <row r="104" spans="1:55">
      <c r="A104" s="531" t="str">
        <f t="shared" si="10"/>
        <v>AQ</v>
      </c>
      <c r="B104" s="50" t="str">
        <f t="shared" si="11"/>
        <v>SIPPM25</v>
      </c>
      <c r="C104" s="50" t="s">
        <v>255</v>
      </c>
      <c r="D104" s="532" t="s">
        <v>145</v>
      </c>
      <c r="E104" s="50" t="s">
        <v>52</v>
      </c>
      <c r="F104" s="535" t="str">
        <f>R.8DContractImpName4</f>
        <v xml:space="preserve"> </v>
      </c>
      <c r="G104" s="543">
        <f>R.8DContractImpHrs4</f>
        <v>0</v>
      </c>
      <c r="H104" s="544">
        <f>Table3[[#This Row],[Hrs Rank]]</f>
        <v>0</v>
      </c>
      <c r="I104" s="534">
        <f t="shared" si="8"/>
        <v>0</v>
      </c>
      <c r="J104" s="534">
        <f t="shared" si="9"/>
        <v>0</v>
      </c>
      <c r="K104" s="546"/>
      <c r="L104" s="546"/>
      <c r="M104" s="547" t="s">
        <v>223</v>
      </c>
      <c r="N104" s="547" t="s">
        <v>223</v>
      </c>
      <c r="O104" s="548"/>
      <c r="P104" s="549"/>
      <c r="Q104" s="550"/>
      <c r="R104" s="550"/>
      <c r="S104" s="549"/>
      <c r="T104" s="550"/>
      <c r="U104" s="550"/>
      <c r="V104" s="549"/>
      <c r="W104" s="550"/>
      <c r="X104" s="550"/>
      <c r="Y104" s="549"/>
      <c r="Z104" s="550"/>
      <c r="AA104" s="550"/>
      <c r="AB104" s="549"/>
      <c r="AC104" s="550"/>
      <c r="AD104" s="550"/>
      <c r="AE104" s="549"/>
      <c r="AF104" s="550"/>
      <c r="AG104" s="550"/>
      <c r="AH104" s="549"/>
      <c r="AI104" s="550"/>
      <c r="AJ104" s="550"/>
      <c r="AK104" s="549"/>
      <c r="AL104" s="550"/>
      <c r="AM104" s="550"/>
      <c r="AN104" s="549"/>
      <c r="AO104" s="550"/>
      <c r="AP104" s="550"/>
      <c r="AQ104" s="549"/>
      <c r="AR104" s="550"/>
      <c r="AS104" s="550"/>
      <c r="AT104" s="549"/>
      <c r="AU104" s="550"/>
      <c r="AV104" s="550"/>
      <c r="AW104" s="549"/>
      <c r="AX104" s="550"/>
      <c r="AY104" s="550"/>
      <c r="AZ104" s="549"/>
      <c r="BA104" s="550"/>
      <c r="BB104" s="550"/>
      <c r="BC104" s="550"/>
    </row>
    <row r="105" spans="1:55">
      <c r="A105" s="531" t="str">
        <f t="shared" si="10"/>
        <v>AQ</v>
      </c>
      <c r="B105" s="50" t="str">
        <f t="shared" si="11"/>
        <v>SIPPM25</v>
      </c>
      <c r="C105" s="50" t="s">
        <v>256</v>
      </c>
      <c r="D105" s="532" t="s">
        <v>266</v>
      </c>
      <c r="E105" s="50" t="s">
        <v>53</v>
      </c>
      <c r="F105" s="535" t="str">
        <f>R.9ComStrategyDevName1</f>
        <v>Stephanie Caldera, Brian White</v>
      </c>
      <c r="G105" s="543">
        <f>R.9ComStrategyDevHrs1</f>
        <v>1</v>
      </c>
      <c r="H105" s="544">
        <f>Table3[[#This Row],[Hrs Rank]]</f>
        <v>1</v>
      </c>
      <c r="I105" s="534">
        <f t="shared" si="8"/>
        <v>1</v>
      </c>
      <c r="J105" s="534">
        <f t="shared" si="9"/>
        <v>8</v>
      </c>
      <c r="K105" s="546"/>
      <c r="L105" s="546"/>
      <c r="M105" s="547" t="s">
        <v>223</v>
      </c>
      <c r="N105" s="547" t="s">
        <v>223</v>
      </c>
      <c r="O105" s="548"/>
      <c r="P105" s="549"/>
      <c r="Q105" s="550"/>
      <c r="R105" s="550"/>
      <c r="S105" s="549"/>
      <c r="T105" s="550"/>
      <c r="U105" s="550"/>
      <c r="V105" s="549"/>
      <c r="W105" s="550"/>
      <c r="X105" s="550"/>
      <c r="Y105" s="549"/>
      <c r="Z105" s="550"/>
      <c r="AA105" s="550"/>
      <c r="AB105" s="549"/>
      <c r="AC105" s="550"/>
      <c r="AD105" s="550"/>
      <c r="AE105" s="549"/>
      <c r="AF105" s="550"/>
      <c r="AG105" s="550"/>
      <c r="AH105" s="549"/>
      <c r="AI105" s="550"/>
      <c r="AJ105" s="550"/>
      <c r="AK105" s="549"/>
      <c r="AL105" s="550"/>
      <c r="AM105" s="550"/>
      <c r="AN105" s="549"/>
      <c r="AO105" s="550"/>
      <c r="AP105" s="550"/>
      <c r="AQ105" s="549"/>
      <c r="AR105" s="550"/>
      <c r="AS105" s="550"/>
      <c r="AT105" s="549"/>
      <c r="AU105" s="550"/>
      <c r="AV105" s="550"/>
      <c r="AW105" s="549"/>
      <c r="AX105" s="550"/>
      <c r="AY105" s="550"/>
      <c r="AZ105" s="549"/>
      <c r="BA105" s="550"/>
      <c r="BB105" s="550"/>
      <c r="BC105" s="550"/>
    </row>
    <row r="106" spans="1:55">
      <c r="A106" s="531" t="str">
        <f t="shared" si="10"/>
        <v>AQ</v>
      </c>
      <c r="B106" s="50" t="str">
        <f t="shared" si="11"/>
        <v>SIPPM25</v>
      </c>
      <c r="C106" s="50" t="s">
        <v>256</v>
      </c>
      <c r="D106" s="532" t="s">
        <v>266</v>
      </c>
      <c r="E106" s="50" t="s">
        <v>53</v>
      </c>
      <c r="F106" s="535">
        <f>R.9ComStrategyDevName2</f>
        <v>0</v>
      </c>
      <c r="G106" s="543">
        <f>R.9ComStrategyDevHrs2</f>
        <v>0</v>
      </c>
      <c r="H106" s="544">
        <f>Table3[[#This Row],[Hrs Rank]]</f>
        <v>0</v>
      </c>
      <c r="I106" s="534">
        <f t="shared" si="8"/>
        <v>0</v>
      </c>
      <c r="J106" s="534">
        <f t="shared" si="9"/>
        <v>0</v>
      </c>
      <c r="K106" s="546"/>
      <c r="L106" s="546"/>
      <c r="M106" s="547" t="s">
        <v>223</v>
      </c>
      <c r="N106" s="547" t="s">
        <v>223</v>
      </c>
      <c r="O106" s="548"/>
      <c r="P106" s="549"/>
      <c r="Q106" s="550"/>
      <c r="R106" s="550"/>
      <c r="S106" s="549"/>
      <c r="T106" s="550"/>
      <c r="U106" s="550"/>
      <c r="V106" s="549"/>
      <c r="W106" s="550"/>
      <c r="X106" s="550"/>
      <c r="Y106" s="549"/>
      <c r="Z106" s="550"/>
      <c r="AA106" s="550"/>
      <c r="AB106" s="549"/>
      <c r="AC106" s="550"/>
      <c r="AD106" s="550"/>
      <c r="AE106" s="549"/>
      <c r="AF106" s="550"/>
      <c r="AG106" s="550"/>
      <c r="AH106" s="549"/>
      <c r="AI106" s="550"/>
      <c r="AJ106" s="550"/>
      <c r="AK106" s="549"/>
      <c r="AL106" s="550"/>
      <c r="AM106" s="550"/>
      <c r="AN106" s="549"/>
      <c r="AO106" s="550"/>
      <c r="AP106" s="550"/>
      <c r="AQ106" s="549"/>
      <c r="AR106" s="550"/>
      <c r="AS106" s="550"/>
      <c r="AT106" s="549"/>
      <c r="AU106" s="550"/>
      <c r="AV106" s="550"/>
      <c r="AW106" s="549"/>
      <c r="AX106" s="550"/>
      <c r="AY106" s="550"/>
      <c r="AZ106" s="549"/>
      <c r="BA106" s="550"/>
      <c r="BB106" s="550"/>
      <c r="BC106" s="550"/>
    </row>
    <row r="107" spans="1:55">
      <c r="A107" s="531" t="str">
        <f t="shared" si="10"/>
        <v>AQ</v>
      </c>
      <c r="B107" s="50" t="str">
        <f t="shared" si="11"/>
        <v>SIPPM25</v>
      </c>
      <c r="C107" s="50" t="s">
        <v>256</v>
      </c>
      <c r="D107" s="532" t="s">
        <v>266</v>
      </c>
      <c r="E107" s="50" t="s">
        <v>53</v>
      </c>
      <c r="F107" s="535" t="str">
        <f>R.9ComStrategyDevName3</f>
        <v xml:space="preserve"> </v>
      </c>
      <c r="G107" s="543">
        <f>R.9ComStrategyDevHrs3</f>
        <v>0</v>
      </c>
      <c r="H107" s="544">
        <f>Table3[[#This Row],[Hrs Rank]]</f>
        <v>0</v>
      </c>
      <c r="I107" s="534">
        <f t="shared" si="8"/>
        <v>0</v>
      </c>
      <c r="J107" s="534">
        <f t="shared" si="9"/>
        <v>0</v>
      </c>
      <c r="K107" s="546"/>
      <c r="L107" s="546"/>
      <c r="M107" s="547" t="s">
        <v>223</v>
      </c>
      <c r="N107" s="547" t="s">
        <v>223</v>
      </c>
      <c r="O107" s="548"/>
      <c r="P107" s="549"/>
      <c r="Q107" s="550"/>
      <c r="R107" s="550"/>
      <c r="S107" s="549"/>
      <c r="T107" s="550"/>
      <c r="U107" s="550"/>
      <c r="V107" s="549"/>
      <c r="W107" s="550"/>
      <c r="X107" s="550"/>
      <c r="Y107" s="549"/>
      <c r="Z107" s="550"/>
      <c r="AA107" s="550"/>
      <c r="AB107" s="549"/>
      <c r="AC107" s="550"/>
      <c r="AD107" s="550"/>
      <c r="AE107" s="549"/>
      <c r="AF107" s="550"/>
      <c r="AG107" s="550"/>
      <c r="AH107" s="549"/>
      <c r="AI107" s="550"/>
      <c r="AJ107" s="550"/>
      <c r="AK107" s="549"/>
      <c r="AL107" s="550"/>
      <c r="AM107" s="550"/>
      <c r="AN107" s="549"/>
      <c r="AO107" s="550"/>
      <c r="AP107" s="550"/>
      <c r="AQ107" s="549"/>
      <c r="AR107" s="550"/>
      <c r="AS107" s="550"/>
      <c r="AT107" s="549"/>
      <c r="AU107" s="550"/>
      <c r="AV107" s="550"/>
      <c r="AW107" s="549"/>
      <c r="AX107" s="550"/>
      <c r="AY107" s="550"/>
      <c r="AZ107" s="549"/>
      <c r="BA107" s="550"/>
      <c r="BB107" s="550"/>
      <c r="BC107" s="550"/>
    </row>
    <row r="108" spans="1:55">
      <c r="A108" s="531" t="str">
        <f t="shared" si="10"/>
        <v>AQ</v>
      </c>
      <c r="B108" s="50" t="str">
        <f t="shared" si="11"/>
        <v>SIPPM25</v>
      </c>
      <c r="C108" s="50" t="s">
        <v>256</v>
      </c>
      <c r="D108" s="532" t="s">
        <v>266</v>
      </c>
      <c r="E108" s="50" t="s">
        <v>53</v>
      </c>
      <c r="F108" s="535" t="str">
        <f>R.9ComStrategyDevName4</f>
        <v xml:space="preserve"> </v>
      </c>
      <c r="G108" s="543">
        <f>R.9ComStrategyDevHrs4</f>
        <v>0</v>
      </c>
      <c r="H108" s="544">
        <f>Table3[[#This Row],[Hrs Rank]]</f>
        <v>0</v>
      </c>
      <c r="I108" s="534">
        <f t="shared" si="8"/>
        <v>0</v>
      </c>
      <c r="J108" s="534">
        <f t="shared" si="9"/>
        <v>0</v>
      </c>
      <c r="K108" s="546"/>
      <c r="L108" s="546"/>
      <c r="M108" s="547" t="s">
        <v>223</v>
      </c>
      <c r="N108" s="547" t="s">
        <v>223</v>
      </c>
      <c r="O108" s="548"/>
      <c r="P108" s="549"/>
      <c r="Q108" s="550"/>
      <c r="R108" s="550"/>
      <c r="S108" s="549"/>
      <c r="T108" s="550"/>
      <c r="U108" s="550"/>
      <c r="V108" s="549"/>
      <c r="W108" s="550"/>
      <c r="X108" s="550"/>
      <c r="Y108" s="549"/>
      <c r="Z108" s="550"/>
      <c r="AA108" s="550"/>
      <c r="AB108" s="549"/>
      <c r="AC108" s="550"/>
      <c r="AD108" s="550"/>
      <c r="AE108" s="549"/>
      <c r="AF108" s="550"/>
      <c r="AG108" s="550"/>
      <c r="AH108" s="549"/>
      <c r="AI108" s="550"/>
      <c r="AJ108" s="550"/>
      <c r="AK108" s="549"/>
      <c r="AL108" s="550"/>
      <c r="AM108" s="550"/>
      <c r="AN108" s="549"/>
      <c r="AO108" s="550"/>
      <c r="AP108" s="550"/>
      <c r="AQ108" s="549"/>
      <c r="AR108" s="550"/>
      <c r="AS108" s="550"/>
      <c r="AT108" s="549"/>
      <c r="AU108" s="550"/>
      <c r="AV108" s="550"/>
      <c r="AW108" s="549"/>
      <c r="AX108" s="550"/>
      <c r="AY108" s="550"/>
      <c r="AZ108" s="549"/>
      <c r="BA108" s="550"/>
      <c r="BB108" s="550"/>
      <c r="BC108" s="550"/>
    </row>
    <row r="109" spans="1:55">
      <c r="A109" s="531" t="str">
        <f t="shared" si="10"/>
        <v>AQ</v>
      </c>
      <c r="B109" s="50" t="str">
        <f t="shared" si="11"/>
        <v>SIPPM25</v>
      </c>
      <c r="C109" s="50" t="s">
        <v>256</v>
      </c>
      <c r="D109" s="532" t="s">
        <v>266</v>
      </c>
      <c r="E109" s="50" t="s">
        <v>52</v>
      </c>
      <c r="F109" s="535" t="str">
        <f>R.9ComStrategyImpName1</f>
        <v xml:space="preserve"> </v>
      </c>
      <c r="G109" s="543">
        <f>R.9ComStrategyImpHrs1</f>
        <v>0</v>
      </c>
      <c r="H109" s="544">
        <f>Table3[[#This Row],[Hrs Rank]]</f>
        <v>0</v>
      </c>
      <c r="I109" s="534">
        <f t="shared" si="8"/>
        <v>0</v>
      </c>
      <c r="J109" s="534">
        <f t="shared" si="9"/>
        <v>0</v>
      </c>
      <c r="K109" s="546"/>
      <c r="L109" s="546"/>
      <c r="M109" s="547" t="s">
        <v>223</v>
      </c>
      <c r="N109" s="547" t="s">
        <v>223</v>
      </c>
      <c r="O109" s="548"/>
      <c r="P109" s="549"/>
      <c r="Q109" s="550"/>
      <c r="R109" s="550"/>
      <c r="S109" s="549"/>
      <c r="T109" s="550"/>
      <c r="U109" s="550"/>
      <c r="V109" s="549"/>
      <c r="W109" s="550"/>
      <c r="X109" s="550"/>
      <c r="Y109" s="549"/>
      <c r="Z109" s="550"/>
      <c r="AA109" s="550"/>
      <c r="AB109" s="549"/>
      <c r="AC109" s="550"/>
      <c r="AD109" s="550"/>
      <c r="AE109" s="549"/>
      <c r="AF109" s="550"/>
      <c r="AG109" s="550"/>
      <c r="AH109" s="549"/>
      <c r="AI109" s="550"/>
      <c r="AJ109" s="550"/>
      <c r="AK109" s="549"/>
      <c r="AL109" s="550"/>
      <c r="AM109" s="550"/>
      <c r="AN109" s="549"/>
      <c r="AO109" s="550"/>
      <c r="AP109" s="550"/>
      <c r="AQ109" s="549"/>
      <c r="AR109" s="550"/>
      <c r="AS109" s="550"/>
      <c r="AT109" s="549"/>
      <c r="AU109" s="550"/>
      <c r="AV109" s="550"/>
      <c r="AW109" s="549"/>
      <c r="AX109" s="550"/>
      <c r="AY109" s="550"/>
      <c r="AZ109" s="549"/>
      <c r="BA109" s="550"/>
      <c r="BB109" s="550"/>
      <c r="BC109" s="550"/>
    </row>
    <row r="110" spans="1:55">
      <c r="A110" s="531" t="str">
        <f t="shared" si="10"/>
        <v>AQ</v>
      </c>
      <c r="B110" s="50" t="str">
        <f t="shared" si="11"/>
        <v>SIPPM25</v>
      </c>
      <c r="C110" s="50" t="s">
        <v>256</v>
      </c>
      <c r="D110" s="532" t="s">
        <v>266</v>
      </c>
      <c r="E110" s="50" t="s">
        <v>52</v>
      </c>
      <c r="F110" s="535">
        <f>R.9ComStrategyImpName2</f>
        <v>0</v>
      </c>
      <c r="G110" s="543">
        <f>R.9ComStrategyImpHrs2</f>
        <v>0</v>
      </c>
      <c r="H110" s="544">
        <f>Table3[[#This Row],[Hrs Rank]]</f>
        <v>0</v>
      </c>
      <c r="I110" s="534">
        <f t="shared" si="8"/>
        <v>0</v>
      </c>
      <c r="J110" s="534">
        <f t="shared" si="9"/>
        <v>0</v>
      </c>
      <c r="K110" s="546"/>
      <c r="L110" s="546"/>
      <c r="M110" s="547" t="s">
        <v>223</v>
      </c>
      <c r="N110" s="547" t="s">
        <v>223</v>
      </c>
      <c r="O110" s="548"/>
      <c r="P110" s="549"/>
      <c r="Q110" s="550"/>
      <c r="R110" s="550"/>
      <c r="S110" s="549"/>
      <c r="T110" s="550"/>
      <c r="U110" s="550"/>
      <c r="V110" s="549"/>
      <c r="W110" s="550"/>
      <c r="X110" s="550"/>
      <c r="Y110" s="549"/>
      <c r="Z110" s="550"/>
      <c r="AA110" s="550"/>
      <c r="AB110" s="549"/>
      <c r="AC110" s="550"/>
      <c r="AD110" s="550"/>
      <c r="AE110" s="549"/>
      <c r="AF110" s="550"/>
      <c r="AG110" s="550"/>
      <c r="AH110" s="549"/>
      <c r="AI110" s="550"/>
      <c r="AJ110" s="550"/>
      <c r="AK110" s="549"/>
      <c r="AL110" s="550"/>
      <c r="AM110" s="550"/>
      <c r="AN110" s="549"/>
      <c r="AO110" s="550"/>
      <c r="AP110" s="550"/>
      <c r="AQ110" s="549"/>
      <c r="AR110" s="550"/>
      <c r="AS110" s="550"/>
      <c r="AT110" s="549"/>
      <c r="AU110" s="550"/>
      <c r="AV110" s="550"/>
      <c r="AW110" s="549"/>
      <c r="AX110" s="550"/>
      <c r="AY110" s="550"/>
      <c r="AZ110" s="549"/>
      <c r="BA110" s="550"/>
      <c r="BB110" s="550"/>
      <c r="BC110" s="550"/>
    </row>
    <row r="111" spans="1:55">
      <c r="A111" s="531" t="str">
        <f t="shared" si="10"/>
        <v>AQ</v>
      </c>
      <c r="B111" s="50" t="str">
        <f t="shared" si="11"/>
        <v>SIPPM25</v>
      </c>
      <c r="C111" s="50" t="s">
        <v>256</v>
      </c>
      <c r="D111" s="532" t="s">
        <v>266</v>
      </c>
      <c r="E111" s="50" t="s">
        <v>52</v>
      </c>
      <c r="F111" s="535">
        <f>R.9ComStrategyImpName3</f>
        <v>0</v>
      </c>
      <c r="G111" s="543">
        <f>R.9ComStrategyImpHrs3</f>
        <v>0</v>
      </c>
      <c r="H111" s="544">
        <f>Table3[[#This Row],[Hrs Rank]]</f>
        <v>0</v>
      </c>
      <c r="I111" s="534">
        <f t="shared" si="8"/>
        <v>0</v>
      </c>
      <c r="J111" s="534">
        <f t="shared" si="9"/>
        <v>0</v>
      </c>
      <c r="K111" s="546"/>
      <c r="L111" s="546"/>
      <c r="M111" s="547" t="s">
        <v>223</v>
      </c>
      <c r="N111" s="547" t="s">
        <v>223</v>
      </c>
      <c r="O111" s="548"/>
      <c r="P111" s="549"/>
      <c r="Q111" s="550"/>
      <c r="R111" s="550"/>
      <c r="S111" s="549"/>
      <c r="T111" s="550"/>
      <c r="U111" s="550"/>
      <c r="V111" s="549"/>
      <c r="W111" s="550"/>
      <c r="X111" s="550"/>
      <c r="Y111" s="549"/>
      <c r="Z111" s="550"/>
      <c r="AA111" s="550"/>
      <c r="AB111" s="549"/>
      <c r="AC111" s="550"/>
      <c r="AD111" s="550"/>
      <c r="AE111" s="549"/>
      <c r="AF111" s="550"/>
      <c r="AG111" s="550"/>
      <c r="AH111" s="549"/>
      <c r="AI111" s="550"/>
      <c r="AJ111" s="550"/>
      <c r="AK111" s="549"/>
      <c r="AL111" s="550"/>
      <c r="AM111" s="550"/>
      <c r="AN111" s="549"/>
      <c r="AO111" s="550"/>
      <c r="AP111" s="550"/>
      <c r="AQ111" s="549"/>
      <c r="AR111" s="550"/>
      <c r="AS111" s="550"/>
      <c r="AT111" s="549"/>
      <c r="AU111" s="550"/>
      <c r="AV111" s="550"/>
      <c r="AW111" s="549"/>
      <c r="AX111" s="550"/>
      <c r="AY111" s="550"/>
      <c r="AZ111" s="549"/>
      <c r="BA111" s="550"/>
      <c r="BB111" s="550"/>
      <c r="BC111" s="550"/>
    </row>
    <row r="112" spans="1:55">
      <c r="A112" s="531" t="str">
        <f t="shared" si="10"/>
        <v>AQ</v>
      </c>
      <c r="B112" s="50" t="str">
        <f t="shared" si="11"/>
        <v>SIPPM25</v>
      </c>
      <c r="C112" s="50" t="s">
        <v>256</v>
      </c>
      <c r="D112" s="532" t="s">
        <v>266</v>
      </c>
      <c r="E112" s="50" t="s">
        <v>52</v>
      </c>
      <c r="F112" s="535" t="str">
        <f>R.9ComStrategyImpName4</f>
        <v xml:space="preserve"> </v>
      </c>
      <c r="G112" s="543">
        <f>R.9ComStrategyImpHrs4</f>
        <v>0</v>
      </c>
      <c r="H112" s="544">
        <f>Table3[[#This Row],[Hrs Rank]]</f>
        <v>0</v>
      </c>
      <c r="I112" s="534">
        <f t="shared" si="8"/>
        <v>0</v>
      </c>
      <c r="J112" s="534">
        <f t="shared" si="9"/>
        <v>0</v>
      </c>
      <c r="K112" s="546"/>
      <c r="L112" s="546"/>
      <c r="M112" s="547" t="s">
        <v>223</v>
      </c>
      <c r="N112" s="547" t="s">
        <v>223</v>
      </c>
      <c r="O112" s="548"/>
      <c r="P112" s="549"/>
      <c r="Q112" s="550"/>
      <c r="R112" s="550"/>
      <c r="S112" s="549"/>
      <c r="T112" s="550"/>
      <c r="U112" s="550"/>
      <c r="V112" s="549"/>
      <c r="W112" s="550"/>
      <c r="X112" s="550"/>
      <c r="Y112" s="549"/>
      <c r="Z112" s="550"/>
      <c r="AA112" s="550"/>
      <c r="AB112" s="549"/>
      <c r="AC112" s="550"/>
      <c r="AD112" s="550"/>
      <c r="AE112" s="549"/>
      <c r="AF112" s="550"/>
      <c r="AG112" s="550"/>
      <c r="AH112" s="549"/>
      <c r="AI112" s="550"/>
      <c r="AJ112" s="550"/>
      <c r="AK112" s="549"/>
      <c r="AL112" s="550"/>
      <c r="AM112" s="550"/>
      <c r="AN112" s="549"/>
      <c r="AO112" s="550"/>
      <c r="AP112" s="550"/>
      <c r="AQ112" s="549"/>
      <c r="AR112" s="550"/>
      <c r="AS112" s="550"/>
      <c r="AT112" s="549"/>
      <c r="AU112" s="550"/>
      <c r="AV112" s="550"/>
      <c r="AW112" s="549"/>
      <c r="AX112" s="550"/>
      <c r="AY112" s="550"/>
      <c r="AZ112" s="549"/>
      <c r="BA112" s="550"/>
      <c r="BB112" s="550"/>
      <c r="BC112" s="550"/>
    </row>
    <row r="113" spans="1:55" s="519" customFormat="1">
      <c r="A113" s="531" t="str">
        <f t="shared" ref="A113:A148" si="12">R.1Division</f>
        <v>AQ</v>
      </c>
      <c r="B113" s="50" t="str">
        <f t="shared" ref="B113:B148" si="13">R.1CodeName</f>
        <v>SIPPM25</v>
      </c>
      <c r="C113" s="50" t="s">
        <v>256</v>
      </c>
      <c r="D113" s="532" t="s">
        <v>267</v>
      </c>
      <c r="E113" s="50" t="s">
        <v>53</v>
      </c>
      <c r="F113" s="535">
        <f>R.9PRDevName1</f>
        <v>0</v>
      </c>
      <c r="G113" s="543">
        <f>R.9PRDevHrs1</f>
        <v>0</v>
      </c>
      <c r="H113" s="544">
        <f>Table3[[#This Row],[Hrs Rank]]</f>
        <v>0</v>
      </c>
      <c r="I113" s="534">
        <f t="shared" si="8"/>
        <v>0</v>
      </c>
      <c r="J113" s="534">
        <f t="shared" si="9"/>
        <v>0</v>
      </c>
      <c r="K113" s="546"/>
      <c r="L113" s="546"/>
      <c r="M113" s="547" t="s">
        <v>223</v>
      </c>
      <c r="N113" s="547" t="s">
        <v>223</v>
      </c>
      <c r="O113" s="548"/>
      <c r="P113" s="549"/>
      <c r="Q113" s="550"/>
      <c r="R113" s="550"/>
      <c r="S113" s="549"/>
      <c r="T113" s="550"/>
      <c r="U113" s="550"/>
      <c r="V113" s="549"/>
      <c r="W113" s="550"/>
      <c r="X113" s="550"/>
      <c r="Y113" s="549"/>
      <c r="Z113" s="550"/>
      <c r="AA113" s="550"/>
      <c r="AB113" s="549"/>
      <c r="AC113" s="550"/>
      <c r="AD113" s="550"/>
      <c r="AE113" s="549"/>
      <c r="AF113" s="550"/>
      <c r="AG113" s="550"/>
      <c r="AH113" s="549"/>
      <c r="AI113" s="550"/>
      <c r="AJ113" s="550"/>
      <c r="AK113" s="549"/>
      <c r="AL113" s="550"/>
      <c r="AM113" s="550"/>
      <c r="AN113" s="549"/>
      <c r="AO113" s="550"/>
      <c r="AP113" s="550"/>
      <c r="AQ113" s="549"/>
      <c r="AR113" s="550"/>
      <c r="AS113" s="550"/>
      <c r="AT113" s="549"/>
      <c r="AU113" s="550"/>
      <c r="AV113" s="550"/>
      <c r="AW113" s="549"/>
      <c r="AX113" s="550"/>
      <c r="AY113" s="550"/>
      <c r="AZ113" s="549"/>
      <c r="BA113" s="550"/>
      <c r="BB113" s="550"/>
      <c r="BC113" s="550"/>
    </row>
    <row r="114" spans="1:55" s="519" customFormat="1">
      <c r="A114" s="531" t="str">
        <f t="shared" si="12"/>
        <v>AQ</v>
      </c>
      <c r="B114" s="50" t="str">
        <f t="shared" si="13"/>
        <v>SIPPM25</v>
      </c>
      <c r="C114" s="50" t="s">
        <v>256</v>
      </c>
      <c r="D114" s="532" t="s">
        <v>267</v>
      </c>
      <c r="E114" s="50" t="s">
        <v>53</v>
      </c>
      <c r="F114" s="535" t="str">
        <f>R.9PRDevName2</f>
        <v xml:space="preserve"> </v>
      </c>
      <c r="G114" s="543">
        <f>R.9PRDevHrs2</f>
        <v>0</v>
      </c>
      <c r="H114" s="544">
        <f>Table3[[#This Row],[Hrs Rank]]</f>
        <v>0</v>
      </c>
      <c r="I114" s="534">
        <f t="shared" si="8"/>
        <v>0</v>
      </c>
      <c r="J114" s="534">
        <f t="shared" si="9"/>
        <v>0</v>
      </c>
      <c r="K114" s="546"/>
      <c r="L114" s="546"/>
      <c r="M114" s="547" t="s">
        <v>223</v>
      </c>
      <c r="N114" s="547" t="s">
        <v>223</v>
      </c>
      <c r="O114" s="548"/>
      <c r="P114" s="549"/>
      <c r="Q114" s="550"/>
      <c r="R114" s="550"/>
      <c r="S114" s="549"/>
      <c r="T114" s="550"/>
      <c r="U114" s="550"/>
      <c r="V114" s="549"/>
      <c r="W114" s="550"/>
      <c r="X114" s="550"/>
      <c r="Y114" s="549"/>
      <c r="Z114" s="550"/>
      <c r="AA114" s="550"/>
      <c r="AB114" s="549"/>
      <c r="AC114" s="550"/>
      <c r="AD114" s="550"/>
      <c r="AE114" s="549"/>
      <c r="AF114" s="550"/>
      <c r="AG114" s="550"/>
      <c r="AH114" s="549"/>
      <c r="AI114" s="550"/>
      <c r="AJ114" s="550"/>
      <c r="AK114" s="549"/>
      <c r="AL114" s="550"/>
      <c r="AM114" s="550"/>
      <c r="AN114" s="549"/>
      <c r="AO114" s="550"/>
      <c r="AP114" s="550"/>
      <c r="AQ114" s="549"/>
      <c r="AR114" s="550"/>
      <c r="AS114" s="550"/>
      <c r="AT114" s="549"/>
      <c r="AU114" s="550"/>
      <c r="AV114" s="550"/>
      <c r="AW114" s="549"/>
      <c r="AX114" s="550"/>
      <c r="AY114" s="550"/>
      <c r="AZ114" s="549"/>
      <c r="BA114" s="550"/>
      <c r="BB114" s="550"/>
      <c r="BC114" s="550"/>
    </row>
    <row r="115" spans="1:55" s="519" customFormat="1">
      <c r="A115" s="531" t="str">
        <f t="shared" si="12"/>
        <v>AQ</v>
      </c>
      <c r="B115" s="50" t="str">
        <f t="shared" si="13"/>
        <v>SIPPM25</v>
      </c>
      <c r="C115" s="50" t="s">
        <v>256</v>
      </c>
      <c r="D115" s="532" t="s">
        <v>267</v>
      </c>
      <c r="E115" s="50" t="s">
        <v>53</v>
      </c>
      <c r="F115" s="535" t="str">
        <f>R.9PRDevName3</f>
        <v xml:space="preserve"> </v>
      </c>
      <c r="G115" s="543">
        <f>R.9PRDevHrs3</f>
        <v>0</v>
      </c>
      <c r="H115" s="544">
        <f>Table3[[#This Row],[Hrs Rank]]</f>
        <v>0</v>
      </c>
      <c r="I115" s="534">
        <f t="shared" si="8"/>
        <v>0</v>
      </c>
      <c r="J115" s="534">
        <f t="shared" si="9"/>
        <v>0</v>
      </c>
      <c r="K115" s="546"/>
      <c r="L115" s="546"/>
      <c r="M115" s="547" t="s">
        <v>223</v>
      </c>
      <c r="N115" s="547" t="s">
        <v>223</v>
      </c>
      <c r="O115" s="548"/>
      <c r="P115" s="549"/>
      <c r="Q115" s="550"/>
      <c r="R115" s="550"/>
      <c r="S115" s="549"/>
      <c r="T115" s="550"/>
      <c r="U115" s="550"/>
      <c r="V115" s="549"/>
      <c r="W115" s="550"/>
      <c r="X115" s="550"/>
      <c r="Y115" s="549"/>
      <c r="Z115" s="550"/>
      <c r="AA115" s="550"/>
      <c r="AB115" s="549"/>
      <c r="AC115" s="550"/>
      <c r="AD115" s="550"/>
      <c r="AE115" s="549"/>
      <c r="AF115" s="550"/>
      <c r="AG115" s="550"/>
      <c r="AH115" s="549"/>
      <c r="AI115" s="550"/>
      <c r="AJ115" s="550"/>
      <c r="AK115" s="549"/>
      <c r="AL115" s="550"/>
      <c r="AM115" s="550"/>
      <c r="AN115" s="549"/>
      <c r="AO115" s="550"/>
      <c r="AP115" s="550"/>
      <c r="AQ115" s="549"/>
      <c r="AR115" s="550"/>
      <c r="AS115" s="550"/>
      <c r="AT115" s="549"/>
      <c r="AU115" s="550"/>
      <c r="AV115" s="550"/>
      <c r="AW115" s="549"/>
      <c r="AX115" s="550"/>
      <c r="AY115" s="550"/>
      <c r="AZ115" s="549"/>
      <c r="BA115" s="550"/>
      <c r="BB115" s="550"/>
      <c r="BC115" s="550"/>
    </row>
    <row r="116" spans="1:55" s="519" customFormat="1">
      <c r="A116" s="531" t="str">
        <f t="shared" si="12"/>
        <v>AQ</v>
      </c>
      <c r="B116" s="50" t="str">
        <f t="shared" si="13"/>
        <v>SIPPM25</v>
      </c>
      <c r="C116" s="50" t="s">
        <v>256</v>
      </c>
      <c r="D116" s="532" t="s">
        <v>267</v>
      </c>
      <c r="E116" s="50" t="s">
        <v>53</v>
      </c>
      <c r="F116" s="535" t="str">
        <f>R.9PRDevName4</f>
        <v xml:space="preserve"> </v>
      </c>
      <c r="G116" s="543">
        <f>R.9PRDevHrs4</f>
        <v>0</v>
      </c>
      <c r="H116" s="544">
        <f>Table3[[#This Row],[Hrs Rank]]</f>
        <v>0</v>
      </c>
      <c r="I116" s="534">
        <f t="shared" si="8"/>
        <v>0</v>
      </c>
      <c r="J116" s="534">
        <f t="shared" si="9"/>
        <v>0</v>
      </c>
      <c r="K116" s="546"/>
      <c r="L116" s="546"/>
      <c r="M116" s="547" t="s">
        <v>223</v>
      </c>
      <c r="N116" s="547" t="s">
        <v>223</v>
      </c>
      <c r="O116" s="548"/>
      <c r="P116" s="549"/>
      <c r="Q116" s="550"/>
      <c r="R116" s="550"/>
      <c r="S116" s="549"/>
      <c r="T116" s="550"/>
      <c r="U116" s="550"/>
      <c r="V116" s="549"/>
      <c r="W116" s="550"/>
      <c r="X116" s="550"/>
      <c r="Y116" s="549"/>
      <c r="Z116" s="550"/>
      <c r="AA116" s="550"/>
      <c r="AB116" s="549"/>
      <c r="AC116" s="550"/>
      <c r="AD116" s="550"/>
      <c r="AE116" s="549"/>
      <c r="AF116" s="550"/>
      <c r="AG116" s="550"/>
      <c r="AH116" s="549"/>
      <c r="AI116" s="550"/>
      <c r="AJ116" s="550"/>
      <c r="AK116" s="549"/>
      <c r="AL116" s="550"/>
      <c r="AM116" s="550"/>
      <c r="AN116" s="549"/>
      <c r="AO116" s="550"/>
      <c r="AP116" s="550"/>
      <c r="AQ116" s="549"/>
      <c r="AR116" s="550"/>
      <c r="AS116" s="550"/>
      <c r="AT116" s="549"/>
      <c r="AU116" s="550"/>
      <c r="AV116" s="550"/>
      <c r="AW116" s="549"/>
      <c r="AX116" s="550"/>
      <c r="AY116" s="550"/>
      <c r="AZ116" s="549"/>
      <c r="BA116" s="550"/>
      <c r="BB116" s="550"/>
      <c r="BC116" s="550"/>
    </row>
    <row r="117" spans="1:55" s="519" customFormat="1">
      <c r="A117" s="531" t="str">
        <f t="shared" si="12"/>
        <v>AQ</v>
      </c>
      <c r="B117" s="50" t="str">
        <f t="shared" si="13"/>
        <v>SIPPM25</v>
      </c>
      <c r="C117" s="50" t="s">
        <v>256</v>
      </c>
      <c r="D117" s="532" t="s">
        <v>267</v>
      </c>
      <c r="E117" s="50" t="s">
        <v>52</v>
      </c>
      <c r="F117" s="535" t="str">
        <f>R.9PRImpName1</f>
        <v>William Knight</v>
      </c>
      <c r="G117" s="543">
        <f>R.9PRImpHrs1</f>
        <v>0</v>
      </c>
      <c r="H117" s="544">
        <f>Table3[[#This Row],[Hrs Rank]]</f>
        <v>0</v>
      </c>
      <c r="I117" s="534">
        <f t="shared" si="8"/>
        <v>0</v>
      </c>
      <c r="J117" s="534">
        <f t="shared" si="9"/>
        <v>0</v>
      </c>
      <c r="K117" s="546"/>
      <c r="L117" s="546"/>
      <c r="M117" s="547" t="s">
        <v>223</v>
      </c>
      <c r="N117" s="547" t="s">
        <v>223</v>
      </c>
      <c r="O117" s="548"/>
      <c r="P117" s="549"/>
      <c r="Q117" s="550"/>
      <c r="R117" s="550"/>
      <c r="S117" s="549"/>
      <c r="T117" s="550"/>
      <c r="U117" s="550"/>
      <c r="V117" s="549"/>
      <c r="W117" s="550"/>
      <c r="X117" s="550"/>
      <c r="Y117" s="549"/>
      <c r="Z117" s="550"/>
      <c r="AA117" s="550"/>
      <c r="AB117" s="549"/>
      <c r="AC117" s="550"/>
      <c r="AD117" s="550"/>
      <c r="AE117" s="549"/>
      <c r="AF117" s="550"/>
      <c r="AG117" s="550"/>
      <c r="AH117" s="549"/>
      <c r="AI117" s="550"/>
      <c r="AJ117" s="550"/>
      <c r="AK117" s="549"/>
      <c r="AL117" s="550"/>
      <c r="AM117" s="550"/>
      <c r="AN117" s="549"/>
      <c r="AO117" s="550"/>
      <c r="AP117" s="550"/>
      <c r="AQ117" s="549"/>
      <c r="AR117" s="550"/>
      <c r="AS117" s="550"/>
      <c r="AT117" s="549"/>
      <c r="AU117" s="550"/>
      <c r="AV117" s="550"/>
      <c r="AW117" s="549"/>
      <c r="AX117" s="550"/>
      <c r="AY117" s="550"/>
      <c r="AZ117" s="549"/>
      <c r="BA117" s="550"/>
      <c r="BB117" s="550"/>
      <c r="BC117" s="550"/>
    </row>
    <row r="118" spans="1:55" s="519" customFormat="1">
      <c r="A118" s="531" t="str">
        <f t="shared" si="12"/>
        <v>AQ</v>
      </c>
      <c r="B118" s="50" t="str">
        <f t="shared" si="13"/>
        <v>SIPPM25</v>
      </c>
      <c r="C118" s="50" t="s">
        <v>256</v>
      </c>
      <c r="D118" s="532" t="s">
        <v>267</v>
      </c>
      <c r="E118" s="50" t="s">
        <v>52</v>
      </c>
      <c r="F118" s="535" t="str">
        <f>R.9PRImpName2</f>
        <v xml:space="preserve"> </v>
      </c>
      <c r="G118" s="543">
        <f>R.9PRImpHrs2</f>
        <v>0</v>
      </c>
      <c r="H118" s="544">
        <f>Table3[[#This Row],[Hrs Rank]]</f>
        <v>0</v>
      </c>
      <c r="I118" s="534">
        <f t="shared" si="8"/>
        <v>0</v>
      </c>
      <c r="J118" s="534">
        <f t="shared" si="9"/>
        <v>0</v>
      </c>
      <c r="K118" s="546"/>
      <c r="L118" s="546"/>
      <c r="M118" s="547" t="s">
        <v>223</v>
      </c>
      <c r="N118" s="547" t="s">
        <v>223</v>
      </c>
      <c r="O118" s="548"/>
      <c r="P118" s="549"/>
      <c r="Q118" s="550"/>
      <c r="R118" s="550"/>
      <c r="S118" s="549"/>
      <c r="T118" s="550"/>
      <c r="U118" s="550"/>
      <c r="V118" s="549"/>
      <c r="W118" s="550"/>
      <c r="X118" s="550"/>
      <c r="Y118" s="549"/>
      <c r="Z118" s="550"/>
      <c r="AA118" s="550"/>
      <c r="AB118" s="549"/>
      <c r="AC118" s="550"/>
      <c r="AD118" s="550"/>
      <c r="AE118" s="549"/>
      <c r="AF118" s="550"/>
      <c r="AG118" s="550"/>
      <c r="AH118" s="549"/>
      <c r="AI118" s="550"/>
      <c r="AJ118" s="550"/>
      <c r="AK118" s="549"/>
      <c r="AL118" s="550"/>
      <c r="AM118" s="550"/>
      <c r="AN118" s="549"/>
      <c r="AO118" s="550"/>
      <c r="AP118" s="550"/>
      <c r="AQ118" s="549"/>
      <c r="AR118" s="550"/>
      <c r="AS118" s="550"/>
      <c r="AT118" s="549"/>
      <c r="AU118" s="550"/>
      <c r="AV118" s="550"/>
      <c r="AW118" s="549"/>
      <c r="AX118" s="550"/>
      <c r="AY118" s="550"/>
      <c r="AZ118" s="549"/>
      <c r="BA118" s="550"/>
      <c r="BB118" s="550"/>
      <c r="BC118" s="550"/>
    </row>
    <row r="119" spans="1:55" s="519" customFormat="1">
      <c r="A119" s="531" t="str">
        <f t="shared" si="12"/>
        <v>AQ</v>
      </c>
      <c r="B119" s="50" t="str">
        <f t="shared" si="13"/>
        <v>SIPPM25</v>
      </c>
      <c r="C119" s="50" t="s">
        <v>256</v>
      </c>
      <c r="D119" s="532" t="s">
        <v>267</v>
      </c>
      <c r="E119" s="50" t="s">
        <v>52</v>
      </c>
      <c r="F119" s="535" t="str">
        <f>R.9PRImpName3</f>
        <v xml:space="preserve"> </v>
      </c>
      <c r="G119" s="543">
        <f>R.9PRImpHrs3</f>
        <v>0</v>
      </c>
      <c r="H119" s="544">
        <f>Table3[[#This Row],[Hrs Rank]]</f>
        <v>0</v>
      </c>
      <c r="I119" s="534">
        <f t="shared" si="8"/>
        <v>0</v>
      </c>
      <c r="J119" s="534">
        <f t="shared" si="9"/>
        <v>0</v>
      </c>
      <c r="K119" s="546"/>
      <c r="L119" s="546"/>
      <c r="M119" s="547" t="s">
        <v>223</v>
      </c>
      <c r="N119" s="547" t="s">
        <v>223</v>
      </c>
      <c r="O119" s="548"/>
      <c r="P119" s="549"/>
      <c r="Q119" s="550"/>
      <c r="R119" s="550"/>
      <c r="S119" s="549"/>
      <c r="T119" s="550"/>
      <c r="U119" s="550"/>
      <c r="V119" s="549"/>
      <c r="W119" s="550"/>
      <c r="X119" s="550"/>
      <c r="Y119" s="549"/>
      <c r="Z119" s="550"/>
      <c r="AA119" s="550"/>
      <c r="AB119" s="549"/>
      <c r="AC119" s="550"/>
      <c r="AD119" s="550"/>
      <c r="AE119" s="549"/>
      <c r="AF119" s="550"/>
      <c r="AG119" s="550"/>
      <c r="AH119" s="549"/>
      <c r="AI119" s="550"/>
      <c r="AJ119" s="550"/>
      <c r="AK119" s="549"/>
      <c r="AL119" s="550"/>
      <c r="AM119" s="550"/>
      <c r="AN119" s="549"/>
      <c r="AO119" s="550"/>
      <c r="AP119" s="550"/>
      <c r="AQ119" s="549"/>
      <c r="AR119" s="550"/>
      <c r="AS119" s="550"/>
      <c r="AT119" s="549"/>
      <c r="AU119" s="550"/>
      <c r="AV119" s="550"/>
      <c r="AW119" s="549"/>
      <c r="AX119" s="550"/>
      <c r="AY119" s="550"/>
      <c r="AZ119" s="549"/>
      <c r="BA119" s="550"/>
      <c r="BB119" s="550"/>
      <c r="BC119" s="550"/>
    </row>
    <row r="120" spans="1:55" s="519" customFormat="1">
      <c r="A120" s="531" t="str">
        <f t="shared" si="12"/>
        <v>AQ</v>
      </c>
      <c r="B120" s="50" t="str">
        <f t="shared" si="13"/>
        <v>SIPPM25</v>
      </c>
      <c r="C120" s="50" t="s">
        <v>256</v>
      </c>
      <c r="D120" s="532" t="s">
        <v>267</v>
      </c>
      <c r="E120" s="50" t="s">
        <v>52</v>
      </c>
      <c r="F120" s="535" t="str">
        <f>R.9PRImpName4</f>
        <v xml:space="preserve"> </v>
      </c>
      <c r="G120" s="543">
        <f>R.9PRImpHrs4</f>
        <v>0</v>
      </c>
      <c r="H120" s="544">
        <f>Table3[[#This Row],[Hrs Rank]]</f>
        <v>0</v>
      </c>
      <c r="I120" s="534">
        <f t="shared" si="8"/>
        <v>0</v>
      </c>
      <c r="J120" s="534">
        <f t="shared" si="9"/>
        <v>0</v>
      </c>
      <c r="K120" s="546"/>
      <c r="L120" s="546"/>
      <c r="M120" s="547" t="s">
        <v>223</v>
      </c>
      <c r="N120" s="547" t="s">
        <v>223</v>
      </c>
      <c r="O120" s="548"/>
      <c r="P120" s="549"/>
      <c r="Q120" s="550"/>
      <c r="R120" s="550"/>
      <c r="S120" s="549"/>
      <c r="T120" s="550"/>
      <c r="U120" s="550"/>
      <c r="V120" s="549"/>
      <c r="W120" s="550"/>
      <c r="X120" s="550"/>
      <c r="Y120" s="549"/>
      <c r="Z120" s="550"/>
      <c r="AA120" s="550"/>
      <c r="AB120" s="549"/>
      <c r="AC120" s="550"/>
      <c r="AD120" s="550"/>
      <c r="AE120" s="549"/>
      <c r="AF120" s="550"/>
      <c r="AG120" s="550"/>
      <c r="AH120" s="549"/>
      <c r="AI120" s="550"/>
      <c r="AJ120" s="550"/>
      <c r="AK120" s="549"/>
      <c r="AL120" s="550"/>
      <c r="AM120" s="550"/>
      <c r="AN120" s="549"/>
      <c r="AO120" s="550"/>
      <c r="AP120" s="550"/>
      <c r="AQ120" s="549"/>
      <c r="AR120" s="550"/>
      <c r="AS120" s="550"/>
      <c r="AT120" s="549"/>
      <c r="AU120" s="550"/>
      <c r="AV120" s="550"/>
      <c r="AW120" s="549"/>
      <c r="AX120" s="550"/>
      <c r="AY120" s="550"/>
      <c r="AZ120" s="549"/>
      <c r="BA120" s="550"/>
      <c r="BB120" s="550"/>
      <c r="BC120" s="550"/>
    </row>
    <row r="121" spans="1:55" s="519" customFormat="1">
      <c r="A121" s="531" t="str">
        <f t="shared" si="12"/>
        <v>AQ</v>
      </c>
      <c r="B121" s="50" t="str">
        <f t="shared" si="13"/>
        <v>SIPPM25</v>
      </c>
      <c r="C121" s="50" t="s">
        <v>256</v>
      </c>
      <c r="D121" s="532" t="s">
        <v>106</v>
      </c>
      <c r="E121" s="50" t="s">
        <v>53</v>
      </c>
      <c r="F121" s="535" t="str">
        <f>R.9WebDevName1</f>
        <v>Elle Kozlowski</v>
      </c>
      <c r="G121" s="543">
        <f>R.9WebDevHrs1</f>
        <v>0</v>
      </c>
      <c r="H121" s="544">
        <f>Table3[[#This Row],[Hrs Rank]]</f>
        <v>0</v>
      </c>
      <c r="I121" s="534">
        <f t="shared" si="8"/>
        <v>0</v>
      </c>
      <c r="J121" s="534">
        <f t="shared" si="9"/>
        <v>0</v>
      </c>
      <c r="K121" s="546"/>
      <c r="L121" s="546"/>
      <c r="M121" s="547" t="s">
        <v>223</v>
      </c>
      <c r="N121" s="547" t="s">
        <v>223</v>
      </c>
      <c r="O121" s="548"/>
      <c r="P121" s="549"/>
      <c r="Q121" s="550"/>
      <c r="R121" s="550"/>
      <c r="S121" s="549"/>
      <c r="T121" s="550"/>
      <c r="U121" s="550"/>
      <c r="V121" s="549"/>
      <c r="W121" s="550"/>
      <c r="X121" s="550"/>
      <c r="Y121" s="549"/>
      <c r="Z121" s="550"/>
      <c r="AA121" s="550"/>
      <c r="AB121" s="549"/>
      <c r="AC121" s="550"/>
      <c r="AD121" s="550"/>
      <c r="AE121" s="549"/>
      <c r="AF121" s="550"/>
      <c r="AG121" s="550"/>
      <c r="AH121" s="549"/>
      <c r="AI121" s="550"/>
      <c r="AJ121" s="550"/>
      <c r="AK121" s="549"/>
      <c r="AL121" s="550"/>
      <c r="AM121" s="550"/>
      <c r="AN121" s="549"/>
      <c r="AO121" s="550"/>
      <c r="AP121" s="550"/>
      <c r="AQ121" s="549"/>
      <c r="AR121" s="550"/>
      <c r="AS121" s="550"/>
      <c r="AT121" s="549"/>
      <c r="AU121" s="550"/>
      <c r="AV121" s="550"/>
      <c r="AW121" s="549"/>
      <c r="AX121" s="550"/>
      <c r="AY121" s="550"/>
      <c r="AZ121" s="549"/>
      <c r="BA121" s="550"/>
      <c r="BB121" s="550"/>
      <c r="BC121" s="550"/>
    </row>
    <row r="122" spans="1:55" s="519" customFormat="1">
      <c r="A122" s="531" t="str">
        <f t="shared" si="12"/>
        <v>AQ</v>
      </c>
      <c r="B122" s="50" t="str">
        <f t="shared" si="13"/>
        <v>SIPPM25</v>
      </c>
      <c r="C122" s="50" t="s">
        <v>256</v>
      </c>
      <c r="D122" s="532" t="s">
        <v>106</v>
      </c>
      <c r="E122" s="50" t="s">
        <v>53</v>
      </c>
      <c r="F122" s="535" t="str">
        <f>R.9WebDevName2</f>
        <v xml:space="preserve"> </v>
      </c>
      <c r="G122" s="543">
        <f>R.9WebDevHrs2</f>
        <v>0</v>
      </c>
      <c r="H122" s="544">
        <f>Table3[[#This Row],[Hrs Rank]]</f>
        <v>0</v>
      </c>
      <c r="I122" s="534">
        <f t="shared" si="8"/>
        <v>0</v>
      </c>
      <c r="J122" s="534">
        <f t="shared" si="9"/>
        <v>0</v>
      </c>
      <c r="K122" s="546"/>
      <c r="L122" s="546"/>
      <c r="M122" s="547" t="s">
        <v>223</v>
      </c>
      <c r="N122" s="547" t="s">
        <v>223</v>
      </c>
      <c r="O122" s="548"/>
      <c r="P122" s="549"/>
      <c r="Q122" s="550"/>
      <c r="R122" s="550"/>
      <c r="S122" s="549"/>
      <c r="T122" s="550"/>
      <c r="U122" s="550"/>
      <c r="V122" s="549"/>
      <c r="W122" s="550"/>
      <c r="X122" s="550"/>
      <c r="Y122" s="549"/>
      <c r="Z122" s="550"/>
      <c r="AA122" s="550"/>
      <c r="AB122" s="549"/>
      <c r="AC122" s="550"/>
      <c r="AD122" s="550"/>
      <c r="AE122" s="549"/>
      <c r="AF122" s="550"/>
      <c r="AG122" s="550"/>
      <c r="AH122" s="549"/>
      <c r="AI122" s="550"/>
      <c r="AJ122" s="550"/>
      <c r="AK122" s="549"/>
      <c r="AL122" s="550"/>
      <c r="AM122" s="550"/>
      <c r="AN122" s="549"/>
      <c r="AO122" s="550"/>
      <c r="AP122" s="550"/>
      <c r="AQ122" s="549"/>
      <c r="AR122" s="550"/>
      <c r="AS122" s="550"/>
      <c r="AT122" s="549"/>
      <c r="AU122" s="550"/>
      <c r="AV122" s="550"/>
      <c r="AW122" s="549"/>
      <c r="AX122" s="550"/>
      <c r="AY122" s="550"/>
      <c r="AZ122" s="549"/>
      <c r="BA122" s="550"/>
      <c r="BB122" s="550"/>
      <c r="BC122" s="550"/>
    </row>
    <row r="123" spans="1:55" s="519" customFormat="1">
      <c r="A123" s="531" t="str">
        <f t="shared" si="12"/>
        <v>AQ</v>
      </c>
      <c r="B123" s="50" t="str">
        <f t="shared" si="13"/>
        <v>SIPPM25</v>
      </c>
      <c r="C123" s="50" t="s">
        <v>256</v>
      </c>
      <c r="D123" s="532" t="s">
        <v>106</v>
      </c>
      <c r="E123" s="50" t="s">
        <v>53</v>
      </c>
      <c r="F123" s="535" t="str">
        <f>R.9WebDevName3</f>
        <v xml:space="preserve"> </v>
      </c>
      <c r="G123" s="543">
        <f>R.9WebDevHrs3</f>
        <v>0</v>
      </c>
      <c r="H123" s="544">
        <f>Table3[[#This Row],[Hrs Rank]]</f>
        <v>0</v>
      </c>
      <c r="I123" s="534">
        <f t="shared" si="8"/>
        <v>0</v>
      </c>
      <c r="J123" s="534">
        <f t="shared" si="9"/>
        <v>0</v>
      </c>
      <c r="K123" s="546"/>
      <c r="L123" s="546"/>
      <c r="M123" s="547" t="s">
        <v>223</v>
      </c>
      <c r="N123" s="547" t="s">
        <v>223</v>
      </c>
      <c r="O123" s="548"/>
      <c r="P123" s="549"/>
      <c r="Q123" s="550"/>
      <c r="R123" s="550"/>
      <c r="S123" s="549"/>
      <c r="T123" s="550"/>
      <c r="U123" s="550"/>
      <c r="V123" s="549"/>
      <c r="W123" s="550"/>
      <c r="X123" s="550"/>
      <c r="Y123" s="549"/>
      <c r="Z123" s="550"/>
      <c r="AA123" s="550"/>
      <c r="AB123" s="549"/>
      <c r="AC123" s="550"/>
      <c r="AD123" s="550"/>
      <c r="AE123" s="549"/>
      <c r="AF123" s="550"/>
      <c r="AG123" s="550"/>
      <c r="AH123" s="549"/>
      <c r="AI123" s="550"/>
      <c r="AJ123" s="550"/>
      <c r="AK123" s="549"/>
      <c r="AL123" s="550"/>
      <c r="AM123" s="550"/>
      <c r="AN123" s="549"/>
      <c r="AO123" s="550"/>
      <c r="AP123" s="550"/>
      <c r="AQ123" s="549"/>
      <c r="AR123" s="550"/>
      <c r="AS123" s="550"/>
      <c r="AT123" s="549"/>
      <c r="AU123" s="550"/>
      <c r="AV123" s="550"/>
      <c r="AW123" s="549"/>
      <c r="AX123" s="550"/>
      <c r="AY123" s="550"/>
      <c r="AZ123" s="549"/>
      <c r="BA123" s="550"/>
      <c r="BB123" s="550"/>
      <c r="BC123" s="550"/>
    </row>
    <row r="124" spans="1:55" s="519" customFormat="1">
      <c r="A124" s="531" t="str">
        <f t="shared" si="12"/>
        <v>AQ</v>
      </c>
      <c r="B124" s="50" t="str">
        <f t="shared" si="13"/>
        <v>SIPPM25</v>
      </c>
      <c r="C124" s="50" t="s">
        <v>256</v>
      </c>
      <c r="D124" s="532" t="s">
        <v>106</v>
      </c>
      <c r="E124" s="50" t="s">
        <v>53</v>
      </c>
      <c r="F124" s="535" t="str">
        <f>R.9WebDevName4</f>
        <v xml:space="preserve"> </v>
      </c>
      <c r="G124" s="543">
        <f>R.9WebDevHrs4</f>
        <v>0</v>
      </c>
      <c r="H124" s="544">
        <f>Table3[[#This Row],[Hrs Rank]]</f>
        <v>0</v>
      </c>
      <c r="I124" s="534">
        <f t="shared" si="8"/>
        <v>0</v>
      </c>
      <c r="J124" s="534">
        <f t="shared" si="9"/>
        <v>0</v>
      </c>
      <c r="K124" s="546"/>
      <c r="L124" s="546"/>
      <c r="M124" s="547" t="s">
        <v>223</v>
      </c>
      <c r="N124" s="547" t="s">
        <v>223</v>
      </c>
      <c r="O124" s="548"/>
      <c r="P124" s="549"/>
      <c r="Q124" s="550"/>
      <c r="R124" s="550"/>
      <c r="S124" s="549"/>
      <c r="T124" s="550"/>
      <c r="U124" s="550"/>
      <c r="V124" s="549"/>
      <c r="W124" s="550"/>
      <c r="X124" s="550"/>
      <c r="Y124" s="549"/>
      <c r="Z124" s="550"/>
      <c r="AA124" s="550"/>
      <c r="AB124" s="549"/>
      <c r="AC124" s="550"/>
      <c r="AD124" s="550"/>
      <c r="AE124" s="549"/>
      <c r="AF124" s="550"/>
      <c r="AG124" s="550"/>
      <c r="AH124" s="549"/>
      <c r="AI124" s="550"/>
      <c r="AJ124" s="550"/>
      <c r="AK124" s="549"/>
      <c r="AL124" s="550"/>
      <c r="AM124" s="550"/>
      <c r="AN124" s="549"/>
      <c r="AO124" s="550"/>
      <c r="AP124" s="550"/>
      <c r="AQ124" s="549"/>
      <c r="AR124" s="550"/>
      <c r="AS124" s="550"/>
      <c r="AT124" s="549"/>
      <c r="AU124" s="550"/>
      <c r="AV124" s="550"/>
      <c r="AW124" s="549"/>
      <c r="AX124" s="550"/>
      <c r="AY124" s="550"/>
      <c r="AZ124" s="549"/>
      <c r="BA124" s="550"/>
      <c r="BB124" s="550"/>
      <c r="BC124" s="550"/>
    </row>
    <row r="125" spans="1:55" s="519" customFormat="1">
      <c r="A125" s="531" t="str">
        <f t="shared" si="12"/>
        <v>AQ</v>
      </c>
      <c r="B125" s="50" t="str">
        <f t="shared" si="13"/>
        <v>SIPPM25</v>
      </c>
      <c r="C125" s="50" t="s">
        <v>256</v>
      </c>
      <c r="D125" s="532" t="s">
        <v>106</v>
      </c>
      <c r="E125" s="50" t="s">
        <v>52</v>
      </c>
      <c r="F125" s="535" t="str">
        <f>R.9WebImpName1</f>
        <v>Elle Kozlowski</v>
      </c>
      <c r="G125" s="543">
        <f>R.9WebImpHrs1</f>
        <v>0</v>
      </c>
      <c r="H125" s="544">
        <f>Table3[[#This Row],[Hrs Rank]]</f>
        <v>0</v>
      </c>
      <c r="I125" s="534">
        <f t="shared" si="8"/>
        <v>0</v>
      </c>
      <c r="J125" s="534">
        <f t="shared" si="9"/>
        <v>0</v>
      </c>
      <c r="K125" s="546"/>
      <c r="L125" s="546"/>
      <c r="M125" s="547" t="s">
        <v>223</v>
      </c>
      <c r="N125" s="547" t="s">
        <v>223</v>
      </c>
      <c r="O125" s="548"/>
      <c r="P125" s="549"/>
      <c r="Q125" s="550"/>
      <c r="R125" s="550"/>
      <c r="S125" s="549"/>
      <c r="T125" s="550"/>
      <c r="U125" s="550"/>
      <c r="V125" s="549"/>
      <c r="W125" s="550"/>
      <c r="X125" s="550"/>
      <c r="Y125" s="549"/>
      <c r="Z125" s="550"/>
      <c r="AA125" s="550"/>
      <c r="AB125" s="549"/>
      <c r="AC125" s="550"/>
      <c r="AD125" s="550"/>
      <c r="AE125" s="549"/>
      <c r="AF125" s="550"/>
      <c r="AG125" s="550"/>
      <c r="AH125" s="549"/>
      <c r="AI125" s="550"/>
      <c r="AJ125" s="550"/>
      <c r="AK125" s="549"/>
      <c r="AL125" s="550"/>
      <c r="AM125" s="550"/>
      <c r="AN125" s="549"/>
      <c r="AO125" s="550"/>
      <c r="AP125" s="550"/>
      <c r="AQ125" s="549"/>
      <c r="AR125" s="550"/>
      <c r="AS125" s="550"/>
      <c r="AT125" s="549"/>
      <c r="AU125" s="550"/>
      <c r="AV125" s="550"/>
      <c r="AW125" s="549"/>
      <c r="AX125" s="550"/>
      <c r="AY125" s="550"/>
      <c r="AZ125" s="549"/>
      <c r="BA125" s="550"/>
      <c r="BB125" s="550"/>
      <c r="BC125" s="550"/>
    </row>
    <row r="126" spans="1:55" s="519" customFormat="1">
      <c r="A126" s="531" t="str">
        <f t="shared" si="12"/>
        <v>AQ</v>
      </c>
      <c r="B126" s="50" t="str">
        <f t="shared" si="13"/>
        <v>SIPPM25</v>
      </c>
      <c r="C126" s="50" t="s">
        <v>256</v>
      </c>
      <c r="D126" s="532" t="s">
        <v>106</v>
      </c>
      <c r="E126" s="50" t="s">
        <v>52</v>
      </c>
      <c r="F126" s="535" t="str">
        <f>R.9WebImpName2</f>
        <v xml:space="preserve"> </v>
      </c>
      <c r="G126" s="543">
        <f>R.9WebImpHrs2</f>
        <v>0</v>
      </c>
      <c r="H126" s="544">
        <f>Table3[[#This Row],[Hrs Rank]]</f>
        <v>0</v>
      </c>
      <c r="I126" s="534">
        <f t="shared" si="8"/>
        <v>0</v>
      </c>
      <c r="J126" s="534">
        <f t="shared" si="9"/>
        <v>0</v>
      </c>
      <c r="K126" s="546"/>
      <c r="L126" s="546"/>
      <c r="M126" s="547" t="s">
        <v>223</v>
      </c>
      <c r="N126" s="547" t="s">
        <v>223</v>
      </c>
      <c r="O126" s="548"/>
      <c r="P126" s="549"/>
      <c r="Q126" s="550"/>
      <c r="R126" s="550"/>
      <c r="S126" s="549"/>
      <c r="T126" s="550"/>
      <c r="U126" s="550"/>
      <c r="V126" s="549"/>
      <c r="W126" s="550"/>
      <c r="X126" s="550"/>
      <c r="Y126" s="549"/>
      <c r="Z126" s="550"/>
      <c r="AA126" s="550"/>
      <c r="AB126" s="549"/>
      <c r="AC126" s="550"/>
      <c r="AD126" s="550"/>
      <c r="AE126" s="549"/>
      <c r="AF126" s="550"/>
      <c r="AG126" s="550"/>
      <c r="AH126" s="549"/>
      <c r="AI126" s="550"/>
      <c r="AJ126" s="550"/>
      <c r="AK126" s="549"/>
      <c r="AL126" s="550"/>
      <c r="AM126" s="550"/>
      <c r="AN126" s="549"/>
      <c r="AO126" s="550"/>
      <c r="AP126" s="550"/>
      <c r="AQ126" s="549"/>
      <c r="AR126" s="550"/>
      <c r="AS126" s="550"/>
      <c r="AT126" s="549"/>
      <c r="AU126" s="550"/>
      <c r="AV126" s="550"/>
      <c r="AW126" s="549"/>
      <c r="AX126" s="550"/>
      <c r="AY126" s="550"/>
      <c r="AZ126" s="549"/>
      <c r="BA126" s="550"/>
      <c r="BB126" s="550"/>
      <c r="BC126" s="550"/>
    </row>
    <row r="127" spans="1:55" s="519" customFormat="1">
      <c r="A127" s="531" t="str">
        <f t="shared" si="12"/>
        <v>AQ</v>
      </c>
      <c r="B127" s="50" t="str">
        <f t="shared" si="13"/>
        <v>SIPPM25</v>
      </c>
      <c r="C127" s="50" t="s">
        <v>256</v>
      </c>
      <c r="D127" s="532" t="s">
        <v>106</v>
      </c>
      <c r="E127" s="50" t="s">
        <v>52</v>
      </c>
      <c r="F127" s="535" t="str">
        <f>R.9WebImpName3</f>
        <v xml:space="preserve"> </v>
      </c>
      <c r="G127" s="543">
        <f>R.9WebImpHrs3</f>
        <v>0</v>
      </c>
      <c r="H127" s="544">
        <f>Table3[[#This Row],[Hrs Rank]]</f>
        <v>0</v>
      </c>
      <c r="I127" s="534">
        <f t="shared" si="8"/>
        <v>0</v>
      </c>
      <c r="J127" s="534">
        <f t="shared" si="9"/>
        <v>0</v>
      </c>
      <c r="K127" s="546"/>
      <c r="L127" s="546"/>
      <c r="M127" s="547" t="s">
        <v>223</v>
      </c>
      <c r="N127" s="547" t="s">
        <v>223</v>
      </c>
      <c r="O127" s="548"/>
      <c r="P127" s="549"/>
      <c r="Q127" s="550"/>
      <c r="R127" s="550"/>
      <c r="S127" s="549"/>
      <c r="T127" s="550"/>
      <c r="U127" s="550"/>
      <c r="V127" s="549"/>
      <c r="W127" s="550"/>
      <c r="X127" s="550"/>
      <c r="Y127" s="549"/>
      <c r="Z127" s="550"/>
      <c r="AA127" s="550"/>
      <c r="AB127" s="549"/>
      <c r="AC127" s="550"/>
      <c r="AD127" s="550"/>
      <c r="AE127" s="549"/>
      <c r="AF127" s="550"/>
      <c r="AG127" s="550"/>
      <c r="AH127" s="549"/>
      <c r="AI127" s="550"/>
      <c r="AJ127" s="550"/>
      <c r="AK127" s="549"/>
      <c r="AL127" s="550"/>
      <c r="AM127" s="550"/>
      <c r="AN127" s="549"/>
      <c r="AO127" s="550"/>
      <c r="AP127" s="550"/>
      <c r="AQ127" s="549"/>
      <c r="AR127" s="550"/>
      <c r="AS127" s="550"/>
      <c r="AT127" s="549"/>
      <c r="AU127" s="550"/>
      <c r="AV127" s="550"/>
      <c r="AW127" s="549"/>
      <c r="AX127" s="550"/>
      <c r="AY127" s="550"/>
      <c r="AZ127" s="549"/>
      <c r="BA127" s="550"/>
      <c r="BB127" s="550"/>
      <c r="BC127" s="550"/>
    </row>
    <row r="128" spans="1:55" s="519" customFormat="1">
      <c r="A128" s="531" t="str">
        <f t="shared" si="12"/>
        <v>AQ</v>
      </c>
      <c r="B128" s="50" t="str">
        <f t="shared" si="13"/>
        <v>SIPPM25</v>
      </c>
      <c r="C128" s="50" t="s">
        <v>256</v>
      </c>
      <c r="D128" s="532" t="s">
        <v>106</v>
      </c>
      <c r="E128" s="50" t="s">
        <v>52</v>
      </c>
      <c r="F128" s="535" t="str">
        <f>R.9WebImpName4</f>
        <v xml:space="preserve"> </v>
      </c>
      <c r="G128" s="543">
        <f>R.9WebImpHrs4</f>
        <v>0</v>
      </c>
      <c r="H128" s="544">
        <f>Table3[[#This Row],[Hrs Rank]]</f>
        <v>0</v>
      </c>
      <c r="I128" s="534">
        <f t="shared" si="8"/>
        <v>0</v>
      </c>
      <c r="J128" s="534">
        <f t="shared" si="9"/>
        <v>0</v>
      </c>
      <c r="K128" s="546"/>
      <c r="L128" s="546"/>
      <c r="M128" s="547" t="s">
        <v>223</v>
      </c>
      <c r="N128" s="547" t="s">
        <v>223</v>
      </c>
      <c r="O128" s="548"/>
      <c r="P128" s="549"/>
      <c r="Q128" s="550"/>
      <c r="R128" s="550"/>
      <c r="S128" s="549"/>
      <c r="T128" s="550"/>
      <c r="U128" s="550"/>
      <c r="V128" s="549"/>
      <c r="W128" s="550"/>
      <c r="X128" s="550"/>
      <c r="Y128" s="549"/>
      <c r="Z128" s="550"/>
      <c r="AA128" s="550"/>
      <c r="AB128" s="549"/>
      <c r="AC128" s="550"/>
      <c r="AD128" s="550"/>
      <c r="AE128" s="549"/>
      <c r="AF128" s="550"/>
      <c r="AG128" s="550"/>
      <c r="AH128" s="549"/>
      <c r="AI128" s="550"/>
      <c r="AJ128" s="550"/>
      <c r="AK128" s="549"/>
      <c r="AL128" s="550"/>
      <c r="AM128" s="550"/>
      <c r="AN128" s="549"/>
      <c r="AO128" s="550"/>
      <c r="AP128" s="550"/>
      <c r="AQ128" s="549"/>
      <c r="AR128" s="550"/>
      <c r="AS128" s="550"/>
      <c r="AT128" s="549"/>
      <c r="AU128" s="550"/>
      <c r="AV128" s="550"/>
      <c r="AW128" s="549"/>
      <c r="AX128" s="550"/>
      <c r="AY128" s="550"/>
      <c r="AZ128" s="549"/>
      <c r="BA128" s="550"/>
      <c r="BB128" s="550"/>
      <c r="BC128" s="550"/>
    </row>
    <row r="129" spans="1:55" s="519" customFormat="1">
      <c r="A129" s="531" t="str">
        <f t="shared" si="12"/>
        <v>AQ</v>
      </c>
      <c r="B129" s="50" t="str">
        <f t="shared" si="13"/>
        <v>SIPPM25</v>
      </c>
      <c r="C129" s="50" t="s">
        <v>257</v>
      </c>
      <c r="D129" s="532" t="s">
        <v>142</v>
      </c>
      <c r="E129" s="50" t="s">
        <v>53</v>
      </c>
      <c r="F129" s="535">
        <f>R.10HRDevName1</f>
        <v>0</v>
      </c>
      <c r="G129" s="543">
        <f>R.10HRDevHrs1</f>
        <v>0</v>
      </c>
      <c r="H129" s="544">
        <f>Table3[[#This Row],[Hrs Rank]]</f>
        <v>0</v>
      </c>
      <c r="I129" s="534">
        <f t="shared" si="8"/>
        <v>0</v>
      </c>
      <c r="J129" s="534">
        <f t="shared" si="9"/>
        <v>0</v>
      </c>
      <c r="K129" s="546"/>
      <c r="L129" s="546"/>
      <c r="M129" s="547" t="s">
        <v>223</v>
      </c>
      <c r="N129" s="547" t="s">
        <v>223</v>
      </c>
      <c r="O129" s="548"/>
      <c r="P129" s="549"/>
      <c r="Q129" s="550"/>
      <c r="R129" s="550"/>
      <c r="S129" s="549"/>
      <c r="T129" s="550"/>
      <c r="U129" s="550"/>
      <c r="V129" s="549"/>
      <c r="W129" s="550"/>
      <c r="X129" s="550"/>
      <c r="Y129" s="549"/>
      <c r="Z129" s="550"/>
      <c r="AA129" s="550"/>
      <c r="AB129" s="549"/>
      <c r="AC129" s="550"/>
      <c r="AD129" s="550"/>
      <c r="AE129" s="549"/>
      <c r="AF129" s="550"/>
      <c r="AG129" s="550"/>
      <c r="AH129" s="549"/>
      <c r="AI129" s="550"/>
      <c r="AJ129" s="550"/>
      <c r="AK129" s="549"/>
      <c r="AL129" s="550"/>
      <c r="AM129" s="550"/>
      <c r="AN129" s="549"/>
      <c r="AO129" s="550"/>
      <c r="AP129" s="550"/>
      <c r="AQ129" s="549"/>
      <c r="AR129" s="550"/>
      <c r="AS129" s="550"/>
      <c r="AT129" s="549"/>
      <c r="AU129" s="550"/>
      <c r="AV129" s="550"/>
      <c r="AW129" s="549"/>
      <c r="AX129" s="550"/>
      <c r="AY129" s="550"/>
      <c r="AZ129" s="549"/>
      <c r="BA129" s="550"/>
      <c r="BB129" s="550"/>
      <c r="BC129" s="550"/>
    </row>
    <row r="130" spans="1:55" s="519" customFormat="1">
      <c r="A130" s="531" t="str">
        <f t="shared" si="12"/>
        <v>AQ</v>
      </c>
      <c r="B130" s="50" t="str">
        <f t="shared" si="13"/>
        <v>SIPPM25</v>
      </c>
      <c r="C130" s="50" t="s">
        <v>257</v>
      </c>
      <c r="D130" s="532" t="s">
        <v>142</v>
      </c>
      <c r="E130" s="50" t="s">
        <v>53</v>
      </c>
      <c r="F130" s="535">
        <f>R.10HRDevName2</f>
        <v>0</v>
      </c>
      <c r="G130" s="543">
        <f>R.10HRDevHrs2</f>
        <v>0</v>
      </c>
      <c r="H130" s="544">
        <f>Table3[[#This Row],[Hrs Rank]]</f>
        <v>0</v>
      </c>
      <c r="I130" s="534">
        <f t="shared" si="8"/>
        <v>0</v>
      </c>
      <c r="J130" s="534">
        <f t="shared" si="9"/>
        <v>0</v>
      </c>
      <c r="K130" s="546"/>
      <c r="L130" s="546"/>
      <c r="M130" s="547" t="s">
        <v>223</v>
      </c>
      <c r="N130" s="547" t="s">
        <v>223</v>
      </c>
      <c r="O130" s="548"/>
      <c r="P130" s="549"/>
      <c r="Q130" s="550"/>
      <c r="R130" s="550"/>
      <c r="S130" s="549"/>
      <c r="T130" s="550"/>
      <c r="U130" s="550"/>
      <c r="V130" s="549"/>
      <c r="W130" s="550"/>
      <c r="X130" s="550"/>
      <c r="Y130" s="549"/>
      <c r="Z130" s="550"/>
      <c r="AA130" s="550"/>
      <c r="AB130" s="549"/>
      <c r="AC130" s="550"/>
      <c r="AD130" s="550"/>
      <c r="AE130" s="549"/>
      <c r="AF130" s="550"/>
      <c r="AG130" s="550"/>
      <c r="AH130" s="549"/>
      <c r="AI130" s="550"/>
      <c r="AJ130" s="550"/>
      <c r="AK130" s="549"/>
      <c r="AL130" s="550"/>
      <c r="AM130" s="550"/>
      <c r="AN130" s="549"/>
      <c r="AO130" s="550"/>
      <c r="AP130" s="550"/>
      <c r="AQ130" s="549"/>
      <c r="AR130" s="550"/>
      <c r="AS130" s="550"/>
      <c r="AT130" s="549"/>
      <c r="AU130" s="550"/>
      <c r="AV130" s="550"/>
      <c r="AW130" s="549"/>
      <c r="AX130" s="550"/>
      <c r="AY130" s="550"/>
      <c r="AZ130" s="549"/>
      <c r="BA130" s="550"/>
      <c r="BB130" s="550"/>
      <c r="BC130" s="550"/>
    </row>
    <row r="131" spans="1:55" s="519" customFormat="1">
      <c r="A131" s="531" t="str">
        <f t="shared" si="12"/>
        <v>AQ</v>
      </c>
      <c r="B131" s="50" t="str">
        <f t="shared" si="13"/>
        <v>SIPPM25</v>
      </c>
      <c r="C131" s="50" t="s">
        <v>257</v>
      </c>
      <c r="D131" s="532" t="s">
        <v>142</v>
      </c>
      <c r="E131" s="50" t="s">
        <v>53</v>
      </c>
      <c r="F131" s="535">
        <f>R.10HRDevName3</f>
        <v>0</v>
      </c>
      <c r="G131" s="543">
        <f>R.10HRDevHrs3</f>
        <v>0</v>
      </c>
      <c r="H131" s="544">
        <f>Table3[[#This Row],[Hrs Rank]]</f>
        <v>0</v>
      </c>
      <c r="I131" s="534">
        <f t="shared" ref="I131:I194" si="14">IF(ISNA(VLOOKUP($H131,R.VL_DEQResourceHours,2,FALSE)),0,VLOOKUP($H131,R.VL_DEQResourceHours,2,FALSE))</f>
        <v>0</v>
      </c>
      <c r="J131" s="534">
        <f t="shared" ref="J131:J194" si="15">IF(ISNA(VLOOKUP($H131,R.VL_DEQResourceHours,3,FALSE)),0,VLOOKUP($H131,R.VL_DEQResourceHours,3,FALSE))</f>
        <v>0</v>
      </c>
      <c r="K131" s="546"/>
      <c r="L131" s="546"/>
      <c r="M131" s="547" t="s">
        <v>223</v>
      </c>
      <c r="N131" s="547" t="s">
        <v>223</v>
      </c>
      <c r="O131" s="548"/>
      <c r="P131" s="549"/>
      <c r="Q131" s="550"/>
      <c r="R131" s="550"/>
      <c r="S131" s="549"/>
      <c r="T131" s="550"/>
      <c r="U131" s="550"/>
      <c r="V131" s="549"/>
      <c r="W131" s="550"/>
      <c r="X131" s="550"/>
      <c r="Y131" s="549"/>
      <c r="Z131" s="550"/>
      <c r="AA131" s="550"/>
      <c r="AB131" s="549"/>
      <c r="AC131" s="550"/>
      <c r="AD131" s="550"/>
      <c r="AE131" s="549"/>
      <c r="AF131" s="550"/>
      <c r="AG131" s="550"/>
      <c r="AH131" s="549"/>
      <c r="AI131" s="550"/>
      <c r="AJ131" s="550"/>
      <c r="AK131" s="549"/>
      <c r="AL131" s="550"/>
      <c r="AM131" s="550"/>
      <c r="AN131" s="549"/>
      <c r="AO131" s="550"/>
      <c r="AP131" s="550"/>
      <c r="AQ131" s="549"/>
      <c r="AR131" s="550"/>
      <c r="AS131" s="550"/>
      <c r="AT131" s="549"/>
      <c r="AU131" s="550"/>
      <c r="AV131" s="550"/>
      <c r="AW131" s="549"/>
      <c r="AX131" s="550"/>
      <c r="AY131" s="550"/>
      <c r="AZ131" s="549"/>
      <c r="BA131" s="550"/>
      <c r="BB131" s="550"/>
      <c r="BC131" s="550"/>
    </row>
    <row r="132" spans="1:55" s="519" customFormat="1">
      <c r="A132" s="531" t="str">
        <f t="shared" si="12"/>
        <v>AQ</v>
      </c>
      <c r="B132" s="50" t="str">
        <f t="shared" si="13"/>
        <v>SIPPM25</v>
      </c>
      <c r="C132" s="50" t="s">
        <v>257</v>
      </c>
      <c r="D132" s="532" t="s">
        <v>142</v>
      </c>
      <c r="E132" s="50" t="s">
        <v>53</v>
      </c>
      <c r="F132" s="535" t="str">
        <f>R.10HRDevName4</f>
        <v xml:space="preserve"> </v>
      </c>
      <c r="G132" s="543">
        <f>R.10HRDevHrs4</f>
        <v>0</v>
      </c>
      <c r="H132" s="544">
        <f>Table3[[#This Row],[Hrs Rank]]</f>
        <v>0</v>
      </c>
      <c r="I132" s="534">
        <f t="shared" si="14"/>
        <v>0</v>
      </c>
      <c r="J132" s="534">
        <f t="shared" si="15"/>
        <v>0</v>
      </c>
      <c r="K132" s="546"/>
      <c r="L132" s="546"/>
      <c r="M132" s="547" t="s">
        <v>223</v>
      </c>
      <c r="N132" s="547" t="s">
        <v>223</v>
      </c>
      <c r="O132" s="548"/>
      <c r="P132" s="549"/>
      <c r="Q132" s="550"/>
      <c r="R132" s="550"/>
      <c r="S132" s="549"/>
      <c r="T132" s="550"/>
      <c r="U132" s="550"/>
      <c r="V132" s="549"/>
      <c r="W132" s="550"/>
      <c r="X132" s="550"/>
      <c r="Y132" s="549"/>
      <c r="Z132" s="550"/>
      <c r="AA132" s="550"/>
      <c r="AB132" s="549"/>
      <c r="AC132" s="550"/>
      <c r="AD132" s="550"/>
      <c r="AE132" s="549"/>
      <c r="AF132" s="550"/>
      <c r="AG132" s="550"/>
      <c r="AH132" s="549"/>
      <c r="AI132" s="550"/>
      <c r="AJ132" s="550"/>
      <c r="AK132" s="549"/>
      <c r="AL132" s="550"/>
      <c r="AM132" s="550"/>
      <c r="AN132" s="549"/>
      <c r="AO132" s="550"/>
      <c r="AP132" s="550"/>
      <c r="AQ132" s="549"/>
      <c r="AR132" s="550"/>
      <c r="AS132" s="550"/>
      <c r="AT132" s="549"/>
      <c r="AU132" s="550"/>
      <c r="AV132" s="550"/>
      <c r="AW132" s="549"/>
      <c r="AX132" s="550"/>
      <c r="AY132" s="550"/>
      <c r="AZ132" s="549"/>
      <c r="BA132" s="550"/>
      <c r="BB132" s="550"/>
      <c r="BC132" s="550"/>
    </row>
    <row r="133" spans="1:55" s="519" customFormat="1">
      <c r="A133" s="531" t="str">
        <f t="shared" si="12"/>
        <v>AQ</v>
      </c>
      <c r="B133" s="50" t="str">
        <f t="shared" si="13"/>
        <v>SIPPM25</v>
      </c>
      <c r="C133" s="50" t="s">
        <v>257</v>
      </c>
      <c r="D133" s="532" t="s">
        <v>142</v>
      </c>
      <c r="E133" s="50" t="s">
        <v>52</v>
      </c>
      <c r="F133" s="535">
        <f>R.10HRImpName1</f>
        <v>0</v>
      </c>
      <c r="G133" s="543">
        <f>R.10HRImpHrs1</f>
        <v>0</v>
      </c>
      <c r="H133" s="544">
        <f>Table3[[#This Row],[Hrs Rank]]</f>
        <v>0</v>
      </c>
      <c r="I133" s="534">
        <f t="shared" si="14"/>
        <v>0</v>
      </c>
      <c r="J133" s="534">
        <f t="shared" si="15"/>
        <v>0</v>
      </c>
      <c r="K133" s="546"/>
      <c r="L133" s="546"/>
      <c r="M133" s="547" t="s">
        <v>223</v>
      </c>
      <c r="N133" s="547" t="s">
        <v>223</v>
      </c>
      <c r="O133" s="548"/>
      <c r="P133" s="549"/>
      <c r="Q133" s="550"/>
      <c r="R133" s="550"/>
      <c r="S133" s="549"/>
      <c r="T133" s="550"/>
      <c r="U133" s="550"/>
      <c r="V133" s="549"/>
      <c r="W133" s="550"/>
      <c r="X133" s="550"/>
      <c r="Y133" s="549"/>
      <c r="Z133" s="550"/>
      <c r="AA133" s="550"/>
      <c r="AB133" s="549"/>
      <c r="AC133" s="550"/>
      <c r="AD133" s="550"/>
      <c r="AE133" s="549"/>
      <c r="AF133" s="550"/>
      <c r="AG133" s="550"/>
      <c r="AH133" s="549"/>
      <c r="AI133" s="550"/>
      <c r="AJ133" s="550"/>
      <c r="AK133" s="549"/>
      <c r="AL133" s="550"/>
      <c r="AM133" s="550"/>
      <c r="AN133" s="549"/>
      <c r="AO133" s="550"/>
      <c r="AP133" s="550"/>
      <c r="AQ133" s="549"/>
      <c r="AR133" s="550"/>
      <c r="AS133" s="550"/>
      <c r="AT133" s="549"/>
      <c r="AU133" s="550"/>
      <c r="AV133" s="550"/>
      <c r="AW133" s="549"/>
      <c r="AX133" s="550"/>
      <c r="AY133" s="550"/>
      <c r="AZ133" s="549"/>
      <c r="BA133" s="550"/>
      <c r="BB133" s="550"/>
      <c r="BC133" s="550"/>
    </row>
    <row r="134" spans="1:55" s="519" customFormat="1">
      <c r="A134" s="531" t="str">
        <f t="shared" si="12"/>
        <v>AQ</v>
      </c>
      <c r="B134" s="50" t="str">
        <f t="shared" si="13"/>
        <v>SIPPM25</v>
      </c>
      <c r="C134" s="50" t="s">
        <v>257</v>
      </c>
      <c r="D134" s="532" t="s">
        <v>142</v>
      </c>
      <c r="E134" s="50" t="s">
        <v>52</v>
      </c>
      <c r="F134" s="535" t="str">
        <f>R.10HRImpName2</f>
        <v xml:space="preserve"> </v>
      </c>
      <c r="G134" s="543">
        <f>R.10HRImpHrs2</f>
        <v>0</v>
      </c>
      <c r="H134" s="544">
        <f>Table3[[#This Row],[Hrs Rank]]</f>
        <v>0</v>
      </c>
      <c r="I134" s="534">
        <f t="shared" si="14"/>
        <v>0</v>
      </c>
      <c r="J134" s="534">
        <f t="shared" si="15"/>
        <v>0</v>
      </c>
      <c r="K134" s="546"/>
      <c r="L134" s="546"/>
      <c r="M134" s="547" t="s">
        <v>223</v>
      </c>
      <c r="N134" s="547" t="s">
        <v>223</v>
      </c>
      <c r="O134" s="548"/>
      <c r="P134" s="549"/>
      <c r="Q134" s="550"/>
      <c r="R134" s="550"/>
      <c r="S134" s="549"/>
      <c r="T134" s="550"/>
      <c r="U134" s="550"/>
      <c r="V134" s="549"/>
      <c r="W134" s="550"/>
      <c r="X134" s="550"/>
      <c r="Y134" s="549"/>
      <c r="Z134" s="550"/>
      <c r="AA134" s="550"/>
      <c r="AB134" s="549"/>
      <c r="AC134" s="550"/>
      <c r="AD134" s="550"/>
      <c r="AE134" s="549"/>
      <c r="AF134" s="550"/>
      <c r="AG134" s="550"/>
      <c r="AH134" s="549"/>
      <c r="AI134" s="550"/>
      <c r="AJ134" s="550"/>
      <c r="AK134" s="549"/>
      <c r="AL134" s="550"/>
      <c r="AM134" s="550"/>
      <c r="AN134" s="549"/>
      <c r="AO134" s="550"/>
      <c r="AP134" s="550"/>
      <c r="AQ134" s="549"/>
      <c r="AR134" s="550"/>
      <c r="AS134" s="550"/>
      <c r="AT134" s="549"/>
      <c r="AU134" s="550"/>
      <c r="AV134" s="550"/>
      <c r="AW134" s="549"/>
      <c r="AX134" s="550"/>
      <c r="AY134" s="550"/>
      <c r="AZ134" s="549"/>
      <c r="BA134" s="550"/>
      <c r="BB134" s="550"/>
      <c r="BC134" s="550"/>
    </row>
    <row r="135" spans="1:55" s="519" customFormat="1">
      <c r="A135" s="531" t="str">
        <f t="shared" si="12"/>
        <v>AQ</v>
      </c>
      <c r="B135" s="50" t="str">
        <f t="shared" si="13"/>
        <v>SIPPM25</v>
      </c>
      <c r="C135" s="50" t="s">
        <v>257</v>
      </c>
      <c r="D135" s="532" t="s">
        <v>142</v>
      </c>
      <c r="E135" s="50" t="s">
        <v>52</v>
      </c>
      <c r="F135" s="535" t="str">
        <f>R.10HRImpName3</f>
        <v xml:space="preserve"> </v>
      </c>
      <c r="G135" s="543">
        <f>R.10HRImpHrs3</f>
        <v>0</v>
      </c>
      <c r="H135" s="544">
        <f>Table3[[#This Row],[Hrs Rank]]</f>
        <v>0</v>
      </c>
      <c r="I135" s="534">
        <f t="shared" si="14"/>
        <v>0</v>
      </c>
      <c r="J135" s="534">
        <f t="shared" si="15"/>
        <v>0</v>
      </c>
      <c r="K135" s="546"/>
      <c r="L135" s="546"/>
      <c r="M135" s="547" t="s">
        <v>223</v>
      </c>
      <c r="N135" s="547" t="s">
        <v>223</v>
      </c>
      <c r="O135" s="548"/>
      <c r="P135" s="549"/>
      <c r="Q135" s="550"/>
      <c r="R135" s="550"/>
      <c r="S135" s="549"/>
      <c r="T135" s="550"/>
      <c r="U135" s="550"/>
      <c r="V135" s="549"/>
      <c r="W135" s="550"/>
      <c r="X135" s="550"/>
      <c r="Y135" s="549"/>
      <c r="Z135" s="550"/>
      <c r="AA135" s="550"/>
      <c r="AB135" s="549"/>
      <c r="AC135" s="550"/>
      <c r="AD135" s="550"/>
      <c r="AE135" s="549"/>
      <c r="AF135" s="550"/>
      <c r="AG135" s="550"/>
      <c r="AH135" s="549"/>
      <c r="AI135" s="550"/>
      <c r="AJ135" s="550"/>
      <c r="AK135" s="549"/>
      <c r="AL135" s="550"/>
      <c r="AM135" s="550"/>
      <c r="AN135" s="549"/>
      <c r="AO135" s="550"/>
      <c r="AP135" s="550"/>
      <c r="AQ135" s="549"/>
      <c r="AR135" s="550"/>
      <c r="AS135" s="550"/>
      <c r="AT135" s="549"/>
      <c r="AU135" s="550"/>
      <c r="AV135" s="550"/>
      <c r="AW135" s="549"/>
      <c r="AX135" s="550"/>
      <c r="AY135" s="550"/>
      <c r="AZ135" s="549"/>
      <c r="BA135" s="550"/>
      <c r="BB135" s="550"/>
      <c r="BC135" s="550"/>
    </row>
    <row r="136" spans="1:55" s="519" customFormat="1">
      <c r="A136" s="531" t="str">
        <f t="shared" si="12"/>
        <v>AQ</v>
      </c>
      <c r="B136" s="50" t="str">
        <f t="shared" si="13"/>
        <v>SIPPM25</v>
      </c>
      <c r="C136" s="50" t="s">
        <v>257</v>
      </c>
      <c r="D136" s="532" t="s">
        <v>142</v>
      </c>
      <c r="E136" s="50" t="s">
        <v>52</v>
      </c>
      <c r="F136" s="535" t="str">
        <f>R.10HRImpName4</f>
        <v xml:space="preserve"> </v>
      </c>
      <c r="G136" s="543">
        <f>R.10HRImpHrs4</f>
        <v>0</v>
      </c>
      <c r="H136" s="544">
        <f>Table3[[#This Row],[Hrs Rank]]</f>
        <v>0</v>
      </c>
      <c r="I136" s="534">
        <f t="shared" si="14"/>
        <v>0</v>
      </c>
      <c r="J136" s="534">
        <f t="shared" si="15"/>
        <v>0</v>
      </c>
      <c r="K136" s="546"/>
      <c r="L136" s="546"/>
      <c r="M136" s="547" t="s">
        <v>223</v>
      </c>
      <c r="N136" s="547" t="s">
        <v>223</v>
      </c>
      <c r="O136" s="548"/>
      <c r="P136" s="549"/>
      <c r="Q136" s="550"/>
      <c r="R136" s="550"/>
      <c r="S136" s="549"/>
      <c r="T136" s="550"/>
      <c r="U136" s="550"/>
      <c r="V136" s="549"/>
      <c r="W136" s="550"/>
      <c r="X136" s="550"/>
      <c r="Y136" s="549"/>
      <c r="Z136" s="550"/>
      <c r="AA136" s="550"/>
      <c r="AB136" s="549"/>
      <c r="AC136" s="550"/>
      <c r="AD136" s="550"/>
      <c r="AE136" s="549"/>
      <c r="AF136" s="550"/>
      <c r="AG136" s="550"/>
      <c r="AH136" s="549"/>
      <c r="AI136" s="550"/>
      <c r="AJ136" s="550"/>
      <c r="AK136" s="549"/>
      <c r="AL136" s="550"/>
      <c r="AM136" s="550"/>
      <c r="AN136" s="549"/>
      <c r="AO136" s="550"/>
      <c r="AP136" s="550"/>
      <c r="AQ136" s="549"/>
      <c r="AR136" s="550"/>
      <c r="AS136" s="550"/>
      <c r="AT136" s="549"/>
      <c r="AU136" s="550"/>
      <c r="AV136" s="550"/>
      <c r="AW136" s="549"/>
      <c r="AX136" s="550"/>
      <c r="AY136" s="550"/>
      <c r="AZ136" s="549"/>
      <c r="BA136" s="550"/>
      <c r="BB136" s="550"/>
      <c r="BC136" s="550"/>
    </row>
    <row r="137" spans="1:55" s="519" customFormat="1">
      <c r="A137" s="531" t="str">
        <f t="shared" si="12"/>
        <v>AQ</v>
      </c>
      <c r="B137" s="50" t="str">
        <f t="shared" si="13"/>
        <v>SIPPM25</v>
      </c>
      <c r="C137" s="50" t="s">
        <v>257</v>
      </c>
      <c r="D137" s="532" t="s">
        <v>141</v>
      </c>
      <c r="E137" s="50" t="s">
        <v>53</v>
      </c>
      <c r="F137" s="535">
        <f>R.10PolicyDevName1</f>
        <v>0</v>
      </c>
      <c r="G137" s="543">
        <f>R.10PolicyDevHrs1</f>
        <v>0</v>
      </c>
      <c r="H137" s="544">
        <f>Table3[[#This Row],[Hrs Rank]]</f>
        <v>0</v>
      </c>
      <c r="I137" s="534">
        <f t="shared" si="14"/>
        <v>0</v>
      </c>
      <c r="J137" s="534">
        <f t="shared" si="15"/>
        <v>0</v>
      </c>
      <c r="K137" s="546"/>
      <c r="L137" s="546"/>
      <c r="M137" s="547" t="s">
        <v>223</v>
      </c>
      <c r="N137" s="547" t="s">
        <v>223</v>
      </c>
      <c r="O137" s="548"/>
      <c r="P137" s="549"/>
      <c r="Q137" s="550"/>
      <c r="R137" s="550"/>
      <c r="S137" s="549"/>
      <c r="T137" s="550"/>
      <c r="U137" s="550"/>
      <c r="V137" s="549"/>
      <c r="W137" s="550"/>
      <c r="X137" s="550"/>
      <c r="Y137" s="549"/>
      <c r="Z137" s="550"/>
      <c r="AA137" s="550"/>
      <c r="AB137" s="549"/>
      <c r="AC137" s="550"/>
      <c r="AD137" s="550"/>
      <c r="AE137" s="549"/>
      <c r="AF137" s="550"/>
      <c r="AG137" s="550"/>
      <c r="AH137" s="549"/>
      <c r="AI137" s="550"/>
      <c r="AJ137" s="550"/>
      <c r="AK137" s="549"/>
      <c r="AL137" s="550"/>
      <c r="AM137" s="550"/>
      <c r="AN137" s="549"/>
      <c r="AO137" s="550"/>
      <c r="AP137" s="550"/>
      <c r="AQ137" s="549"/>
      <c r="AR137" s="550"/>
      <c r="AS137" s="550"/>
      <c r="AT137" s="549"/>
      <c r="AU137" s="550"/>
      <c r="AV137" s="550"/>
      <c r="AW137" s="549"/>
      <c r="AX137" s="550"/>
      <c r="AY137" s="550"/>
      <c r="AZ137" s="549"/>
      <c r="BA137" s="550"/>
      <c r="BB137" s="550"/>
      <c r="BC137" s="550"/>
    </row>
    <row r="138" spans="1:55" s="519" customFormat="1">
      <c r="A138" s="531" t="str">
        <f t="shared" si="12"/>
        <v>AQ</v>
      </c>
      <c r="B138" s="50" t="str">
        <f t="shared" si="13"/>
        <v>SIPPM25</v>
      </c>
      <c r="C138" s="50" t="s">
        <v>257</v>
      </c>
      <c r="D138" s="532" t="s">
        <v>141</v>
      </c>
      <c r="E138" s="50" t="s">
        <v>53</v>
      </c>
      <c r="F138" s="535" t="str">
        <f>R.10PolicyDevName2</f>
        <v xml:space="preserve"> </v>
      </c>
      <c r="G138" s="543">
        <f>R.10PolicyDevHrs2</f>
        <v>0</v>
      </c>
      <c r="H138" s="544">
        <f>Table3[[#This Row],[Hrs Rank]]</f>
        <v>0</v>
      </c>
      <c r="I138" s="534">
        <f t="shared" si="14"/>
        <v>0</v>
      </c>
      <c r="J138" s="534">
        <f t="shared" si="15"/>
        <v>0</v>
      </c>
      <c r="K138" s="546"/>
      <c r="L138" s="546"/>
      <c r="M138" s="547" t="s">
        <v>223</v>
      </c>
      <c r="N138" s="547" t="s">
        <v>223</v>
      </c>
      <c r="O138" s="548"/>
      <c r="P138" s="549"/>
      <c r="Q138" s="550"/>
      <c r="R138" s="550"/>
      <c r="S138" s="549"/>
      <c r="T138" s="550"/>
      <c r="U138" s="550"/>
      <c r="V138" s="549"/>
      <c r="W138" s="550"/>
      <c r="X138" s="550"/>
      <c r="Y138" s="549"/>
      <c r="Z138" s="550"/>
      <c r="AA138" s="550"/>
      <c r="AB138" s="549"/>
      <c r="AC138" s="550"/>
      <c r="AD138" s="550"/>
      <c r="AE138" s="549"/>
      <c r="AF138" s="550"/>
      <c r="AG138" s="550"/>
      <c r="AH138" s="549"/>
      <c r="AI138" s="550"/>
      <c r="AJ138" s="550"/>
      <c r="AK138" s="549"/>
      <c r="AL138" s="550"/>
      <c r="AM138" s="550"/>
      <c r="AN138" s="549"/>
      <c r="AO138" s="550"/>
      <c r="AP138" s="550"/>
      <c r="AQ138" s="549"/>
      <c r="AR138" s="550"/>
      <c r="AS138" s="550"/>
      <c r="AT138" s="549"/>
      <c r="AU138" s="550"/>
      <c r="AV138" s="550"/>
      <c r="AW138" s="549"/>
      <c r="AX138" s="550"/>
      <c r="AY138" s="550"/>
      <c r="AZ138" s="549"/>
      <c r="BA138" s="550"/>
      <c r="BB138" s="550"/>
      <c r="BC138" s="550"/>
    </row>
    <row r="139" spans="1:55" s="519" customFormat="1">
      <c r="A139" s="531" t="str">
        <f t="shared" si="12"/>
        <v>AQ</v>
      </c>
      <c r="B139" s="50" t="str">
        <f t="shared" si="13"/>
        <v>SIPPM25</v>
      </c>
      <c r="C139" s="50" t="s">
        <v>257</v>
      </c>
      <c r="D139" s="532" t="s">
        <v>141</v>
      </c>
      <c r="E139" s="50" t="s">
        <v>53</v>
      </c>
      <c r="F139" s="535" t="str">
        <f>R.10PolicyDevName3</f>
        <v xml:space="preserve"> </v>
      </c>
      <c r="G139" s="543">
        <f>R.10PolicyDevHrs3</f>
        <v>0</v>
      </c>
      <c r="H139" s="544">
        <f>Table3[[#This Row],[Hrs Rank]]</f>
        <v>0</v>
      </c>
      <c r="I139" s="534">
        <f t="shared" si="14"/>
        <v>0</v>
      </c>
      <c r="J139" s="534">
        <f t="shared" si="15"/>
        <v>0</v>
      </c>
      <c r="K139" s="546"/>
      <c r="L139" s="546"/>
      <c r="M139" s="547" t="s">
        <v>223</v>
      </c>
      <c r="N139" s="547" t="s">
        <v>223</v>
      </c>
      <c r="O139" s="548"/>
      <c r="P139" s="549"/>
      <c r="Q139" s="550"/>
      <c r="R139" s="550"/>
      <c r="S139" s="549"/>
      <c r="T139" s="550"/>
      <c r="U139" s="550"/>
      <c r="V139" s="549"/>
      <c r="W139" s="550"/>
      <c r="X139" s="550"/>
      <c r="Y139" s="549"/>
      <c r="Z139" s="550"/>
      <c r="AA139" s="550"/>
      <c r="AB139" s="549"/>
      <c r="AC139" s="550"/>
      <c r="AD139" s="550"/>
      <c r="AE139" s="549"/>
      <c r="AF139" s="550"/>
      <c r="AG139" s="550"/>
      <c r="AH139" s="549"/>
      <c r="AI139" s="550"/>
      <c r="AJ139" s="550"/>
      <c r="AK139" s="549"/>
      <c r="AL139" s="550"/>
      <c r="AM139" s="550"/>
      <c r="AN139" s="549"/>
      <c r="AO139" s="550"/>
      <c r="AP139" s="550"/>
      <c r="AQ139" s="549"/>
      <c r="AR139" s="550"/>
      <c r="AS139" s="550"/>
      <c r="AT139" s="549"/>
      <c r="AU139" s="550"/>
      <c r="AV139" s="550"/>
      <c r="AW139" s="549"/>
      <c r="AX139" s="550"/>
      <c r="AY139" s="550"/>
      <c r="AZ139" s="549"/>
      <c r="BA139" s="550"/>
      <c r="BB139" s="550"/>
      <c r="BC139" s="550"/>
    </row>
    <row r="140" spans="1:55" s="519" customFormat="1">
      <c r="A140" s="531" t="str">
        <f t="shared" si="12"/>
        <v>AQ</v>
      </c>
      <c r="B140" s="50" t="str">
        <f t="shared" si="13"/>
        <v>SIPPM25</v>
      </c>
      <c r="C140" s="50" t="s">
        <v>257</v>
      </c>
      <c r="D140" s="532" t="s">
        <v>141</v>
      </c>
      <c r="E140" s="50" t="s">
        <v>53</v>
      </c>
      <c r="F140" s="535" t="str">
        <f>R.10PolicyDevName4</f>
        <v xml:space="preserve"> </v>
      </c>
      <c r="G140" s="543">
        <f>R.10PolicyDevHrs4</f>
        <v>0</v>
      </c>
      <c r="H140" s="544">
        <f>Table3[[#This Row],[Hrs Rank]]</f>
        <v>0</v>
      </c>
      <c r="I140" s="534">
        <f t="shared" si="14"/>
        <v>0</v>
      </c>
      <c r="J140" s="534">
        <f t="shared" si="15"/>
        <v>0</v>
      </c>
      <c r="K140" s="546"/>
      <c r="L140" s="546"/>
      <c r="M140" s="547" t="s">
        <v>223</v>
      </c>
      <c r="N140" s="547" t="s">
        <v>223</v>
      </c>
      <c r="O140" s="548"/>
      <c r="P140" s="549"/>
      <c r="Q140" s="550"/>
      <c r="R140" s="550"/>
      <c r="S140" s="549"/>
      <c r="T140" s="550"/>
      <c r="U140" s="550"/>
      <c r="V140" s="549"/>
      <c r="W140" s="550"/>
      <c r="X140" s="550"/>
      <c r="Y140" s="549"/>
      <c r="Z140" s="550"/>
      <c r="AA140" s="550"/>
      <c r="AB140" s="549"/>
      <c r="AC140" s="550"/>
      <c r="AD140" s="550"/>
      <c r="AE140" s="549"/>
      <c r="AF140" s="550"/>
      <c r="AG140" s="550"/>
      <c r="AH140" s="549"/>
      <c r="AI140" s="550"/>
      <c r="AJ140" s="550"/>
      <c r="AK140" s="549"/>
      <c r="AL140" s="550"/>
      <c r="AM140" s="550"/>
      <c r="AN140" s="549"/>
      <c r="AO140" s="550"/>
      <c r="AP140" s="550"/>
      <c r="AQ140" s="549"/>
      <c r="AR140" s="550"/>
      <c r="AS140" s="550"/>
      <c r="AT140" s="549"/>
      <c r="AU140" s="550"/>
      <c r="AV140" s="550"/>
      <c r="AW140" s="549"/>
      <c r="AX140" s="550"/>
      <c r="AY140" s="550"/>
      <c r="AZ140" s="549"/>
      <c r="BA140" s="550"/>
      <c r="BB140" s="550"/>
      <c r="BC140" s="550"/>
    </row>
    <row r="141" spans="1:55" s="519" customFormat="1">
      <c r="A141" s="531" t="str">
        <f t="shared" si="12"/>
        <v>AQ</v>
      </c>
      <c r="B141" s="50" t="str">
        <f t="shared" si="13"/>
        <v>SIPPM25</v>
      </c>
      <c r="C141" s="50" t="s">
        <v>257</v>
      </c>
      <c r="D141" s="532" t="s">
        <v>141</v>
      </c>
      <c r="E141" s="50" t="s">
        <v>52</v>
      </c>
      <c r="F141" s="535">
        <f>R.10PolicyImpName1</f>
        <v>0</v>
      </c>
      <c r="G141" s="543">
        <f>R.10PolicyImpHrs1</f>
        <v>0</v>
      </c>
      <c r="H141" s="544">
        <f>Table3[[#This Row],[Hrs Rank]]</f>
        <v>0</v>
      </c>
      <c r="I141" s="534">
        <f t="shared" si="14"/>
        <v>0</v>
      </c>
      <c r="J141" s="534">
        <f t="shared" si="15"/>
        <v>0</v>
      </c>
      <c r="K141" s="546"/>
      <c r="L141" s="546"/>
      <c r="M141" s="547" t="s">
        <v>223</v>
      </c>
      <c r="N141" s="547" t="s">
        <v>223</v>
      </c>
      <c r="O141" s="548"/>
      <c r="P141" s="549"/>
      <c r="Q141" s="550"/>
      <c r="R141" s="550"/>
      <c r="S141" s="549"/>
      <c r="T141" s="550"/>
      <c r="U141" s="550"/>
      <c r="V141" s="549"/>
      <c r="W141" s="550"/>
      <c r="X141" s="550"/>
      <c r="Y141" s="549"/>
      <c r="Z141" s="550"/>
      <c r="AA141" s="550"/>
      <c r="AB141" s="549"/>
      <c r="AC141" s="550"/>
      <c r="AD141" s="550"/>
      <c r="AE141" s="549"/>
      <c r="AF141" s="550"/>
      <c r="AG141" s="550"/>
      <c r="AH141" s="549"/>
      <c r="AI141" s="550"/>
      <c r="AJ141" s="550"/>
      <c r="AK141" s="549"/>
      <c r="AL141" s="550"/>
      <c r="AM141" s="550"/>
      <c r="AN141" s="549"/>
      <c r="AO141" s="550"/>
      <c r="AP141" s="550"/>
      <c r="AQ141" s="549"/>
      <c r="AR141" s="550"/>
      <c r="AS141" s="550"/>
      <c r="AT141" s="549"/>
      <c r="AU141" s="550"/>
      <c r="AV141" s="550"/>
      <c r="AW141" s="549"/>
      <c r="AX141" s="550"/>
      <c r="AY141" s="550"/>
      <c r="AZ141" s="549"/>
      <c r="BA141" s="550"/>
      <c r="BB141" s="550"/>
      <c r="BC141" s="550"/>
    </row>
    <row r="142" spans="1:55" s="519" customFormat="1">
      <c r="A142" s="531" t="str">
        <f t="shared" si="12"/>
        <v>AQ</v>
      </c>
      <c r="B142" s="50" t="str">
        <f t="shared" si="13"/>
        <v>SIPPM25</v>
      </c>
      <c r="C142" s="50" t="s">
        <v>257</v>
      </c>
      <c r="D142" s="532" t="s">
        <v>141</v>
      </c>
      <c r="E142" s="50" t="s">
        <v>52</v>
      </c>
      <c r="F142" s="535" t="str">
        <f>R.10PolicyImpName2</f>
        <v xml:space="preserve"> </v>
      </c>
      <c r="G142" s="543">
        <f>R.10PolicyImpHrs2</f>
        <v>0</v>
      </c>
      <c r="H142" s="544">
        <f>Table3[[#This Row],[Hrs Rank]]</f>
        <v>0</v>
      </c>
      <c r="I142" s="534">
        <f t="shared" si="14"/>
        <v>0</v>
      </c>
      <c r="J142" s="534">
        <f t="shared" si="15"/>
        <v>0</v>
      </c>
      <c r="K142" s="546"/>
      <c r="L142" s="546"/>
      <c r="M142" s="547" t="s">
        <v>223</v>
      </c>
      <c r="N142" s="547" t="s">
        <v>223</v>
      </c>
      <c r="O142" s="548"/>
      <c r="P142" s="549"/>
      <c r="Q142" s="550"/>
      <c r="R142" s="550"/>
      <c r="S142" s="549"/>
      <c r="T142" s="550"/>
      <c r="U142" s="550"/>
      <c r="V142" s="549"/>
      <c r="W142" s="550"/>
      <c r="X142" s="550"/>
      <c r="Y142" s="549"/>
      <c r="Z142" s="550"/>
      <c r="AA142" s="550"/>
      <c r="AB142" s="549"/>
      <c r="AC142" s="550"/>
      <c r="AD142" s="550"/>
      <c r="AE142" s="549"/>
      <c r="AF142" s="550"/>
      <c r="AG142" s="550"/>
      <c r="AH142" s="549"/>
      <c r="AI142" s="550"/>
      <c r="AJ142" s="550"/>
      <c r="AK142" s="549"/>
      <c r="AL142" s="550"/>
      <c r="AM142" s="550"/>
      <c r="AN142" s="549"/>
      <c r="AO142" s="550"/>
      <c r="AP142" s="550"/>
      <c r="AQ142" s="549"/>
      <c r="AR142" s="550"/>
      <c r="AS142" s="550"/>
      <c r="AT142" s="549"/>
      <c r="AU142" s="550"/>
      <c r="AV142" s="550"/>
      <c r="AW142" s="549"/>
      <c r="AX142" s="550"/>
      <c r="AY142" s="550"/>
      <c r="AZ142" s="549"/>
      <c r="BA142" s="550"/>
      <c r="BB142" s="550"/>
      <c r="BC142" s="550"/>
    </row>
    <row r="143" spans="1:55" s="519" customFormat="1">
      <c r="A143" s="531" t="str">
        <f t="shared" si="12"/>
        <v>AQ</v>
      </c>
      <c r="B143" s="50" t="str">
        <f t="shared" si="13"/>
        <v>SIPPM25</v>
      </c>
      <c r="C143" s="50" t="s">
        <v>257</v>
      </c>
      <c r="D143" s="532" t="s">
        <v>141</v>
      </c>
      <c r="E143" s="50" t="s">
        <v>52</v>
      </c>
      <c r="F143" s="535" t="str">
        <f>R.10PolicyImpName3</f>
        <v xml:space="preserve"> </v>
      </c>
      <c r="G143" s="543">
        <f>R.10PolicyImpHrs3</f>
        <v>0</v>
      </c>
      <c r="H143" s="544">
        <f>Table3[[#This Row],[Hrs Rank]]</f>
        <v>0</v>
      </c>
      <c r="I143" s="534">
        <f t="shared" si="14"/>
        <v>0</v>
      </c>
      <c r="J143" s="534">
        <f t="shared" si="15"/>
        <v>0</v>
      </c>
      <c r="K143" s="546"/>
      <c r="L143" s="546"/>
      <c r="M143" s="547" t="s">
        <v>223</v>
      </c>
      <c r="N143" s="547" t="s">
        <v>223</v>
      </c>
      <c r="O143" s="548"/>
      <c r="P143" s="549"/>
      <c r="Q143" s="550"/>
      <c r="R143" s="550"/>
      <c r="S143" s="549"/>
      <c r="T143" s="550"/>
      <c r="U143" s="550"/>
      <c r="V143" s="549"/>
      <c r="W143" s="550"/>
      <c r="X143" s="550"/>
      <c r="Y143" s="549"/>
      <c r="Z143" s="550"/>
      <c r="AA143" s="550"/>
      <c r="AB143" s="549"/>
      <c r="AC143" s="550"/>
      <c r="AD143" s="550"/>
      <c r="AE143" s="549"/>
      <c r="AF143" s="550"/>
      <c r="AG143" s="550"/>
      <c r="AH143" s="549"/>
      <c r="AI143" s="550"/>
      <c r="AJ143" s="550"/>
      <c r="AK143" s="549"/>
      <c r="AL143" s="550"/>
      <c r="AM143" s="550"/>
      <c r="AN143" s="549"/>
      <c r="AO143" s="550"/>
      <c r="AP143" s="550"/>
      <c r="AQ143" s="549"/>
      <c r="AR143" s="550"/>
      <c r="AS143" s="550"/>
      <c r="AT143" s="549"/>
      <c r="AU143" s="550"/>
      <c r="AV143" s="550"/>
      <c r="AW143" s="549"/>
      <c r="AX143" s="550"/>
      <c r="AY143" s="550"/>
      <c r="AZ143" s="549"/>
      <c r="BA143" s="550"/>
      <c r="BB143" s="550"/>
      <c r="BC143" s="550"/>
    </row>
    <row r="144" spans="1:55" s="519" customFormat="1">
      <c r="A144" s="531" t="str">
        <f t="shared" si="12"/>
        <v>AQ</v>
      </c>
      <c r="B144" s="50" t="str">
        <f t="shared" si="13"/>
        <v>SIPPM25</v>
      </c>
      <c r="C144" s="50" t="s">
        <v>257</v>
      </c>
      <c r="D144" s="532" t="s">
        <v>141</v>
      </c>
      <c r="E144" s="50" t="s">
        <v>52</v>
      </c>
      <c r="F144" s="535" t="str">
        <f>R.10PolicyImpName4</f>
        <v xml:space="preserve"> </v>
      </c>
      <c r="G144" s="543">
        <f>R.10PolicyImpHrs4</f>
        <v>0</v>
      </c>
      <c r="H144" s="544">
        <f>Table3[[#This Row],[Hrs Rank]]</f>
        <v>0</v>
      </c>
      <c r="I144" s="534">
        <f t="shared" si="14"/>
        <v>0</v>
      </c>
      <c r="J144" s="534">
        <f t="shared" si="15"/>
        <v>0</v>
      </c>
      <c r="K144" s="546"/>
      <c r="L144" s="546"/>
      <c r="M144" s="547" t="s">
        <v>223</v>
      </c>
      <c r="N144" s="547" t="s">
        <v>223</v>
      </c>
      <c r="O144" s="548"/>
      <c r="P144" s="549"/>
      <c r="Q144" s="550"/>
      <c r="R144" s="550"/>
      <c r="S144" s="549"/>
      <c r="T144" s="550"/>
      <c r="U144" s="550"/>
      <c r="V144" s="549"/>
      <c r="W144" s="550"/>
      <c r="X144" s="550"/>
      <c r="Y144" s="549"/>
      <c r="Z144" s="550"/>
      <c r="AA144" s="550"/>
      <c r="AB144" s="549"/>
      <c r="AC144" s="550"/>
      <c r="AD144" s="550"/>
      <c r="AE144" s="549"/>
      <c r="AF144" s="550"/>
      <c r="AG144" s="550"/>
      <c r="AH144" s="549"/>
      <c r="AI144" s="550"/>
      <c r="AJ144" s="550"/>
      <c r="AK144" s="549"/>
      <c r="AL144" s="550"/>
      <c r="AM144" s="550"/>
      <c r="AN144" s="549"/>
      <c r="AO144" s="550"/>
      <c r="AP144" s="550"/>
      <c r="AQ144" s="549"/>
      <c r="AR144" s="550"/>
      <c r="AS144" s="550"/>
      <c r="AT144" s="549"/>
      <c r="AU144" s="550"/>
      <c r="AV144" s="550"/>
      <c r="AW144" s="549"/>
      <c r="AX144" s="550"/>
      <c r="AY144" s="550"/>
      <c r="AZ144" s="549"/>
      <c r="BA144" s="550"/>
      <c r="BB144" s="550"/>
      <c r="BC144" s="550"/>
    </row>
    <row r="145" spans="1:55" s="519" customFormat="1">
      <c r="A145" s="531" t="str">
        <f t="shared" si="12"/>
        <v>AQ</v>
      </c>
      <c r="B145" s="50" t="str">
        <f t="shared" si="13"/>
        <v>SIPPM25</v>
      </c>
      <c r="C145" s="50" t="s">
        <v>257</v>
      </c>
      <c r="D145" s="532" t="s">
        <v>140</v>
      </c>
      <c r="E145" s="50" t="s">
        <v>53</v>
      </c>
      <c r="F145" s="535" t="str">
        <f>R.10SafetyDevName1</f>
        <v xml:space="preserve"> </v>
      </c>
      <c r="G145" s="543">
        <f>R.10SafetyDevHrs1</f>
        <v>0</v>
      </c>
      <c r="H145" s="544">
        <f>Table3[[#This Row],[Hrs Rank]]</f>
        <v>0</v>
      </c>
      <c r="I145" s="534">
        <f t="shared" si="14"/>
        <v>0</v>
      </c>
      <c r="J145" s="534">
        <f t="shared" si="15"/>
        <v>0</v>
      </c>
      <c r="K145" s="546"/>
      <c r="L145" s="546"/>
      <c r="M145" s="547" t="s">
        <v>223</v>
      </c>
      <c r="N145" s="547" t="s">
        <v>223</v>
      </c>
      <c r="O145" s="548"/>
      <c r="P145" s="549"/>
      <c r="Q145" s="550"/>
      <c r="R145" s="550"/>
      <c r="S145" s="549"/>
      <c r="T145" s="550"/>
      <c r="U145" s="550"/>
      <c r="V145" s="549"/>
      <c r="W145" s="550"/>
      <c r="X145" s="550"/>
      <c r="Y145" s="549"/>
      <c r="Z145" s="550"/>
      <c r="AA145" s="550"/>
      <c r="AB145" s="549"/>
      <c r="AC145" s="550"/>
      <c r="AD145" s="550"/>
      <c r="AE145" s="549"/>
      <c r="AF145" s="550"/>
      <c r="AG145" s="550"/>
      <c r="AH145" s="549"/>
      <c r="AI145" s="550"/>
      <c r="AJ145" s="550"/>
      <c r="AK145" s="549"/>
      <c r="AL145" s="550"/>
      <c r="AM145" s="550"/>
      <c r="AN145" s="549"/>
      <c r="AO145" s="550"/>
      <c r="AP145" s="550"/>
      <c r="AQ145" s="549"/>
      <c r="AR145" s="550"/>
      <c r="AS145" s="550"/>
      <c r="AT145" s="549"/>
      <c r="AU145" s="550"/>
      <c r="AV145" s="550"/>
      <c r="AW145" s="549"/>
      <c r="AX145" s="550"/>
      <c r="AY145" s="550"/>
      <c r="AZ145" s="549"/>
      <c r="BA145" s="550"/>
      <c r="BB145" s="550"/>
      <c r="BC145" s="550"/>
    </row>
    <row r="146" spans="1:55" s="519" customFormat="1">
      <c r="A146" s="531" t="str">
        <f t="shared" si="12"/>
        <v>AQ</v>
      </c>
      <c r="B146" s="50" t="str">
        <f t="shared" si="13"/>
        <v>SIPPM25</v>
      </c>
      <c r="C146" s="50" t="s">
        <v>257</v>
      </c>
      <c r="D146" s="532" t="s">
        <v>140</v>
      </c>
      <c r="E146" s="50" t="s">
        <v>53</v>
      </c>
      <c r="F146" s="535" t="str">
        <f>R.10SafetyDevName2</f>
        <v xml:space="preserve"> </v>
      </c>
      <c r="G146" s="543">
        <f>R.10SafetyDevHrs2</f>
        <v>0</v>
      </c>
      <c r="H146" s="544">
        <f>Table3[[#This Row],[Hrs Rank]]</f>
        <v>0</v>
      </c>
      <c r="I146" s="534">
        <f t="shared" si="14"/>
        <v>0</v>
      </c>
      <c r="J146" s="534">
        <f t="shared" si="15"/>
        <v>0</v>
      </c>
      <c r="K146" s="546"/>
      <c r="L146" s="546"/>
      <c r="M146" s="547" t="s">
        <v>223</v>
      </c>
      <c r="N146" s="547" t="s">
        <v>223</v>
      </c>
      <c r="O146" s="548"/>
      <c r="P146" s="549"/>
      <c r="Q146" s="550"/>
      <c r="R146" s="550"/>
      <c r="S146" s="549"/>
      <c r="T146" s="550"/>
      <c r="U146" s="550"/>
      <c r="V146" s="549"/>
      <c r="W146" s="550"/>
      <c r="X146" s="550"/>
      <c r="Y146" s="549"/>
      <c r="Z146" s="550"/>
      <c r="AA146" s="550"/>
      <c r="AB146" s="549"/>
      <c r="AC146" s="550"/>
      <c r="AD146" s="550"/>
      <c r="AE146" s="549"/>
      <c r="AF146" s="550"/>
      <c r="AG146" s="550"/>
      <c r="AH146" s="549"/>
      <c r="AI146" s="550"/>
      <c r="AJ146" s="550"/>
      <c r="AK146" s="549"/>
      <c r="AL146" s="550"/>
      <c r="AM146" s="550"/>
      <c r="AN146" s="549"/>
      <c r="AO146" s="550"/>
      <c r="AP146" s="550"/>
      <c r="AQ146" s="549"/>
      <c r="AR146" s="550"/>
      <c r="AS146" s="550"/>
      <c r="AT146" s="549"/>
      <c r="AU146" s="550"/>
      <c r="AV146" s="550"/>
      <c r="AW146" s="549"/>
      <c r="AX146" s="550"/>
      <c r="AY146" s="550"/>
      <c r="AZ146" s="549"/>
      <c r="BA146" s="550"/>
      <c r="BB146" s="550"/>
      <c r="BC146" s="550"/>
    </row>
    <row r="147" spans="1:55" s="519" customFormat="1">
      <c r="A147" s="531" t="str">
        <f t="shared" si="12"/>
        <v>AQ</v>
      </c>
      <c r="B147" s="50" t="str">
        <f t="shared" si="13"/>
        <v>SIPPM25</v>
      </c>
      <c r="C147" s="50" t="s">
        <v>257</v>
      </c>
      <c r="D147" s="532" t="s">
        <v>140</v>
      </c>
      <c r="E147" s="50" t="s">
        <v>53</v>
      </c>
      <c r="F147" s="535" t="str">
        <f>R.10SafetyDevName3</f>
        <v xml:space="preserve"> </v>
      </c>
      <c r="G147" s="543">
        <f>R.10SafetyDevHrs3</f>
        <v>0</v>
      </c>
      <c r="H147" s="544">
        <f>Table3[[#This Row],[Hrs Rank]]</f>
        <v>0</v>
      </c>
      <c r="I147" s="534">
        <f t="shared" si="14"/>
        <v>0</v>
      </c>
      <c r="J147" s="534">
        <f t="shared" si="15"/>
        <v>0</v>
      </c>
      <c r="K147" s="546"/>
      <c r="L147" s="546"/>
      <c r="M147" s="547" t="s">
        <v>223</v>
      </c>
      <c r="N147" s="547" t="s">
        <v>223</v>
      </c>
      <c r="O147" s="548"/>
      <c r="P147" s="549"/>
      <c r="Q147" s="550"/>
      <c r="R147" s="550"/>
      <c r="S147" s="549"/>
      <c r="T147" s="550"/>
      <c r="U147" s="550"/>
      <c r="V147" s="549"/>
      <c r="W147" s="550"/>
      <c r="X147" s="550"/>
      <c r="Y147" s="549"/>
      <c r="Z147" s="550"/>
      <c r="AA147" s="550"/>
      <c r="AB147" s="549"/>
      <c r="AC147" s="550"/>
      <c r="AD147" s="550"/>
      <c r="AE147" s="549"/>
      <c r="AF147" s="550"/>
      <c r="AG147" s="550"/>
      <c r="AH147" s="549"/>
      <c r="AI147" s="550"/>
      <c r="AJ147" s="550"/>
      <c r="AK147" s="549"/>
      <c r="AL147" s="550"/>
      <c r="AM147" s="550"/>
      <c r="AN147" s="549"/>
      <c r="AO147" s="550"/>
      <c r="AP147" s="550"/>
      <c r="AQ147" s="549"/>
      <c r="AR147" s="550"/>
      <c r="AS147" s="550"/>
      <c r="AT147" s="549"/>
      <c r="AU147" s="550"/>
      <c r="AV147" s="550"/>
      <c r="AW147" s="549"/>
      <c r="AX147" s="550"/>
      <c r="AY147" s="550"/>
      <c r="AZ147" s="549"/>
      <c r="BA147" s="550"/>
      <c r="BB147" s="550"/>
      <c r="BC147" s="550"/>
    </row>
    <row r="148" spans="1:55" s="519" customFormat="1">
      <c r="A148" s="531" t="str">
        <f t="shared" si="12"/>
        <v>AQ</v>
      </c>
      <c r="B148" s="50" t="str">
        <f t="shared" si="13"/>
        <v>SIPPM25</v>
      </c>
      <c r="C148" s="50" t="s">
        <v>257</v>
      </c>
      <c r="D148" s="532" t="s">
        <v>140</v>
      </c>
      <c r="E148" s="50" t="s">
        <v>53</v>
      </c>
      <c r="F148" s="535" t="str">
        <f>R.10SafetyDevName4</f>
        <v xml:space="preserve"> </v>
      </c>
      <c r="G148" s="543">
        <f>R.10SafetyDevHrs4</f>
        <v>0</v>
      </c>
      <c r="H148" s="544">
        <f>Table3[[#This Row],[Hrs Rank]]</f>
        <v>0</v>
      </c>
      <c r="I148" s="534">
        <f t="shared" si="14"/>
        <v>0</v>
      </c>
      <c r="J148" s="534">
        <f t="shared" si="15"/>
        <v>0</v>
      </c>
      <c r="K148" s="546"/>
      <c r="L148" s="546"/>
      <c r="M148" s="547" t="s">
        <v>223</v>
      </c>
      <c r="N148" s="547" t="s">
        <v>223</v>
      </c>
      <c r="O148" s="548"/>
      <c r="P148" s="549"/>
      <c r="Q148" s="550"/>
      <c r="R148" s="550"/>
      <c r="S148" s="549"/>
      <c r="T148" s="550"/>
      <c r="U148" s="550"/>
      <c r="V148" s="549"/>
      <c r="W148" s="550"/>
      <c r="X148" s="550"/>
      <c r="Y148" s="549"/>
      <c r="Z148" s="550"/>
      <c r="AA148" s="550"/>
      <c r="AB148" s="549"/>
      <c r="AC148" s="550"/>
      <c r="AD148" s="550"/>
      <c r="AE148" s="549"/>
      <c r="AF148" s="550"/>
      <c r="AG148" s="550"/>
      <c r="AH148" s="549"/>
      <c r="AI148" s="550"/>
      <c r="AJ148" s="550"/>
      <c r="AK148" s="549"/>
      <c r="AL148" s="550"/>
      <c r="AM148" s="550"/>
      <c r="AN148" s="549"/>
      <c r="AO148" s="550"/>
      <c r="AP148" s="550"/>
      <c r="AQ148" s="549"/>
      <c r="AR148" s="550"/>
      <c r="AS148" s="550"/>
      <c r="AT148" s="549"/>
      <c r="AU148" s="550"/>
      <c r="AV148" s="550"/>
      <c r="AW148" s="549"/>
      <c r="AX148" s="550"/>
      <c r="AY148" s="550"/>
      <c r="AZ148" s="549"/>
      <c r="BA148" s="550"/>
      <c r="BB148" s="550"/>
      <c r="BC148" s="550"/>
    </row>
    <row r="149" spans="1:55" ht="13.5" customHeight="1">
      <c r="A149" s="531" t="str">
        <f t="shared" ref="A149:A158" si="16">R.1Division</f>
        <v>AQ</v>
      </c>
      <c r="B149" s="50" t="str">
        <f t="shared" ref="B149:B158" si="17">R.1CodeName</f>
        <v>SIPPM25</v>
      </c>
      <c r="C149" s="50" t="s">
        <v>257</v>
      </c>
      <c r="D149" s="532" t="s">
        <v>140</v>
      </c>
      <c r="E149" s="50" t="s">
        <v>52</v>
      </c>
      <c r="F149" s="535" t="str">
        <f>R.10SafetyImpName1</f>
        <v xml:space="preserve"> </v>
      </c>
      <c r="G149" s="543">
        <f>R.10SafetyImpHrs1</f>
        <v>0</v>
      </c>
      <c r="H149" s="544">
        <f>Table3[[#This Row],[Hrs Rank]]</f>
        <v>0</v>
      </c>
      <c r="I149" s="534">
        <f t="shared" si="14"/>
        <v>0</v>
      </c>
      <c r="J149" s="534">
        <f t="shared" si="15"/>
        <v>0</v>
      </c>
      <c r="K149" s="546"/>
      <c r="L149" s="546"/>
      <c r="M149" s="547" t="s">
        <v>223</v>
      </c>
      <c r="N149" s="547" t="s">
        <v>223</v>
      </c>
      <c r="O149" s="548"/>
      <c r="P149" s="549"/>
      <c r="Q149" s="550"/>
      <c r="R149" s="550"/>
      <c r="S149" s="549"/>
      <c r="T149" s="550"/>
      <c r="U149" s="550"/>
      <c r="V149" s="549"/>
      <c r="W149" s="550"/>
      <c r="X149" s="550"/>
      <c r="Y149" s="549"/>
      <c r="Z149" s="550"/>
      <c r="AA149" s="550"/>
      <c r="AB149" s="549"/>
      <c r="AC149" s="550"/>
      <c r="AD149" s="550"/>
      <c r="AE149" s="549"/>
      <c r="AF149" s="550"/>
      <c r="AG149" s="550"/>
      <c r="AH149" s="549"/>
      <c r="AI149" s="550"/>
      <c r="AJ149" s="550"/>
      <c r="AK149" s="549"/>
      <c r="AL149" s="550"/>
      <c r="AM149" s="550"/>
      <c r="AN149" s="549"/>
      <c r="AO149" s="550"/>
      <c r="AP149" s="550"/>
      <c r="AQ149" s="549"/>
      <c r="AR149" s="550"/>
      <c r="AS149" s="550"/>
      <c r="AT149" s="549"/>
      <c r="AU149" s="550"/>
      <c r="AV149" s="550"/>
      <c r="AW149" s="549"/>
      <c r="AX149" s="550"/>
      <c r="AY149" s="550"/>
      <c r="AZ149" s="549"/>
      <c r="BA149" s="550"/>
      <c r="BB149" s="550"/>
      <c r="BC149" s="550"/>
    </row>
    <row r="150" spans="1:55">
      <c r="A150" s="531" t="str">
        <f t="shared" si="16"/>
        <v>AQ</v>
      </c>
      <c r="B150" s="50" t="str">
        <f t="shared" si="17"/>
        <v>SIPPM25</v>
      </c>
      <c r="C150" s="50" t="s">
        <v>257</v>
      </c>
      <c r="D150" s="532" t="s">
        <v>140</v>
      </c>
      <c r="E150" s="50" t="s">
        <v>52</v>
      </c>
      <c r="F150" s="535" t="str">
        <f>R.10SafetyImpName2</f>
        <v xml:space="preserve"> </v>
      </c>
      <c r="G150" s="543">
        <f>R.10SafetyImpHrs2</f>
        <v>0</v>
      </c>
      <c r="H150" s="544">
        <f>Table3[[#This Row],[Hrs Rank]]</f>
        <v>0</v>
      </c>
      <c r="I150" s="534">
        <f t="shared" si="14"/>
        <v>0</v>
      </c>
      <c r="J150" s="534">
        <f t="shared" si="15"/>
        <v>0</v>
      </c>
      <c r="K150" s="546"/>
      <c r="L150" s="546"/>
      <c r="M150" s="547" t="s">
        <v>223</v>
      </c>
      <c r="N150" s="547" t="s">
        <v>223</v>
      </c>
      <c r="O150" s="548"/>
      <c r="P150" s="549"/>
      <c r="Q150" s="550"/>
      <c r="R150" s="550"/>
      <c r="S150" s="549"/>
      <c r="T150" s="550"/>
      <c r="U150" s="550"/>
      <c r="V150" s="549"/>
      <c r="W150" s="550"/>
      <c r="X150" s="550"/>
      <c r="Y150" s="549"/>
      <c r="Z150" s="550"/>
      <c r="AA150" s="550"/>
      <c r="AB150" s="549"/>
      <c r="AC150" s="550"/>
      <c r="AD150" s="550"/>
      <c r="AE150" s="549"/>
      <c r="AF150" s="550"/>
      <c r="AG150" s="550"/>
      <c r="AH150" s="549"/>
      <c r="AI150" s="550"/>
      <c r="AJ150" s="550"/>
      <c r="AK150" s="549"/>
      <c r="AL150" s="550"/>
      <c r="AM150" s="550"/>
      <c r="AN150" s="549"/>
      <c r="AO150" s="550"/>
      <c r="AP150" s="550"/>
      <c r="AQ150" s="549"/>
      <c r="AR150" s="550"/>
      <c r="AS150" s="550"/>
      <c r="AT150" s="549"/>
      <c r="AU150" s="550"/>
      <c r="AV150" s="550"/>
      <c r="AW150" s="549"/>
      <c r="AX150" s="550"/>
      <c r="AY150" s="550"/>
      <c r="AZ150" s="549"/>
      <c r="BA150" s="550"/>
      <c r="BB150" s="550"/>
      <c r="BC150" s="550"/>
    </row>
    <row r="151" spans="1:55">
      <c r="A151" s="531" t="str">
        <f t="shared" si="16"/>
        <v>AQ</v>
      </c>
      <c r="B151" s="50" t="str">
        <f t="shared" si="17"/>
        <v>SIPPM25</v>
      </c>
      <c r="C151" s="50" t="s">
        <v>257</v>
      </c>
      <c r="D151" s="532" t="s">
        <v>140</v>
      </c>
      <c r="E151" s="50" t="s">
        <v>52</v>
      </c>
      <c r="F151" s="535">
        <f>R.10SafetyImpName3</f>
        <v>0</v>
      </c>
      <c r="G151" s="543">
        <f>R.10SafetyImpHrs3</f>
        <v>0</v>
      </c>
      <c r="H151" s="544">
        <f>Table3[[#This Row],[Hrs Rank]]</f>
        <v>0</v>
      </c>
      <c r="I151" s="534">
        <f t="shared" si="14"/>
        <v>0</v>
      </c>
      <c r="J151" s="534">
        <f t="shared" si="15"/>
        <v>0</v>
      </c>
      <c r="K151" s="546"/>
      <c r="L151" s="546"/>
      <c r="M151" s="547" t="s">
        <v>223</v>
      </c>
      <c r="N151" s="547" t="s">
        <v>223</v>
      </c>
      <c r="O151" s="548"/>
      <c r="P151" s="549"/>
      <c r="Q151" s="550"/>
      <c r="R151" s="550"/>
      <c r="S151" s="549"/>
      <c r="T151" s="550"/>
      <c r="U151" s="550"/>
      <c r="V151" s="549"/>
      <c r="W151" s="550"/>
      <c r="X151" s="550"/>
      <c r="Y151" s="549"/>
      <c r="Z151" s="550"/>
      <c r="AA151" s="550"/>
      <c r="AB151" s="549"/>
      <c r="AC151" s="550"/>
      <c r="AD151" s="550"/>
      <c r="AE151" s="549"/>
      <c r="AF151" s="550"/>
      <c r="AG151" s="550"/>
      <c r="AH151" s="549"/>
      <c r="AI151" s="550"/>
      <c r="AJ151" s="550"/>
      <c r="AK151" s="549"/>
      <c r="AL151" s="550"/>
      <c r="AM151" s="550"/>
      <c r="AN151" s="549"/>
      <c r="AO151" s="550"/>
      <c r="AP151" s="550"/>
      <c r="AQ151" s="549"/>
      <c r="AR151" s="550"/>
      <c r="AS151" s="550"/>
      <c r="AT151" s="549"/>
      <c r="AU151" s="550"/>
      <c r="AV151" s="550"/>
      <c r="AW151" s="549"/>
      <c r="AX151" s="550"/>
      <c r="AY151" s="550"/>
      <c r="AZ151" s="549"/>
      <c r="BA151" s="550"/>
      <c r="BB151" s="550"/>
      <c r="BC151" s="550"/>
    </row>
    <row r="152" spans="1:55">
      <c r="A152" s="531" t="str">
        <f t="shared" si="16"/>
        <v>AQ</v>
      </c>
      <c r="B152" s="50" t="str">
        <f t="shared" si="17"/>
        <v>SIPPM25</v>
      </c>
      <c r="C152" s="50" t="s">
        <v>257</v>
      </c>
      <c r="D152" s="532" t="s">
        <v>140</v>
      </c>
      <c r="E152" s="50" t="s">
        <v>52</v>
      </c>
      <c r="F152" s="535" t="str">
        <f>R.10SafetyImpName4</f>
        <v xml:space="preserve"> </v>
      </c>
      <c r="G152" s="543">
        <f>R.10SafetyImpHrs4</f>
        <v>0</v>
      </c>
      <c r="H152" s="544">
        <f>Table3[[#This Row],[Hrs Rank]]</f>
        <v>0</v>
      </c>
      <c r="I152" s="534">
        <f t="shared" si="14"/>
        <v>0</v>
      </c>
      <c r="J152" s="534">
        <f t="shared" si="15"/>
        <v>0</v>
      </c>
      <c r="K152" s="546"/>
      <c r="L152" s="546"/>
      <c r="M152" s="547" t="s">
        <v>223</v>
      </c>
      <c r="N152" s="547" t="s">
        <v>223</v>
      </c>
      <c r="O152" s="548"/>
      <c r="P152" s="549"/>
      <c r="Q152" s="550"/>
      <c r="R152" s="550"/>
      <c r="S152" s="549"/>
      <c r="T152" s="550"/>
      <c r="U152" s="550"/>
      <c r="V152" s="549"/>
      <c r="W152" s="550"/>
      <c r="X152" s="550"/>
      <c r="Y152" s="549"/>
      <c r="Z152" s="550"/>
      <c r="AA152" s="550"/>
      <c r="AB152" s="549"/>
      <c r="AC152" s="550"/>
      <c r="AD152" s="550"/>
      <c r="AE152" s="549"/>
      <c r="AF152" s="550"/>
      <c r="AG152" s="550"/>
      <c r="AH152" s="549"/>
      <c r="AI152" s="550"/>
      <c r="AJ152" s="550"/>
      <c r="AK152" s="549"/>
      <c r="AL152" s="550"/>
      <c r="AM152" s="550"/>
      <c r="AN152" s="549"/>
      <c r="AO152" s="550"/>
      <c r="AP152" s="550"/>
      <c r="AQ152" s="549"/>
      <c r="AR152" s="550"/>
      <c r="AS152" s="550"/>
      <c r="AT152" s="549"/>
      <c r="AU152" s="550"/>
      <c r="AV152" s="550"/>
      <c r="AW152" s="549"/>
      <c r="AX152" s="550"/>
      <c r="AY152" s="550"/>
      <c r="AZ152" s="549"/>
      <c r="BA152" s="550"/>
      <c r="BB152" s="550"/>
      <c r="BC152" s="550"/>
    </row>
    <row r="153" spans="1:55">
      <c r="A153" s="531" t="str">
        <f t="shared" si="16"/>
        <v>AQ</v>
      </c>
      <c r="B153" s="50" t="str">
        <f t="shared" si="17"/>
        <v>SIPPM25</v>
      </c>
      <c r="C153" s="50" t="s">
        <v>257</v>
      </c>
      <c r="D153" s="532" t="s">
        <v>139</v>
      </c>
      <c r="E153" s="50" t="s">
        <v>53</v>
      </c>
      <c r="F153" s="535">
        <f>R.10TrainingDevName1</f>
        <v>0</v>
      </c>
      <c r="G153" s="543">
        <f>R.10TrainingDevHrs1</f>
        <v>0</v>
      </c>
      <c r="H153" s="544">
        <f>Table3[[#This Row],[Hrs Rank]]</f>
        <v>0</v>
      </c>
      <c r="I153" s="534">
        <f t="shared" si="14"/>
        <v>0</v>
      </c>
      <c r="J153" s="534">
        <f t="shared" si="15"/>
        <v>0</v>
      </c>
      <c r="K153" s="546"/>
      <c r="L153" s="546"/>
      <c r="M153" s="547" t="s">
        <v>223</v>
      </c>
      <c r="N153" s="547" t="s">
        <v>223</v>
      </c>
      <c r="O153" s="548"/>
      <c r="P153" s="549"/>
      <c r="Q153" s="550"/>
      <c r="R153" s="550"/>
      <c r="S153" s="549"/>
      <c r="T153" s="550"/>
      <c r="U153" s="550"/>
      <c r="V153" s="549"/>
      <c r="W153" s="550"/>
      <c r="X153" s="550"/>
      <c r="Y153" s="549"/>
      <c r="Z153" s="550"/>
      <c r="AA153" s="550"/>
      <c r="AB153" s="549"/>
      <c r="AC153" s="550"/>
      <c r="AD153" s="550"/>
      <c r="AE153" s="549"/>
      <c r="AF153" s="550"/>
      <c r="AG153" s="550"/>
      <c r="AH153" s="549"/>
      <c r="AI153" s="550"/>
      <c r="AJ153" s="550"/>
      <c r="AK153" s="549"/>
      <c r="AL153" s="550"/>
      <c r="AM153" s="550"/>
      <c r="AN153" s="549"/>
      <c r="AO153" s="550"/>
      <c r="AP153" s="550"/>
      <c r="AQ153" s="549"/>
      <c r="AR153" s="550"/>
      <c r="AS153" s="550"/>
      <c r="AT153" s="549"/>
      <c r="AU153" s="550"/>
      <c r="AV153" s="550"/>
      <c r="AW153" s="549"/>
      <c r="AX153" s="550"/>
      <c r="AY153" s="550"/>
      <c r="AZ153" s="549"/>
      <c r="BA153" s="550"/>
      <c r="BB153" s="550"/>
      <c r="BC153" s="550"/>
    </row>
    <row r="154" spans="1:55">
      <c r="A154" s="531" t="str">
        <f t="shared" si="16"/>
        <v>AQ</v>
      </c>
      <c r="B154" s="50" t="str">
        <f t="shared" si="17"/>
        <v>SIPPM25</v>
      </c>
      <c r="C154" s="50" t="s">
        <v>257</v>
      </c>
      <c r="D154" s="532" t="s">
        <v>139</v>
      </c>
      <c r="E154" s="50" t="s">
        <v>53</v>
      </c>
      <c r="F154" s="535">
        <f>R.10TrainingDevName2</f>
        <v>0</v>
      </c>
      <c r="G154" s="543">
        <f>R.10TrainingDevHrs2</f>
        <v>0</v>
      </c>
      <c r="H154" s="544">
        <f>Table3[[#This Row],[Hrs Rank]]</f>
        <v>0</v>
      </c>
      <c r="I154" s="534">
        <f t="shared" si="14"/>
        <v>0</v>
      </c>
      <c r="J154" s="534">
        <f t="shared" si="15"/>
        <v>0</v>
      </c>
      <c r="K154" s="546"/>
      <c r="L154" s="546"/>
      <c r="M154" s="547" t="s">
        <v>223</v>
      </c>
      <c r="N154" s="547" t="s">
        <v>223</v>
      </c>
      <c r="O154" s="548"/>
      <c r="P154" s="549"/>
      <c r="Q154" s="550"/>
      <c r="R154" s="550"/>
      <c r="S154" s="549"/>
      <c r="T154" s="550"/>
      <c r="U154" s="550"/>
      <c r="V154" s="549"/>
      <c r="W154" s="550"/>
      <c r="X154" s="550"/>
      <c r="Y154" s="549"/>
      <c r="Z154" s="550"/>
      <c r="AA154" s="550"/>
      <c r="AB154" s="549"/>
      <c r="AC154" s="550"/>
      <c r="AD154" s="550"/>
      <c r="AE154" s="549"/>
      <c r="AF154" s="550"/>
      <c r="AG154" s="550"/>
      <c r="AH154" s="549"/>
      <c r="AI154" s="550"/>
      <c r="AJ154" s="550"/>
      <c r="AK154" s="549"/>
      <c r="AL154" s="550"/>
      <c r="AM154" s="550"/>
      <c r="AN154" s="549"/>
      <c r="AO154" s="550"/>
      <c r="AP154" s="550"/>
      <c r="AQ154" s="549"/>
      <c r="AR154" s="550"/>
      <c r="AS154" s="550"/>
      <c r="AT154" s="549"/>
      <c r="AU154" s="550"/>
      <c r="AV154" s="550"/>
      <c r="AW154" s="549"/>
      <c r="AX154" s="550"/>
      <c r="AY154" s="550"/>
      <c r="AZ154" s="549"/>
      <c r="BA154" s="550"/>
      <c r="BB154" s="550"/>
      <c r="BC154" s="550"/>
    </row>
    <row r="155" spans="1:55">
      <c r="A155" s="531" t="str">
        <f t="shared" si="16"/>
        <v>AQ</v>
      </c>
      <c r="B155" s="50" t="str">
        <f t="shared" si="17"/>
        <v>SIPPM25</v>
      </c>
      <c r="C155" s="50" t="s">
        <v>257</v>
      </c>
      <c r="D155" s="532" t="s">
        <v>139</v>
      </c>
      <c r="E155" s="50" t="s">
        <v>53</v>
      </c>
      <c r="F155" s="535" t="str">
        <f>R.10TrainingDevName3</f>
        <v xml:space="preserve"> </v>
      </c>
      <c r="G155" s="543">
        <f>R.10TrainingDevHrs3</f>
        <v>0</v>
      </c>
      <c r="H155" s="544">
        <f>Table3[[#This Row],[Hrs Rank]]</f>
        <v>0</v>
      </c>
      <c r="I155" s="534">
        <f t="shared" si="14"/>
        <v>0</v>
      </c>
      <c r="J155" s="534">
        <f t="shared" si="15"/>
        <v>0</v>
      </c>
      <c r="K155" s="546"/>
      <c r="L155" s="546"/>
      <c r="M155" s="547" t="s">
        <v>223</v>
      </c>
      <c r="N155" s="547" t="s">
        <v>223</v>
      </c>
      <c r="O155" s="548"/>
      <c r="P155" s="549"/>
      <c r="Q155" s="550"/>
      <c r="R155" s="550"/>
      <c r="S155" s="549"/>
      <c r="T155" s="550"/>
      <c r="U155" s="550"/>
      <c r="V155" s="549"/>
      <c r="W155" s="550"/>
      <c r="X155" s="550"/>
      <c r="Y155" s="549"/>
      <c r="Z155" s="550"/>
      <c r="AA155" s="550"/>
      <c r="AB155" s="549"/>
      <c r="AC155" s="550"/>
      <c r="AD155" s="550"/>
      <c r="AE155" s="549"/>
      <c r="AF155" s="550"/>
      <c r="AG155" s="550"/>
      <c r="AH155" s="549"/>
      <c r="AI155" s="550"/>
      <c r="AJ155" s="550"/>
      <c r="AK155" s="549"/>
      <c r="AL155" s="550"/>
      <c r="AM155" s="550"/>
      <c r="AN155" s="549"/>
      <c r="AO155" s="550"/>
      <c r="AP155" s="550"/>
      <c r="AQ155" s="549"/>
      <c r="AR155" s="550"/>
      <c r="AS155" s="550"/>
      <c r="AT155" s="549"/>
      <c r="AU155" s="550"/>
      <c r="AV155" s="550"/>
      <c r="AW155" s="549"/>
      <c r="AX155" s="550"/>
      <c r="AY155" s="550"/>
      <c r="AZ155" s="549"/>
      <c r="BA155" s="550"/>
      <c r="BB155" s="550"/>
      <c r="BC155" s="550"/>
    </row>
    <row r="156" spans="1:55">
      <c r="A156" s="531" t="str">
        <f t="shared" si="16"/>
        <v>AQ</v>
      </c>
      <c r="B156" s="50" t="str">
        <f t="shared" si="17"/>
        <v>SIPPM25</v>
      </c>
      <c r="C156" s="50" t="s">
        <v>257</v>
      </c>
      <c r="D156" s="532" t="s">
        <v>139</v>
      </c>
      <c r="E156" s="50" t="s">
        <v>53</v>
      </c>
      <c r="F156" s="535" t="str">
        <f>R.10TrainingDevName4</f>
        <v xml:space="preserve"> </v>
      </c>
      <c r="G156" s="543">
        <f>R.10TrainingDevHrs4</f>
        <v>0</v>
      </c>
      <c r="H156" s="544">
        <f>Table3[[#This Row],[Hrs Rank]]</f>
        <v>0</v>
      </c>
      <c r="I156" s="534">
        <f t="shared" si="14"/>
        <v>0</v>
      </c>
      <c r="J156" s="534">
        <f t="shared" si="15"/>
        <v>0</v>
      </c>
      <c r="K156" s="551"/>
      <c r="L156" s="551"/>
      <c r="M156" s="547" t="s">
        <v>223</v>
      </c>
      <c r="N156" s="547" t="s">
        <v>223</v>
      </c>
      <c r="O156" s="548"/>
      <c r="P156" s="549"/>
      <c r="Q156" s="550"/>
      <c r="R156" s="550"/>
      <c r="S156" s="549"/>
      <c r="T156" s="550"/>
      <c r="U156" s="550"/>
      <c r="V156" s="549"/>
      <c r="W156" s="550"/>
      <c r="X156" s="550"/>
      <c r="Y156" s="549"/>
      <c r="Z156" s="550"/>
      <c r="AA156" s="550"/>
      <c r="AB156" s="549"/>
      <c r="AC156" s="550"/>
      <c r="AD156" s="550"/>
      <c r="AE156" s="549"/>
      <c r="AF156" s="550"/>
      <c r="AG156" s="550"/>
      <c r="AH156" s="549"/>
      <c r="AI156" s="550"/>
      <c r="AJ156" s="550"/>
      <c r="AK156" s="549"/>
      <c r="AL156" s="550"/>
      <c r="AM156" s="550"/>
      <c r="AN156" s="549"/>
      <c r="AO156" s="550"/>
      <c r="AP156" s="550"/>
      <c r="AQ156" s="549"/>
      <c r="AR156" s="550"/>
      <c r="AS156" s="550"/>
      <c r="AT156" s="549"/>
      <c r="AU156" s="550"/>
      <c r="AV156" s="550"/>
      <c r="AW156" s="549"/>
      <c r="AX156" s="550"/>
      <c r="AY156" s="550"/>
      <c r="AZ156" s="549"/>
      <c r="BA156" s="550"/>
      <c r="BB156" s="550"/>
      <c r="BC156" s="550"/>
    </row>
    <row r="157" spans="1:55">
      <c r="A157" s="531" t="str">
        <f t="shared" si="16"/>
        <v>AQ</v>
      </c>
      <c r="B157" s="50" t="str">
        <f t="shared" si="17"/>
        <v>SIPPM25</v>
      </c>
      <c r="C157" s="50" t="s">
        <v>257</v>
      </c>
      <c r="D157" s="532" t="s">
        <v>139</v>
      </c>
      <c r="E157" s="50" t="s">
        <v>52</v>
      </c>
      <c r="F157" s="535" t="str">
        <f>R.10TrainingImpName1</f>
        <v xml:space="preserve"> </v>
      </c>
      <c r="G157" s="543">
        <f>R.10TrainingImpHrs1</f>
        <v>0</v>
      </c>
      <c r="H157" s="544">
        <f>Table3[[#This Row],[Hrs Rank]]</f>
        <v>0</v>
      </c>
      <c r="I157" s="534">
        <f t="shared" si="14"/>
        <v>0</v>
      </c>
      <c r="J157" s="534">
        <f t="shared" si="15"/>
        <v>0</v>
      </c>
      <c r="K157" s="551"/>
      <c r="L157" s="551"/>
      <c r="M157" s="547" t="s">
        <v>223</v>
      </c>
      <c r="N157" s="547" t="s">
        <v>223</v>
      </c>
      <c r="O157" s="548"/>
      <c r="P157" s="549"/>
      <c r="Q157" s="550"/>
      <c r="R157" s="550"/>
      <c r="S157" s="549"/>
      <c r="T157" s="550"/>
      <c r="U157" s="550"/>
      <c r="V157" s="549"/>
      <c r="W157" s="550"/>
      <c r="X157" s="550"/>
      <c r="Y157" s="549"/>
      <c r="Z157" s="550"/>
      <c r="AA157" s="550"/>
      <c r="AB157" s="549"/>
      <c r="AC157" s="550"/>
      <c r="AD157" s="550"/>
      <c r="AE157" s="549"/>
      <c r="AF157" s="550"/>
      <c r="AG157" s="550"/>
      <c r="AH157" s="549"/>
      <c r="AI157" s="550"/>
      <c r="AJ157" s="550"/>
      <c r="AK157" s="549"/>
      <c r="AL157" s="550"/>
      <c r="AM157" s="550"/>
      <c r="AN157" s="549"/>
      <c r="AO157" s="550"/>
      <c r="AP157" s="550"/>
      <c r="AQ157" s="549"/>
      <c r="AR157" s="550"/>
      <c r="AS157" s="550"/>
      <c r="AT157" s="549"/>
      <c r="AU157" s="550"/>
      <c r="AV157" s="550"/>
      <c r="AW157" s="549"/>
      <c r="AX157" s="550"/>
      <c r="AY157" s="550"/>
      <c r="AZ157" s="549"/>
      <c r="BA157" s="550"/>
      <c r="BB157" s="550"/>
      <c r="BC157" s="550"/>
    </row>
    <row r="158" spans="1:55">
      <c r="A158" s="531" t="str">
        <f t="shared" si="16"/>
        <v>AQ</v>
      </c>
      <c r="B158" s="50" t="str">
        <f t="shared" si="17"/>
        <v>SIPPM25</v>
      </c>
      <c r="C158" s="50" t="s">
        <v>257</v>
      </c>
      <c r="D158" s="532" t="s">
        <v>139</v>
      </c>
      <c r="E158" s="50" t="s">
        <v>52</v>
      </c>
      <c r="F158" s="535" t="str">
        <f>R.10TrainingImpName2</f>
        <v xml:space="preserve"> </v>
      </c>
      <c r="G158" s="543">
        <f>R.10TrainingImpHrs2</f>
        <v>0</v>
      </c>
      <c r="H158" s="544">
        <f>Table3[[#This Row],[Hrs Rank]]</f>
        <v>0</v>
      </c>
      <c r="I158" s="534">
        <f t="shared" si="14"/>
        <v>0</v>
      </c>
      <c r="J158" s="534">
        <f t="shared" si="15"/>
        <v>0</v>
      </c>
      <c r="K158" s="551"/>
      <c r="L158" s="551"/>
      <c r="M158" s="547" t="s">
        <v>223</v>
      </c>
      <c r="N158" s="547" t="s">
        <v>223</v>
      </c>
      <c r="O158" s="548"/>
      <c r="P158" s="549"/>
      <c r="Q158" s="550"/>
      <c r="R158" s="550"/>
      <c r="S158" s="549"/>
      <c r="T158" s="550"/>
      <c r="U158" s="550"/>
      <c r="V158" s="549"/>
      <c r="W158" s="550"/>
      <c r="X158" s="550"/>
      <c r="Y158" s="549"/>
      <c r="Z158" s="550"/>
      <c r="AA158" s="550"/>
      <c r="AB158" s="549"/>
      <c r="AC158" s="550"/>
      <c r="AD158" s="550"/>
      <c r="AE158" s="549"/>
      <c r="AF158" s="550"/>
      <c r="AG158" s="550"/>
      <c r="AH158" s="549"/>
      <c r="AI158" s="550"/>
      <c r="AJ158" s="550"/>
      <c r="AK158" s="549"/>
      <c r="AL158" s="550"/>
      <c r="AM158" s="550"/>
      <c r="AN158" s="549"/>
      <c r="AO158" s="550"/>
      <c r="AP158" s="550"/>
      <c r="AQ158" s="549"/>
      <c r="AR158" s="550"/>
      <c r="AS158" s="550"/>
      <c r="AT158" s="549"/>
      <c r="AU158" s="550"/>
      <c r="AV158" s="550"/>
      <c r="AW158" s="549"/>
      <c r="AX158" s="550"/>
      <c r="AY158" s="550"/>
      <c r="AZ158" s="549"/>
      <c r="BA158" s="550"/>
      <c r="BB158" s="550"/>
      <c r="BC158" s="550"/>
    </row>
    <row r="159" spans="1:55" s="519" customFormat="1">
      <c r="A159" s="531" t="str">
        <f t="shared" ref="A159:A190" si="18">R.1Division</f>
        <v>AQ</v>
      </c>
      <c r="B159" s="50" t="str">
        <f t="shared" ref="B159:B190" si="19">R.1CodeName</f>
        <v>SIPPM25</v>
      </c>
      <c r="C159" s="50" t="s">
        <v>257</v>
      </c>
      <c r="D159" s="532" t="s">
        <v>139</v>
      </c>
      <c r="E159" s="50" t="s">
        <v>52</v>
      </c>
      <c r="F159" s="535" t="str">
        <f>R.10TrainingImpName3</f>
        <v xml:space="preserve"> </v>
      </c>
      <c r="G159" s="543">
        <f>R.10TrainingImpHrs3</f>
        <v>0</v>
      </c>
      <c r="H159" s="544">
        <f>Table3[[#This Row],[Hrs Rank]]</f>
        <v>0</v>
      </c>
      <c r="I159" s="534">
        <f t="shared" si="14"/>
        <v>0</v>
      </c>
      <c r="J159" s="534">
        <f t="shared" si="15"/>
        <v>0</v>
      </c>
      <c r="K159" s="551"/>
      <c r="L159" s="551"/>
      <c r="M159" s="547" t="s">
        <v>223</v>
      </c>
      <c r="N159" s="547" t="s">
        <v>223</v>
      </c>
      <c r="O159" s="548"/>
      <c r="P159" s="549"/>
      <c r="Q159" s="550"/>
      <c r="R159" s="550"/>
      <c r="S159" s="549"/>
      <c r="T159" s="550"/>
      <c r="U159" s="550"/>
      <c r="V159" s="549"/>
      <c r="W159" s="550"/>
      <c r="X159" s="550"/>
      <c r="Y159" s="549"/>
      <c r="Z159" s="550"/>
      <c r="AA159" s="550"/>
      <c r="AB159" s="549"/>
      <c r="AC159" s="550"/>
      <c r="AD159" s="550"/>
      <c r="AE159" s="549"/>
      <c r="AF159" s="550"/>
      <c r="AG159" s="550"/>
      <c r="AH159" s="549"/>
      <c r="AI159" s="550"/>
      <c r="AJ159" s="550"/>
      <c r="AK159" s="549"/>
      <c r="AL159" s="550"/>
      <c r="AM159" s="550"/>
      <c r="AN159" s="549"/>
      <c r="AO159" s="550"/>
      <c r="AP159" s="550"/>
      <c r="AQ159" s="549"/>
      <c r="AR159" s="550"/>
      <c r="AS159" s="550"/>
      <c r="AT159" s="549"/>
      <c r="AU159" s="550"/>
      <c r="AV159" s="550"/>
      <c r="AW159" s="549"/>
      <c r="AX159" s="550"/>
      <c r="AY159" s="550"/>
      <c r="AZ159" s="549"/>
      <c r="BA159" s="550"/>
      <c r="BB159" s="550"/>
      <c r="BC159" s="550"/>
    </row>
    <row r="160" spans="1:55" s="519" customFormat="1">
      <c r="A160" s="531" t="str">
        <f t="shared" si="18"/>
        <v>AQ</v>
      </c>
      <c r="B160" s="50" t="str">
        <f t="shared" si="19"/>
        <v>SIPPM25</v>
      </c>
      <c r="C160" s="50" t="s">
        <v>257</v>
      </c>
      <c r="D160" s="532" t="s">
        <v>139</v>
      </c>
      <c r="E160" s="50" t="s">
        <v>52</v>
      </c>
      <c r="F160" s="535" t="str">
        <f>R.10TrainingImpName4</f>
        <v xml:space="preserve"> </v>
      </c>
      <c r="G160" s="543">
        <f>R.10TrainingImpHrs4</f>
        <v>0</v>
      </c>
      <c r="H160" s="544">
        <f>Table3[[#This Row],[Hrs Rank]]</f>
        <v>0</v>
      </c>
      <c r="I160" s="534">
        <f t="shared" si="14"/>
        <v>0</v>
      </c>
      <c r="J160" s="534">
        <f t="shared" si="15"/>
        <v>0</v>
      </c>
      <c r="K160" s="551"/>
      <c r="L160" s="551"/>
      <c r="M160" s="547" t="s">
        <v>223</v>
      </c>
      <c r="N160" s="547" t="s">
        <v>223</v>
      </c>
      <c r="O160" s="548"/>
      <c r="P160" s="549"/>
      <c r="Q160" s="550"/>
      <c r="R160" s="550"/>
      <c r="S160" s="549"/>
      <c r="T160" s="550"/>
      <c r="U160" s="550"/>
      <c r="V160" s="549"/>
      <c r="W160" s="550"/>
      <c r="X160" s="550"/>
      <c r="Y160" s="549"/>
      <c r="Z160" s="550"/>
      <c r="AA160" s="550"/>
      <c r="AB160" s="549"/>
      <c r="AC160" s="550"/>
      <c r="AD160" s="550"/>
      <c r="AE160" s="549"/>
      <c r="AF160" s="550"/>
      <c r="AG160" s="550"/>
      <c r="AH160" s="549"/>
      <c r="AI160" s="550"/>
      <c r="AJ160" s="550"/>
      <c r="AK160" s="549"/>
      <c r="AL160" s="550"/>
      <c r="AM160" s="550"/>
      <c r="AN160" s="549"/>
      <c r="AO160" s="550"/>
      <c r="AP160" s="550"/>
      <c r="AQ160" s="549"/>
      <c r="AR160" s="550"/>
      <c r="AS160" s="550"/>
      <c r="AT160" s="549"/>
      <c r="AU160" s="550"/>
      <c r="AV160" s="550"/>
      <c r="AW160" s="549"/>
      <c r="AX160" s="550"/>
      <c r="AY160" s="550"/>
      <c r="AZ160" s="549"/>
      <c r="BA160" s="550"/>
      <c r="BB160" s="550"/>
      <c r="BC160" s="550"/>
    </row>
    <row r="161" spans="1:55" s="519" customFormat="1">
      <c r="A161" s="531" t="str">
        <f t="shared" si="18"/>
        <v>AQ</v>
      </c>
      <c r="B161" s="50" t="str">
        <f t="shared" si="19"/>
        <v>SIPPM25</v>
      </c>
      <c r="C161" s="50" t="s">
        <v>258</v>
      </c>
      <c r="D161" s="532" t="s">
        <v>268</v>
      </c>
      <c r="E161" s="50" t="s">
        <v>53</v>
      </c>
      <c r="F161" s="535" t="str">
        <f>R.11DivTechDevName1</f>
        <v xml:space="preserve"> </v>
      </c>
      <c r="G161" s="543">
        <f>R.11DivTechDevHrs1</f>
        <v>0</v>
      </c>
      <c r="H161" s="544">
        <f>Table3[[#This Row],[Hrs Rank]]</f>
        <v>0</v>
      </c>
      <c r="I161" s="534">
        <f t="shared" si="14"/>
        <v>0</v>
      </c>
      <c r="J161" s="534">
        <f t="shared" si="15"/>
        <v>0</v>
      </c>
      <c r="K161" s="551"/>
      <c r="L161" s="551"/>
      <c r="M161" s="547" t="s">
        <v>223</v>
      </c>
      <c r="N161" s="547" t="s">
        <v>223</v>
      </c>
      <c r="O161" s="548"/>
      <c r="P161" s="549"/>
      <c r="Q161" s="550"/>
      <c r="R161" s="550"/>
      <c r="S161" s="549"/>
      <c r="T161" s="550"/>
      <c r="U161" s="550"/>
      <c r="V161" s="549"/>
      <c r="W161" s="550"/>
      <c r="X161" s="550"/>
      <c r="Y161" s="549"/>
      <c r="Z161" s="550"/>
      <c r="AA161" s="550"/>
      <c r="AB161" s="549"/>
      <c r="AC161" s="550"/>
      <c r="AD161" s="550"/>
      <c r="AE161" s="549"/>
      <c r="AF161" s="550"/>
      <c r="AG161" s="550"/>
      <c r="AH161" s="549"/>
      <c r="AI161" s="550"/>
      <c r="AJ161" s="550"/>
      <c r="AK161" s="549"/>
      <c r="AL161" s="550"/>
      <c r="AM161" s="550"/>
      <c r="AN161" s="549"/>
      <c r="AO161" s="550"/>
      <c r="AP161" s="550"/>
      <c r="AQ161" s="549"/>
      <c r="AR161" s="550"/>
      <c r="AS161" s="550"/>
      <c r="AT161" s="549"/>
      <c r="AU161" s="550"/>
      <c r="AV161" s="550"/>
      <c r="AW161" s="549"/>
      <c r="AX161" s="550"/>
      <c r="AY161" s="550"/>
      <c r="AZ161" s="549"/>
      <c r="BA161" s="550"/>
      <c r="BB161" s="550"/>
      <c r="BC161" s="550"/>
    </row>
    <row r="162" spans="1:55" s="519" customFormat="1">
      <c r="A162" s="531" t="str">
        <f t="shared" si="18"/>
        <v>AQ</v>
      </c>
      <c r="B162" s="50" t="str">
        <f t="shared" si="19"/>
        <v>SIPPM25</v>
      </c>
      <c r="C162" s="50" t="s">
        <v>258</v>
      </c>
      <c r="D162" s="532" t="s">
        <v>268</v>
      </c>
      <c r="E162" s="50" t="s">
        <v>53</v>
      </c>
      <c r="F162" s="535" t="str">
        <f>R.11DivTechDevName2</f>
        <v xml:space="preserve"> </v>
      </c>
      <c r="G162" s="543">
        <f>R.11DivTechDevHrs2</f>
        <v>0</v>
      </c>
      <c r="H162" s="544">
        <f>Table3[[#This Row],[Hrs Rank]]</f>
        <v>0</v>
      </c>
      <c r="I162" s="534">
        <f t="shared" si="14"/>
        <v>0</v>
      </c>
      <c r="J162" s="534">
        <f t="shared" si="15"/>
        <v>0</v>
      </c>
      <c r="K162" s="551"/>
      <c r="L162" s="551"/>
      <c r="M162" s="547" t="s">
        <v>223</v>
      </c>
      <c r="N162" s="547" t="s">
        <v>223</v>
      </c>
      <c r="O162" s="548"/>
      <c r="P162" s="549"/>
      <c r="Q162" s="550"/>
      <c r="R162" s="550"/>
      <c r="S162" s="549"/>
      <c r="T162" s="550"/>
      <c r="U162" s="550"/>
      <c r="V162" s="549"/>
      <c r="W162" s="550"/>
      <c r="X162" s="550"/>
      <c r="Y162" s="549"/>
      <c r="Z162" s="550"/>
      <c r="AA162" s="550"/>
      <c r="AB162" s="549"/>
      <c r="AC162" s="550"/>
      <c r="AD162" s="550"/>
      <c r="AE162" s="549"/>
      <c r="AF162" s="550"/>
      <c r="AG162" s="550"/>
      <c r="AH162" s="549"/>
      <c r="AI162" s="550"/>
      <c r="AJ162" s="550"/>
      <c r="AK162" s="549"/>
      <c r="AL162" s="550"/>
      <c r="AM162" s="550"/>
      <c r="AN162" s="549"/>
      <c r="AO162" s="550"/>
      <c r="AP162" s="550"/>
      <c r="AQ162" s="549"/>
      <c r="AR162" s="550"/>
      <c r="AS162" s="550"/>
      <c r="AT162" s="549"/>
      <c r="AU162" s="550"/>
      <c r="AV162" s="550"/>
      <c r="AW162" s="549"/>
      <c r="AX162" s="550"/>
      <c r="AY162" s="550"/>
      <c r="AZ162" s="549"/>
      <c r="BA162" s="550"/>
      <c r="BB162" s="550"/>
      <c r="BC162" s="550"/>
    </row>
    <row r="163" spans="1:55" s="519" customFormat="1">
      <c r="A163" s="531" t="str">
        <f t="shared" si="18"/>
        <v>AQ</v>
      </c>
      <c r="B163" s="50" t="str">
        <f t="shared" si="19"/>
        <v>SIPPM25</v>
      </c>
      <c r="C163" s="50" t="s">
        <v>258</v>
      </c>
      <c r="D163" s="532" t="s">
        <v>268</v>
      </c>
      <c r="E163" s="50" t="s">
        <v>53</v>
      </c>
      <c r="F163" s="535" t="str">
        <f>R.11DivTechDevName3</f>
        <v xml:space="preserve"> </v>
      </c>
      <c r="G163" s="543">
        <f>R.11DivTechDevHrs3</f>
        <v>0</v>
      </c>
      <c r="H163" s="544">
        <f>Table3[[#This Row],[Hrs Rank]]</f>
        <v>0</v>
      </c>
      <c r="I163" s="534">
        <f t="shared" si="14"/>
        <v>0</v>
      </c>
      <c r="J163" s="534">
        <f t="shared" si="15"/>
        <v>0</v>
      </c>
      <c r="K163" s="551"/>
      <c r="L163" s="551"/>
      <c r="M163" s="547" t="s">
        <v>223</v>
      </c>
      <c r="N163" s="547" t="s">
        <v>223</v>
      </c>
      <c r="O163" s="548"/>
      <c r="P163" s="549"/>
      <c r="Q163" s="550"/>
      <c r="R163" s="550"/>
      <c r="S163" s="549"/>
      <c r="T163" s="550"/>
      <c r="U163" s="550"/>
      <c r="V163" s="549"/>
      <c r="W163" s="550"/>
      <c r="X163" s="550"/>
      <c r="Y163" s="549"/>
      <c r="Z163" s="550"/>
      <c r="AA163" s="550"/>
      <c r="AB163" s="549"/>
      <c r="AC163" s="550"/>
      <c r="AD163" s="550"/>
      <c r="AE163" s="549"/>
      <c r="AF163" s="550"/>
      <c r="AG163" s="550"/>
      <c r="AH163" s="549"/>
      <c r="AI163" s="550"/>
      <c r="AJ163" s="550"/>
      <c r="AK163" s="549"/>
      <c r="AL163" s="550"/>
      <c r="AM163" s="550"/>
      <c r="AN163" s="549"/>
      <c r="AO163" s="550"/>
      <c r="AP163" s="550"/>
      <c r="AQ163" s="549"/>
      <c r="AR163" s="550"/>
      <c r="AS163" s="550"/>
      <c r="AT163" s="549"/>
      <c r="AU163" s="550"/>
      <c r="AV163" s="550"/>
      <c r="AW163" s="549"/>
      <c r="AX163" s="550"/>
      <c r="AY163" s="550"/>
      <c r="AZ163" s="549"/>
      <c r="BA163" s="550"/>
      <c r="BB163" s="550"/>
      <c r="BC163" s="550"/>
    </row>
    <row r="164" spans="1:55" s="519" customFormat="1">
      <c r="A164" s="531" t="str">
        <f t="shared" si="18"/>
        <v>AQ</v>
      </c>
      <c r="B164" s="50" t="str">
        <f t="shared" si="19"/>
        <v>SIPPM25</v>
      </c>
      <c r="C164" s="50" t="s">
        <v>258</v>
      </c>
      <c r="D164" s="532" t="s">
        <v>268</v>
      </c>
      <c r="E164" s="50" t="s">
        <v>53</v>
      </c>
      <c r="F164" s="535">
        <f>R.11DivTechDevName4</f>
        <v>0</v>
      </c>
      <c r="G164" s="543">
        <f>R.11DivTechDevHrs4</f>
        <v>0</v>
      </c>
      <c r="H164" s="544">
        <f>Table3[[#This Row],[Hrs Rank]]</f>
        <v>0</v>
      </c>
      <c r="I164" s="534">
        <f t="shared" si="14"/>
        <v>0</v>
      </c>
      <c r="J164" s="534">
        <f t="shared" si="15"/>
        <v>0</v>
      </c>
      <c r="K164" s="551"/>
      <c r="L164" s="551"/>
      <c r="M164" s="547" t="s">
        <v>223</v>
      </c>
      <c r="N164" s="547" t="s">
        <v>223</v>
      </c>
      <c r="O164" s="548"/>
      <c r="P164" s="549"/>
      <c r="Q164" s="550"/>
      <c r="R164" s="550"/>
      <c r="S164" s="549"/>
      <c r="T164" s="550"/>
      <c r="U164" s="550"/>
      <c r="V164" s="549"/>
      <c r="W164" s="550"/>
      <c r="X164" s="550"/>
      <c r="Y164" s="549"/>
      <c r="Z164" s="550"/>
      <c r="AA164" s="550"/>
      <c r="AB164" s="549"/>
      <c r="AC164" s="550"/>
      <c r="AD164" s="550"/>
      <c r="AE164" s="549"/>
      <c r="AF164" s="550"/>
      <c r="AG164" s="550"/>
      <c r="AH164" s="549"/>
      <c r="AI164" s="550"/>
      <c r="AJ164" s="550"/>
      <c r="AK164" s="549"/>
      <c r="AL164" s="550"/>
      <c r="AM164" s="550"/>
      <c r="AN164" s="549"/>
      <c r="AO164" s="550"/>
      <c r="AP164" s="550"/>
      <c r="AQ164" s="549"/>
      <c r="AR164" s="550"/>
      <c r="AS164" s="550"/>
      <c r="AT164" s="549"/>
      <c r="AU164" s="550"/>
      <c r="AV164" s="550"/>
      <c r="AW164" s="549"/>
      <c r="AX164" s="550"/>
      <c r="AY164" s="550"/>
      <c r="AZ164" s="549"/>
      <c r="BA164" s="550"/>
      <c r="BB164" s="550"/>
      <c r="BC164" s="550"/>
    </row>
    <row r="165" spans="1:55" s="519" customFormat="1">
      <c r="A165" s="531" t="str">
        <f t="shared" si="18"/>
        <v>AQ</v>
      </c>
      <c r="B165" s="50" t="str">
        <f t="shared" si="19"/>
        <v>SIPPM25</v>
      </c>
      <c r="C165" s="50" t="s">
        <v>258</v>
      </c>
      <c r="D165" s="532" t="s">
        <v>268</v>
      </c>
      <c r="E165" s="50" t="s">
        <v>52</v>
      </c>
      <c r="F165" s="535" t="str">
        <f>R.11DivTechImpName1</f>
        <v xml:space="preserve"> </v>
      </c>
      <c r="G165" s="543">
        <f>R.11DivTechImpHrs1</f>
        <v>0</v>
      </c>
      <c r="H165" s="544">
        <f>Table3[[#This Row],[Hrs Rank]]</f>
        <v>0</v>
      </c>
      <c r="I165" s="534">
        <f t="shared" si="14"/>
        <v>0</v>
      </c>
      <c r="J165" s="534">
        <f t="shared" si="15"/>
        <v>0</v>
      </c>
      <c r="K165" s="551"/>
      <c r="L165" s="551"/>
      <c r="M165" s="547" t="s">
        <v>223</v>
      </c>
      <c r="N165" s="547" t="s">
        <v>223</v>
      </c>
      <c r="O165" s="548"/>
      <c r="P165" s="549"/>
      <c r="Q165" s="550"/>
      <c r="R165" s="550"/>
      <c r="S165" s="549"/>
      <c r="T165" s="550"/>
      <c r="U165" s="550"/>
      <c r="V165" s="549"/>
      <c r="W165" s="550"/>
      <c r="X165" s="550"/>
      <c r="Y165" s="549"/>
      <c r="Z165" s="550"/>
      <c r="AA165" s="550"/>
      <c r="AB165" s="549"/>
      <c r="AC165" s="550"/>
      <c r="AD165" s="550"/>
      <c r="AE165" s="549"/>
      <c r="AF165" s="550"/>
      <c r="AG165" s="550"/>
      <c r="AH165" s="549"/>
      <c r="AI165" s="550"/>
      <c r="AJ165" s="550"/>
      <c r="AK165" s="549"/>
      <c r="AL165" s="550"/>
      <c r="AM165" s="550"/>
      <c r="AN165" s="549"/>
      <c r="AO165" s="550"/>
      <c r="AP165" s="550"/>
      <c r="AQ165" s="549"/>
      <c r="AR165" s="550"/>
      <c r="AS165" s="550"/>
      <c r="AT165" s="549"/>
      <c r="AU165" s="550"/>
      <c r="AV165" s="550"/>
      <c r="AW165" s="549"/>
      <c r="AX165" s="550"/>
      <c r="AY165" s="550"/>
      <c r="AZ165" s="549"/>
      <c r="BA165" s="550"/>
      <c r="BB165" s="550"/>
      <c r="BC165" s="550"/>
    </row>
    <row r="166" spans="1:55" s="519" customFormat="1">
      <c r="A166" s="531" t="str">
        <f t="shared" si="18"/>
        <v>AQ</v>
      </c>
      <c r="B166" s="50" t="str">
        <f t="shared" si="19"/>
        <v>SIPPM25</v>
      </c>
      <c r="C166" s="50" t="s">
        <v>258</v>
      </c>
      <c r="D166" s="532" t="s">
        <v>268</v>
      </c>
      <c r="E166" s="50" t="s">
        <v>52</v>
      </c>
      <c r="F166" s="535">
        <f>R.11DivTechImpName2</f>
        <v>0</v>
      </c>
      <c r="G166" s="543">
        <f>R.11DivTechImpHrs2</f>
        <v>0</v>
      </c>
      <c r="H166" s="544">
        <f>Table3[[#This Row],[Hrs Rank]]</f>
        <v>0</v>
      </c>
      <c r="I166" s="534">
        <f t="shared" si="14"/>
        <v>0</v>
      </c>
      <c r="J166" s="534">
        <f t="shared" si="15"/>
        <v>0</v>
      </c>
      <c r="K166" s="551"/>
      <c r="L166" s="551"/>
      <c r="M166" s="547" t="s">
        <v>223</v>
      </c>
      <c r="N166" s="547" t="s">
        <v>223</v>
      </c>
      <c r="O166" s="548"/>
      <c r="P166" s="549"/>
      <c r="Q166" s="550"/>
      <c r="R166" s="550"/>
      <c r="S166" s="549"/>
      <c r="T166" s="550"/>
      <c r="U166" s="550"/>
      <c r="V166" s="549"/>
      <c r="W166" s="550"/>
      <c r="X166" s="550"/>
      <c r="Y166" s="549"/>
      <c r="Z166" s="550"/>
      <c r="AA166" s="550"/>
      <c r="AB166" s="549"/>
      <c r="AC166" s="550"/>
      <c r="AD166" s="550"/>
      <c r="AE166" s="549"/>
      <c r="AF166" s="550"/>
      <c r="AG166" s="550"/>
      <c r="AH166" s="549"/>
      <c r="AI166" s="550"/>
      <c r="AJ166" s="550"/>
      <c r="AK166" s="549"/>
      <c r="AL166" s="550"/>
      <c r="AM166" s="550"/>
      <c r="AN166" s="549"/>
      <c r="AO166" s="550"/>
      <c r="AP166" s="550"/>
      <c r="AQ166" s="549"/>
      <c r="AR166" s="550"/>
      <c r="AS166" s="550"/>
      <c r="AT166" s="549"/>
      <c r="AU166" s="550"/>
      <c r="AV166" s="550"/>
      <c r="AW166" s="549"/>
      <c r="AX166" s="550"/>
      <c r="AY166" s="550"/>
      <c r="AZ166" s="549"/>
      <c r="BA166" s="550"/>
      <c r="BB166" s="550"/>
      <c r="BC166" s="550"/>
    </row>
    <row r="167" spans="1:55" s="519" customFormat="1">
      <c r="A167" s="531" t="str">
        <f t="shared" si="18"/>
        <v>AQ</v>
      </c>
      <c r="B167" s="50" t="str">
        <f t="shared" si="19"/>
        <v>SIPPM25</v>
      </c>
      <c r="C167" s="50" t="s">
        <v>258</v>
      </c>
      <c r="D167" s="532" t="s">
        <v>268</v>
      </c>
      <c r="E167" s="50" t="s">
        <v>52</v>
      </c>
      <c r="F167" s="535" t="str">
        <f>R.11DivTechImpName3</f>
        <v xml:space="preserve"> </v>
      </c>
      <c r="G167" s="543">
        <f>R.11DivTechImpHrs3</f>
        <v>0</v>
      </c>
      <c r="H167" s="544">
        <f>Table3[[#This Row],[Hrs Rank]]</f>
        <v>0</v>
      </c>
      <c r="I167" s="534">
        <f t="shared" si="14"/>
        <v>0</v>
      </c>
      <c r="J167" s="534">
        <f t="shared" si="15"/>
        <v>0</v>
      </c>
      <c r="K167" s="551"/>
      <c r="L167" s="551"/>
      <c r="M167" s="547" t="s">
        <v>223</v>
      </c>
      <c r="N167" s="547" t="s">
        <v>223</v>
      </c>
      <c r="O167" s="548"/>
      <c r="P167" s="549"/>
      <c r="Q167" s="550"/>
      <c r="R167" s="550"/>
      <c r="S167" s="549"/>
      <c r="T167" s="550"/>
      <c r="U167" s="550"/>
      <c r="V167" s="549"/>
      <c r="W167" s="550"/>
      <c r="X167" s="550"/>
      <c r="Y167" s="549"/>
      <c r="Z167" s="550"/>
      <c r="AA167" s="550"/>
      <c r="AB167" s="549"/>
      <c r="AC167" s="550"/>
      <c r="AD167" s="550"/>
      <c r="AE167" s="549"/>
      <c r="AF167" s="550"/>
      <c r="AG167" s="550"/>
      <c r="AH167" s="549"/>
      <c r="AI167" s="550"/>
      <c r="AJ167" s="550"/>
      <c r="AK167" s="549"/>
      <c r="AL167" s="550"/>
      <c r="AM167" s="550"/>
      <c r="AN167" s="549"/>
      <c r="AO167" s="550"/>
      <c r="AP167" s="550"/>
      <c r="AQ167" s="549"/>
      <c r="AR167" s="550"/>
      <c r="AS167" s="550"/>
      <c r="AT167" s="549"/>
      <c r="AU167" s="550"/>
      <c r="AV167" s="550"/>
      <c r="AW167" s="549"/>
      <c r="AX167" s="550"/>
      <c r="AY167" s="550"/>
      <c r="AZ167" s="549"/>
      <c r="BA167" s="550"/>
      <c r="BB167" s="550"/>
      <c r="BC167" s="550"/>
    </row>
    <row r="168" spans="1:55" s="519" customFormat="1">
      <c r="A168" s="531" t="str">
        <f t="shared" si="18"/>
        <v>AQ</v>
      </c>
      <c r="B168" s="50" t="str">
        <f t="shared" si="19"/>
        <v>SIPPM25</v>
      </c>
      <c r="C168" s="50" t="s">
        <v>258</v>
      </c>
      <c r="D168" s="532" t="s">
        <v>268</v>
      </c>
      <c r="E168" s="50" t="s">
        <v>52</v>
      </c>
      <c r="F168" s="535" t="str">
        <f>R.11DivTechImpName4</f>
        <v xml:space="preserve"> </v>
      </c>
      <c r="G168" s="543">
        <f>R.11DivTechImpHrs4</f>
        <v>0</v>
      </c>
      <c r="H168" s="544">
        <f>Table3[[#This Row],[Hrs Rank]]</f>
        <v>0</v>
      </c>
      <c r="I168" s="534">
        <f t="shared" si="14"/>
        <v>0</v>
      </c>
      <c r="J168" s="534">
        <f t="shared" si="15"/>
        <v>0</v>
      </c>
      <c r="K168" s="551"/>
      <c r="L168" s="551"/>
      <c r="M168" s="547" t="s">
        <v>223</v>
      </c>
      <c r="N168" s="547" t="s">
        <v>223</v>
      </c>
      <c r="O168" s="548"/>
      <c r="P168" s="549"/>
      <c r="Q168" s="550"/>
      <c r="R168" s="550"/>
      <c r="S168" s="549"/>
      <c r="T168" s="550"/>
      <c r="U168" s="550"/>
      <c r="V168" s="549"/>
      <c r="W168" s="550"/>
      <c r="X168" s="550"/>
      <c r="Y168" s="549"/>
      <c r="Z168" s="550"/>
      <c r="AA168" s="550"/>
      <c r="AB168" s="549"/>
      <c r="AC168" s="550"/>
      <c r="AD168" s="550"/>
      <c r="AE168" s="549"/>
      <c r="AF168" s="550"/>
      <c r="AG168" s="550"/>
      <c r="AH168" s="549"/>
      <c r="AI168" s="550"/>
      <c r="AJ168" s="550"/>
      <c r="AK168" s="549"/>
      <c r="AL168" s="550"/>
      <c r="AM168" s="550"/>
      <c r="AN168" s="549"/>
      <c r="AO168" s="550"/>
      <c r="AP168" s="550"/>
      <c r="AQ168" s="549"/>
      <c r="AR168" s="550"/>
      <c r="AS168" s="550"/>
      <c r="AT168" s="549"/>
      <c r="AU168" s="550"/>
      <c r="AV168" s="550"/>
      <c r="AW168" s="549"/>
      <c r="AX168" s="550"/>
      <c r="AY168" s="550"/>
      <c r="AZ168" s="549"/>
      <c r="BA168" s="550"/>
      <c r="BB168" s="550"/>
      <c r="BC168" s="550"/>
    </row>
    <row r="169" spans="1:55" s="519" customFormat="1">
      <c r="A169" s="531" t="str">
        <f t="shared" si="18"/>
        <v>AQ</v>
      </c>
      <c r="B169" s="50" t="str">
        <f t="shared" si="19"/>
        <v>SIPPM25</v>
      </c>
      <c r="C169" s="50" t="s">
        <v>258</v>
      </c>
      <c r="D169" s="532" t="s">
        <v>137</v>
      </c>
      <c r="E169" s="50" t="s">
        <v>53</v>
      </c>
      <c r="F169" s="535" t="str">
        <f>R.11ITDevName1</f>
        <v xml:space="preserve"> </v>
      </c>
      <c r="G169" s="543">
        <f>R.11ITDevHrs1</f>
        <v>0</v>
      </c>
      <c r="H169" s="544">
        <f>Table3[[#This Row],[Hrs Rank]]</f>
        <v>0</v>
      </c>
      <c r="I169" s="534">
        <f t="shared" si="14"/>
        <v>0</v>
      </c>
      <c r="J169" s="534">
        <f t="shared" si="15"/>
        <v>0</v>
      </c>
      <c r="K169" s="551"/>
      <c r="L169" s="551"/>
      <c r="M169" s="547" t="s">
        <v>223</v>
      </c>
      <c r="N169" s="547" t="s">
        <v>223</v>
      </c>
      <c r="O169" s="548"/>
      <c r="P169" s="549"/>
      <c r="Q169" s="550"/>
      <c r="R169" s="550"/>
      <c r="S169" s="549"/>
      <c r="T169" s="550"/>
      <c r="U169" s="550"/>
      <c r="V169" s="549"/>
      <c r="W169" s="550"/>
      <c r="X169" s="550"/>
      <c r="Y169" s="549"/>
      <c r="Z169" s="550"/>
      <c r="AA169" s="550"/>
      <c r="AB169" s="549"/>
      <c r="AC169" s="550"/>
      <c r="AD169" s="550"/>
      <c r="AE169" s="549"/>
      <c r="AF169" s="550"/>
      <c r="AG169" s="550"/>
      <c r="AH169" s="549"/>
      <c r="AI169" s="550"/>
      <c r="AJ169" s="550"/>
      <c r="AK169" s="549"/>
      <c r="AL169" s="550"/>
      <c r="AM169" s="550"/>
      <c r="AN169" s="549"/>
      <c r="AO169" s="550"/>
      <c r="AP169" s="550"/>
      <c r="AQ169" s="549"/>
      <c r="AR169" s="550"/>
      <c r="AS169" s="550"/>
      <c r="AT169" s="549"/>
      <c r="AU169" s="550"/>
      <c r="AV169" s="550"/>
      <c r="AW169" s="549"/>
      <c r="AX169" s="550"/>
      <c r="AY169" s="550"/>
      <c r="AZ169" s="549"/>
      <c r="BA169" s="550"/>
      <c r="BB169" s="550"/>
      <c r="BC169" s="550"/>
    </row>
    <row r="170" spans="1:55" s="519" customFormat="1">
      <c r="A170" s="531" t="str">
        <f t="shared" si="18"/>
        <v>AQ</v>
      </c>
      <c r="B170" s="50" t="str">
        <f t="shared" si="19"/>
        <v>SIPPM25</v>
      </c>
      <c r="C170" s="50" t="s">
        <v>258</v>
      </c>
      <c r="D170" s="532" t="s">
        <v>137</v>
      </c>
      <c r="E170" s="50" t="s">
        <v>53</v>
      </c>
      <c r="F170" s="535" t="str">
        <f>R.11ITDevName2</f>
        <v xml:space="preserve"> </v>
      </c>
      <c r="G170" s="543">
        <f>R.11ITDevHrs2</f>
        <v>0</v>
      </c>
      <c r="H170" s="544">
        <f>Table3[[#This Row],[Hrs Rank]]</f>
        <v>0</v>
      </c>
      <c r="I170" s="534">
        <f t="shared" si="14"/>
        <v>0</v>
      </c>
      <c r="J170" s="534">
        <f t="shared" si="15"/>
        <v>0</v>
      </c>
      <c r="K170" s="551"/>
      <c r="L170" s="551"/>
      <c r="M170" s="547" t="s">
        <v>223</v>
      </c>
      <c r="N170" s="547" t="s">
        <v>223</v>
      </c>
      <c r="O170" s="548"/>
      <c r="P170" s="549"/>
      <c r="Q170" s="550"/>
      <c r="R170" s="550"/>
      <c r="S170" s="549"/>
      <c r="T170" s="550"/>
      <c r="U170" s="550"/>
      <c r="V170" s="549"/>
      <c r="W170" s="550"/>
      <c r="X170" s="550"/>
      <c r="Y170" s="549"/>
      <c r="Z170" s="550"/>
      <c r="AA170" s="550"/>
      <c r="AB170" s="549"/>
      <c r="AC170" s="550"/>
      <c r="AD170" s="550"/>
      <c r="AE170" s="549"/>
      <c r="AF170" s="550"/>
      <c r="AG170" s="550"/>
      <c r="AH170" s="549"/>
      <c r="AI170" s="550"/>
      <c r="AJ170" s="550"/>
      <c r="AK170" s="549"/>
      <c r="AL170" s="550"/>
      <c r="AM170" s="550"/>
      <c r="AN170" s="549"/>
      <c r="AO170" s="550"/>
      <c r="AP170" s="550"/>
      <c r="AQ170" s="549"/>
      <c r="AR170" s="550"/>
      <c r="AS170" s="550"/>
      <c r="AT170" s="549"/>
      <c r="AU170" s="550"/>
      <c r="AV170" s="550"/>
      <c r="AW170" s="549"/>
      <c r="AX170" s="550"/>
      <c r="AY170" s="550"/>
      <c r="AZ170" s="549"/>
      <c r="BA170" s="550"/>
      <c r="BB170" s="550"/>
      <c r="BC170" s="550"/>
    </row>
    <row r="171" spans="1:55" s="519" customFormat="1">
      <c r="A171" s="531" t="str">
        <f t="shared" si="18"/>
        <v>AQ</v>
      </c>
      <c r="B171" s="50" t="str">
        <f t="shared" si="19"/>
        <v>SIPPM25</v>
      </c>
      <c r="C171" s="50" t="s">
        <v>258</v>
      </c>
      <c r="D171" s="532" t="s">
        <v>137</v>
      </c>
      <c r="E171" s="50" t="s">
        <v>53</v>
      </c>
      <c r="F171" s="535" t="str">
        <f>R.11ITDevName3</f>
        <v xml:space="preserve"> </v>
      </c>
      <c r="G171" s="543">
        <f>R.11ITDevHrs3</f>
        <v>0</v>
      </c>
      <c r="H171" s="544">
        <f>Table3[[#This Row],[Hrs Rank]]</f>
        <v>0</v>
      </c>
      <c r="I171" s="534">
        <f t="shared" si="14"/>
        <v>0</v>
      </c>
      <c r="J171" s="534">
        <f t="shared" si="15"/>
        <v>0</v>
      </c>
      <c r="K171" s="551"/>
      <c r="L171" s="551"/>
      <c r="M171" s="547" t="s">
        <v>223</v>
      </c>
      <c r="N171" s="547" t="s">
        <v>223</v>
      </c>
      <c r="O171" s="548"/>
      <c r="P171" s="549"/>
      <c r="Q171" s="550"/>
      <c r="R171" s="550"/>
      <c r="S171" s="549"/>
      <c r="T171" s="550"/>
      <c r="U171" s="550"/>
      <c r="V171" s="549"/>
      <c r="W171" s="550"/>
      <c r="X171" s="550"/>
      <c r="Y171" s="549"/>
      <c r="Z171" s="550"/>
      <c r="AA171" s="550"/>
      <c r="AB171" s="549"/>
      <c r="AC171" s="550"/>
      <c r="AD171" s="550"/>
      <c r="AE171" s="549"/>
      <c r="AF171" s="550"/>
      <c r="AG171" s="550"/>
      <c r="AH171" s="549"/>
      <c r="AI171" s="550"/>
      <c r="AJ171" s="550"/>
      <c r="AK171" s="549"/>
      <c r="AL171" s="550"/>
      <c r="AM171" s="550"/>
      <c r="AN171" s="549"/>
      <c r="AO171" s="550"/>
      <c r="AP171" s="550"/>
      <c r="AQ171" s="549"/>
      <c r="AR171" s="550"/>
      <c r="AS171" s="550"/>
      <c r="AT171" s="549"/>
      <c r="AU171" s="550"/>
      <c r="AV171" s="550"/>
      <c r="AW171" s="549"/>
      <c r="AX171" s="550"/>
      <c r="AY171" s="550"/>
      <c r="AZ171" s="549"/>
      <c r="BA171" s="550"/>
      <c r="BB171" s="550"/>
      <c r="BC171" s="550"/>
    </row>
    <row r="172" spans="1:55" s="519" customFormat="1">
      <c r="A172" s="531" t="str">
        <f t="shared" si="18"/>
        <v>AQ</v>
      </c>
      <c r="B172" s="50" t="str">
        <f t="shared" si="19"/>
        <v>SIPPM25</v>
      </c>
      <c r="C172" s="50" t="s">
        <v>258</v>
      </c>
      <c r="D172" s="532" t="s">
        <v>137</v>
      </c>
      <c r="E172" s="50" t="s">
        <v>53</v>
      </c>
      <c r="F172" s="535">
        <f>R.11ITDevName4</f>
        <v>0</v>
      </c>
      <c r="G172" s="543">
        <f>R.11ITDevHrs4</f>
        <v>0</v>
      </c>
      <c r="H172" s="544">
        <f>Table3[[#This Row],[Hrs Rank]]</f>
        <v>0</v>
      </c>
      <c r="I172" s="534">
        <f t="shared" si="14"/>
        <v>0</v>
      </c>
      <c r="J172" s="534">
        <f t="shared" si="15"/>
        <v>0</v>
      </c>
      <c r="K172" s="551"/>
      <c r="L172" s="551"/>
      <c r="M172" s="547" t="s">
        <v>223</v>
      </c>
      <c r="N172" s="547" t="s">
        <v>223</v>
      </c>
      <c r="O172" s="548"/>
      <c r="P172" s="549"/>
      <c r="Q172" s="550"/>
      <c r="R172" s="550"/>
      <c r="S172" s="549"/>
      <c r="T172" s="550"/>
      <c r="U172" s="550"/>
      <c r="V172" s="549"/>
      <c r="W172" s="550"/>
      <c r="X172" s="550"/>
      <c r="Y172" s="549"/>
      <c r="Z172" s="550"/>
      <c r="AA172" s="550"/>
      <c r="AB172" s="549"/>
      <c r="AC172" s="550"/>
      <c r="AD172" s="550"/>
      <c r="AE172" s="549"/>
      <c r="AF172" s="550"/>
      <c r="AG172" s="550"/>
      <c r="AH172" s="549"/>
      <c r="AI172" s="550"/>
      <c r="AJ172" s="550"/>
      <c r="AK172" s="549"/>
      <c r="AL172" s="550"/>
      <c r="AM172" s="550"/>
      <c r="AN172" s="549"/>
      <c r="AO172" s="550"/>
      <c r="AP172" s="550"/>
      <c r="AQ172" s="549"/>
      <c r="AR172" s="550"/>
      <c r="AS172" s="550"/>
      <c r="AT172" s="549"/>
      <c r="AU172" s="550"/>
      <c r="AV172" s="550"/>
      <c r="AW172" s="549"/>
      <c r="AX172" s="550"/>
      <c r="AY172" s="550"/>
      <c r="AZ172" s="549"/>
      <c r="BA172" s="550"/>
      <c r="BB172" s="550"/>
      <c r="BC172" s="550"/>
    </row>
    <row r="173" spans="1:55" s="519" customFormat="1">
      <c r="A173" s="531" t="str">
        <f t="shared" si="18"/>
        <v>AQ</v>
      </c>
      <c r="B173" s="50" t="str">
        <f t="shared" si="19"/>
        <v>SIPPM25</v>
      </c>
      <c r="C173" s="50" t="s">
        <v>258</v>
      </c>
      <c r="D173" s="532" t="s">
        <v>137</v>
      </c>
      <c r="E173" s="50" t="s">
        <v>52</v>
      </c>
      <c r="F173" s="535">
        <f>R.11ITImpName1</f>
        <v>0</v>
      </c>
      <c r="G173" s="543">
        <f>R.11ITImpHrs1</f>
        <v>0</v>
      </c>
      <c r="H173" s="544">
        <f>Table3[[#This Row],[Hrs Rank]]</f>
        <v>0</v>
      </c>
      <c r="I173" s="534">
        <f t="shared" si="14"/>
        <v>0</v>
      </c>
      <c r="J173" s="534">
        <f t="shared" si="15"/>
        <v>0</v>
      </c>
      <c r="K173" s="551"/>
      <c r="L173" s="551"/>
      <c r="M173" s="547" t="s">
        <v>223</v>
      </c>
      <c r="N173" s="547" t="s">
        <v>223</v>
      </c>
      <c r="O173" s="548"/>
      <c r="P173" s="549"/>
      <c r="Q173" s="550"/>
      <c r="R173" s="550"/>
      <c r="S173" s="549"/>
      <c r="T173" s="550"/>
      <c r="U173" s="550"/>
      <c r="V173" s="549"/>
      <c r="W173" s="550"/>
      <c r="X173" s="550"/>
      <c r="Y173" s="549"/>
      <c r="Z173" s="550"/>
      <c r="AA173" s="550"/>
      <c r="AB173" s="549"/>
      <c r="AC173" s="550"/>
      <c r="AD173" s="550"/>
      <c r="AE173" s="549"/>
      <c r="AF173" s="550"/>
      <c r="AG173" s="550"/>
      <c r="AH173" s="549"/>
      <c r="AI173" s="550"/>
      <c r="AJ173" s="550"/>
      <c r="AK173" s="549"/>
      <c r="AL173" s="550"/>
      <c r="AM173" s="550"/>
      <c r="AN173" s="549"/>
      <c r="AO173" s="550"/>
      <c r="AP173" s="550"/>
      <c r="AQ173" s="549"/>
      <c r="AR173" s="550"/>
      <c r="AS173" s="550"/>
      <c r="AT173" s="549"/>
      <c r="AU173" s="550"/>
      <c r="AV173" s="550"/>
      <c r="AW173" s="549"/>
      <c r="AX173" s="550"/>
      <c r="AY173" s="550"/>
      <c r="AZ173" s="549"/>
      <c r="BA173" s="550"/>
      <c r="BB173" s="550"/>
      <c r="BC173" s="550"/>
    </row>
    <row r="174" spans="1:55" s="519" customFormat="1">
      <c r="A174" s="531" t="str">
        <f t="shared" si="18"/>
        <v>AQ</v>
      </c>
      <c r="B174" s="50" t="str">
        <f t="shared" si="19"/>
        <v>SIPPM25</v>
      </c>
      <c r="C174" s="50" t="s">
        <v>258</v>
      </c>
      <c r="D174" s="532" t="s">
        <v>137</v>
      </c>
      <c r="E174" s="50" t="s">
        <v>52</v>
      </c>
      <c r="F174" s="535" t="str">
        <f>R.11ITImpName2</f>
        <v xml:space="preserve"> </v>
      </c>
      <c r="G174" s="543">
        <f>R.11ITImpHrs2</f>
        <v>0</v>
      </c>
      <c r="H174" s="544">
        <f>Table3[[#This Row],[Hrs Rank]]</f>
        <v>0</v>
      </c>
      <c r="I174" s="534">
        <f t="shared" si="14"/>
        <v>0</v>
      </c>
      <c r="J174" s="534">
        <f t="shared" si="15"/>
        <v>0</v>
      </c>
      <c r="K174" s="551"/>
      <c r="L174" s="551"/>
      <c r="M174" s="547" t="s">
        <v>223</v>
      </c>
      <c r="N174" s="547" t="s">
        <v>223</v>
      </c>
      <c r="O174" s="548"/>
      <c r="P174" s="549"/>
      <c r="Q174" s="550"/>
      <c r="R174" s="550"/>
      <c r="S174" s="549"/>
      <c r="T174" s="550"/>
      <c r="U174" s="550"/>
      <c r="V174" s="549"/>
      <c r="W174" s="550"/>
      <c r="X174" s="550"/>
      <c r="Y174" s="549"/>
      <c r="Z174" s="550"/>
      <c r="AA174" s="550"/>
      <c r="AB174" s="549"/>
      <c r="AC174" s="550"/>
      <c r="AD174" s="550"/>
      <c r="AE174" s="549"/>
      <c r="AF174" s="550"/>
      <c r="AG174" s="550"/>
      <c r="AH174" s="549"/>
      <c r="AI174" s="550"/>
      <c r="AJ174" s="550"/>
      <c r="AK174" s="549"/>
      <c r="AL174" s="550"/>
      <c r="AM174" s="550"/>
      <c r="AN174" s="549"/>
      <c r="AO174" s="550"/>
      <c r="AP174" s="550"/>
      <c r="AQ174" s="549"/>
      <c r="AR174" s="550"/>
      <c r="AS174" s="550"/>
      <c r="AT174" s="549"/>
      <c r="AU174" s="550"/>
      <c r="AV174" s="550"/>
      <c r="AW174" s="549"/>
      <c r="AX174" s="550"/>
      <c r="AY174" s="550"/>
      <c r="AZ174" s="549"/>
      <c r="BA174" s="550"/>
      <c r="BB174" s="550"/>
      <c r="BC174" s="550"/>
    </row>
    <row r="175" spans="1:55" s="519" customFormat="1">
      <c r="A175" s="531" t="str">
        <f t="shared" si="18"/>
        <v>AQ</v>
      </c>
      <c r="B175" s="50" t="str">
        <f t="shared" si="19"/>
        <v>SIPPM25</v>
      </c>
      <c r="C175" s="50" t="s">
        <v>258</v>
      </c>
      <c r="D175" s="532" t="s">
        <v>137</v>
      </c>
      <c r="E175" s="50" t="s">
        <v>52</v>
      </c>
      <c r="F175" s="535" t="str">
        <f>R.11ITImpName3</f>
        <v xml:space="preserve"> </v>
      </c>
      <c r="G175" s="543">
        <f>R.11ITImpHrs3</f>
        <v>0</v>
      </c>
      <c r="H175" s="544">
        <f>Table3[[#This Row],[Hrs Rank]]</f>
        <v>0</v>
      </c>
      <c r="I175" s="534">
        <f t="shared" si="14"/>
        <v>0</v>
      </c>
      <c r="J175" s="534">
        <f t="shared" si="15"/>
        <v>0</v>
      </c>
      <c r="K175" s="551"/>
      <c r="L175" s="551"/>
      <c r="M175" s="547" t="s">
        <v>223</v>
      </c>
      <c r="N175" s="547" t="s">
        <v>223</v>
      </c>
      <c r="O175" s="548"/>
      <c r="P175" s="549"/>
      <c r="Q175" s="550"/>
      <c r="R175" s="550"/>
      <c r="S175" s="549"/>
      <c r="T175" s="550"/>
      <c r="U175" s="550"/>
      <c r="V175" s="549"/>
      <c r="W175" s="550"/>
      <c r="X175" s="550"/>
      <c r="Y175" s="549"/>
      <c r="Z175" s="550"/>
      <c r="AA175" s="550"/>
      <c r="AB175" s="549"/>
      <c r="AC175" s="550"/>
      <c r="AD175" s="550"/>
      <c r="AE175" s="549"/>
      <c r="AF175" s="550"/>
      <c r="AG175" s="550"/>
      <c r="AH175" s="549"/>
      <c r="AI175" s="550"/>
      <c r="AJ175" s="550"/>
      <c r="AK175" s="549"/>
      <c r="AL175" s="550"/>
      <c r="AM175" s="550"/>
      <c r="AN175" s="549"/>
      <c r="AO175" s="550"/>
      <c r="AP175" s="550"/>
      <c r="AQ175" s="549"/>
      <c r="AR175" s="550"/>
      <c r="AS175" s="550"/>
      <c r="AT175" s="549"/>
      <c r="AU175" s="550"/>
      <c r="AV175" s="550"/>
      <c r="AW175" s="549"/>
      <c r="AX175" s="550"/>
      <c r="AY175" s="550"/>
      <c r="AZ175" s="549"/>
      <c r="BA175" s="550"/>
      <c r="BB175" s="550"/>
      <c r="BC175" s="550"/>
    </row>
    <row r="176" spans="1:55" s="519" customFormat="1">
      <c r="A176" s="531" t="str">
        <f t="shared" si="18"/>
        <v>AQ</v>
      </c>
      <c r="B176" s="50" t="str">
        <f t="shared" si="19"/>
        <v>SIPPM25</v>
      </c>
      <c r="C176" s="50" t="s">
        <v>258</v>
      </c>
      <c r="D176" s="532" t="s">
        <v>137</v>
      </c>
      <c r="E176" s="50" t="s">
        <v>52</v>
      </c>
      <c r="F176" s="535" t="str">
        <f>R.11ITImpName4</f>
        <v xml:space="preserve"> </v>
      </c>
      <c r="G176" s="543">
        <f>R.11ITImpHrs4</f>
        <v>0</v>
      </c>
      <c r="H176" s="544">
        <f>Table3[[#This Row],[Hrs Rank]]</f>
        <v>0</v>
      </c>
      <c r="I176" s="534">
        <f t="shared" si="14"/>
        <v>0</v>
      </c>
      <c r="J176" s="534">
        <f t="shared" si="15"/>
        <v>0</v>
      </c>
      <c r="K176" s="551"/>
      <c r="L176" s="551"/>
      <c r="M176" s="547" t="s">
        <v>223</v>
      </c>
      <c r="N176" s="547" t="s">
        <v>223</v>
      </c>
      <c r="O176" s="548"/>
      <c r="P176" s="549"/>
      <c r="Q176" s="550"/>
      <c r="R176" s="550"/>
      <c r="S176" s="549"/>
      <c r="T176" s="550"/>
      <c r="U176" s="550"/>
      <c r="V176" s="549"/>
      <c r="W176" s="550"/>
      <c r="X176" s="550"/>
      <c r="Y176" s="549"/>
      <c r="Z176" s="550"/>
      <c r="AA176" s="550"/>
      <c r="AB176" s="549"/>
      <c r="AC176" s="550"/>
      <c r="AD176" s="550"/>
      <c r="AE176" s="549"/>
      <c r="AF176" s="550"/>
      <c r="AG176" s="550"/>
      <c r="AH176" s="549"/>
      <c r="AI176" s="550"/>
      <c r="AJ176" s="550"/>
      <c r="AK176" s="549"/>
      <c r="AL176" s="550"/>
      <c r="AM176" s="550"/>
      <c r="AN176" s="549"/>
      <c r="AO176" s="550"/>
      <c r="AP176" s="550"/>
      <c r="AQ176" s="549"/>
      <c r="AR176" s="550"/>
      <c r="AS176" s="550"/>
      <c r="AT176" s="549"/>
      <c r="AU176" s="550"/>
      <c r="AV176" s="550"/>
      <c r="AW176" s="549"/>
      <c r="AX176" s="550"/>
      <c r="AY176" s="550"/>
      <c r="AZ176" s="549"/>
      <c r="BA176" s="550"/>
      <c r="BB176" s="550"/>
      <c r="BC176" s="550"/>
    </row>
    <row r="177" spans="1:55" s="519" customFormat="1">
      <c r="A177" s="531" t="str">
        <f t="shared" si="18"/>
        <v>AQ</v>
      </c>
      <c r="B177" s="50" t="str">
        <f t="shared" si="19"/>
        <v>SIPPM25</v>
      </c>
      <c r="C177" s="50" t="s">
        <v>258</v>
      </c>
      <c r="D177" s="532" t="s">
        <v>269</v>
      </c>
      <c r="E177" s="50" t="s">
        <v>53</v>
      </c>
      <c r="F177" s="535">
        <f>R.11BSDDevName1</f>
        <v>0</v>
      </c>
      <c r="G177" s="543">
        <f>R.11BSDDevHrs1</f>
        <v>0</v>
      </c>
      <c r="H177" s="544">
        <f>Table3[[#This Row],[Hrs Rank]]</f>
        <v>0</v>
      </c>
      <c r="I177" s="534">
        <f t="shared" si="14"/>
        <v>0</v>
      </c>
      <c r="J177" s="534">
        <f t="shared" si="15"/>
        <v>0</v>
      </c>
      <c r="K177" s="551"/>
      <c r="L177" s="551"/>
      <c r="M177" s="547" t="s">
        <v>223</v>
      </c>
      <c r="N177" s="547" t="s">
        <v>223</v>
      </c>
      <c r="O177" s="548"/>
      <c r="P177" s="549"/>
      <c r="Q177" s="550"/>
      <c r="R177" s="550"/>
      <c r="S177" s="549"/>
      <c r="T177" s="550"/>
      <c r="U177" s="550"/>
      <c r="V177" s="549"/>
      <c r="W177" s="550"/>
      <c r="X177" s="550"/>
      <c r="Y177" s="549"/>
      <c r="Z177" s="550"/>
      <c r="AA177" s="550"/>
      <c r="AB177" s="549"/>
      <c r="AC177" s="550"/>
      <c r="AD177" s="550"/>
      <c r="AE177" s="549"/>
      <c r="AF177" s="550"/>
      <c r="AG177" s="550"/>
      <c r="AH177" s="549"/>
      <c r="AI177" s="550"/>
      <c r="AJ177" s="550"/>
      <c r="AK177" s="549"/>
      <c r="AL177" s="550"/>
      <c r="AM177" s="550"/>
      <c r="AN177" s="549"/>
      <c r="AO177" s="550"/>
      <c r="AP177" s="550"/>
      <c r="AQ177" s="549"/>
      <c r="AR177" s="550"/>
      <c r="AS177" s="550"/>
      <c r="AT177" s="549"/>
      <c r="AU177" s="550"/>
      <c r="AV177" s="550"/>
      <c r="AW177" s="549"/>
      <c r="AX177" s="550"/>
      <c r="AY177" s="550"/>
      <c r="AZ177" s="549"/>
      <c r="BA177" s="550"/>
      <c r="BB177" s="550"/>
      <c r="BC177" s="550"/>
    </row>
    <row r="178" spans="1:55" s="519" customFormat="1">
      <c r="A178" s="531" t="str">
        <f t="shared" si="18"/>
        <v>AQ</v>
      </c>
      <c r="B178" s="50" t="str">
        <f t="shared" si="19"/>
        <v>SIPPM25</v>
      </c>
      <c r="C178" s="50" t="s">
        <v>258</v>
      </c>
      <c r="D178" s="532" t="s">
        <v>269</v>
      </c>
      <c r="E178" s="50" t="s">
        <v>53</v>
      </c>
      <c r="F178" s="535" t="str">
        <f>R.11BSDDevName2</f>
        <v xml:space="preserve"> </v>
      </c>
      <c r="G178" s="543">
        <f>R.11BSDDevHrs2</f>
        <v>0</v>
      </c>
      <c r="H178" s="544">
        <f>Table3[[#This Row],[Hrs Rank]]</f>
        <v>0</v>
      </c>
      <c r="I178" s="534">
        <f t="shared" si="14"/>
        <v>0</v>
      </c>
      <c r="J178" s="534">
        <f t="shared" si="15"/>
        <v>0</v>
      </c>
      <c r="K178" s="551"/>
      <c r="L178" s="551"/>
      <c r="M178" s="547" t="s">
        <v>223</v>
      </c>
      <c r="N178" s="547" t="s">
        <v>223</v>
      </c>
      <c r="O178" s="548"/>
      <c r="P178" s="549"/>
      <c r="Q178" s="550"/>
      <c r="R178" s="550"/>
      <c r="S178" s="549"/>
      <c r="T178" s="550"/>
      <c r="U178" s="550"/>
      <c r="V178" s="549"/>
      <c r="W178" s="550"/>
      <c r="X178" s="550"/>
      <c r="Y178" s="549"/>
      <c r="Z178" s="550"/>
      <c r="AA178" s="550"/>
      <c r="AB178" s="549"/>
      <c r="AC178" s="550"/>
      <c r="AD178" s="550"/>
      <c r="AE178" s="549"/>
      <c r="AF178" s="550"/>
      <c r="AG178" s="550"/>
      <c r="AH178" s="549"/>
      <c r="AI178" s="550"/>
      <c r="AJ178" s="550"/>
      <c r="AK178" s="549"/>
      <c r="AL178" s="550"/>
      <c r="AM178" s="550"/>
      <c r="AN178" s="549"/>
      <c r="AO178" s="550"/>
      <c r="AP178" s="550"/>
      <c r="AQ178" s="549"/>
      <c r="AR178" s="550"/>
      <c r="AS178" s="550"/>
      <c r="AT178" s="549"/>
      <c r="AU178" s="550"/>
      <c r="AV178" s="550"/>
      <c r="AW178" s="549"/>
      <c r="AX178" s="550"/>
      <c r="AY178" s="550"/>
      <c r="AZ178" s="549"/>
      <c r="BA178" s="550"/>
      <c r="BB178" s="550"/>
      <c r="BC178" s="550"/>
    </row>
    <row r="179" spans="1:55" s="519" customFormat="1">
      <c r="A179" s="531" t="str">
        <f t="shared" si="18"/>
        <v>AQ</v>
      </c>
      <c r="B179" s="50" t="str">
        <f t="shared" si="19"/>
        <v>SIPPM25</v>
      </c>
      <c r="C179" s="50" t="s">
        <v>258</v>
      </c>
      <c r="D179" s="532" t="s">
        <v>269</v>
      </c>
      <c r="E179" s="50" t="s">
        <v>53</v>
      </c>
      <c r="F179" s="535" t="str">
        <f>R.11BSDDevName3</f>
        <v xml:space="preserve"> </v>
      </c>
      <c r="G179" s="543">
        <f>R.11BSDDevHrs3</f>
        <v>0</v>
      </c>
      <c r="H179" s="544">
        <f>Table3[[#This Row],[Hrs Rank]]</f>
        <v>0</v>
      </c>
      <c r="I179" s="534">
        <f t="shared" si="14"/>
        <v>0</v>
      </c>
      <c r="J179" s="534">
        <f t="shared" si="15"/>
        <v>0</v>
      </c>
      <c r="K179" s="551"/>
      <c r="L179" s="551"/>
      <c r="M179" s="547" t="s">
        <v>223</v>
      </c>
      <c r="N179" s="547" t="s">
        <v>223</v>
      </c>
      <c r="O179" s="548"/>
      <c r="P179" s="549"/>
      <c r="Q179" s="550"/>
      <c r="R179" s="550"/>
      <c r="S179" s="549"/>
      <c r="T179" s="550"/>
      <c r="U179" s="550"/>
      <c r="V179" s="549"/>
      <c r="W179" s="550"/>
      <c r="X179" s="550"/>
      <c r="Y179" s="549"/>
      <c r="Z179" s="550"/>
      <c r="AA179" s="550"/>
      <c r="AB179" s="549"/>
      <c r="AC179" s="550"/>
      <c r="AD179" s="550"/>
      <c r="AE179" s="549"/>
      <c r="AF179" s="550"/>
      <c r="AG179" s="550"/>
      <c r="AH179" s="549"/>
      <c r="AI179" s="550"/>
      <c r="AJ179" s="550"/>
      <c r="AK179" s="549"/>
      <c r="AL179" s="550"/>
      <c r="AM179" s="550"/>
      <c r="AN179" s="549"/>
      <c r="AO179" s="550"/>
      <c r="AP179" s="550"/>
      <c r="AQ179" s="549"/>
      <c r="AR179" s="550"/>
      <c r="AS179" s="550"/>
      <c r="AT179" s="549"/>
      <c r="AU179" s="550"/>
      <c r="AV179" s="550"/>
      <c r="AW179" s="549"/>
      <c r="AX179" s="550"/>
      <c r="AY179" s="550"/>
      <c r="AZ179" s="549"/>
      <c r="BA179" s="550"/>
      <c r="BB179" s="550"/>
      <c r="BC179" s="550"/>
    </row>
    <row r="180" spans="1:55" s="519" customFormat="1">
      <c r="A180" s="531" t="str">
        <f t="shared" si="18"/>
        <v>AQ</v>
      </c>
      <c r="B180" s="50" t="str">
        <f t="shared" si="19"/>
        <v>SIPPM25</v>
      </c>
      <c r="C180" s="50" t="s">
        <v>258</v>
      </c>
      <c r="D180" s="532" t="s">
        <v>269</v>
      </c>
      <c r="E180" s="50" t="s">
        <v>53</v>
      </c>
      <c r="F180" s="535" t="str">
        <f>R.11BSDDevName4</f>
        <v xml:space="preserve"> </v>
      </c>
      <c r="G180" s="543">
        <f>R.11BSDDevHrs4</f>
        <v>0</v>
      </c>
      <c r="H180" s="544">
        <f>Table3[[#This Row],[Hrs Rank]]</f>
        <v>0</v>
      </c>
      <c r="I180" s="534">
        <f t="shared" si="14"/>
        <v>0</v>
      </c>
      <c r="J180" s="534">
        <f t="shared" si="15"/>
        <v>0</v>
      </c>
      <c r="K180" s="551"/>
      <c r="L180" s="551"/>
      <c r="M180" s="547" t="s">
        <v>223</v>
      </c>
      <c r="N180" s="547" t="s">
        <v>223</v>
      </c>
      <c r="O180" s="548"/>
      <c r="P180" s="549"/>
      <c r="Q180" s="550"/>
      <c r="R180" s="550"/>
      <c r="S180" s="549"/>
      <c r="T180" s="550"/>
      <c r="U180" s="550"/>
      <c r="V180" s="549"/>
      <c r="W180" s="550"/>
      <c r="X180" s="550"/>
      <c r="Y180" s="549"/>
      <c r="Z180" s="550"/>
      <c r="AA180" s="550"/>
      <c r="AB180" s="549"/>
      <c r="AC180" s="550"/>
      <c r="AD180" s="550"/>
      <c r="AE180" s="549"/>
      <c r="AF180" s="550"/>
      <c r="AG180" s="550"/>
      <c r="AH180" s="549"/>
      <c r="AI180" s="550"/>
      <c r="AJ180" s="550"/>
      <c r="AK180" s="549"/>
      <c r="AL180" s="550"/>
      <c r="AM180" s="550"/>
      <c r="AN180" s="549"/>
      <c r="AO180" s="550"/>
      <c r="AP180" s="550"/>
      <c r="AQ180" s="549"/>
      <c r="AR180" s="550"/>
      <c r="AS180" s="550"/>
      <c r="AT180" s="549"/>
      <c r="AU180" s="550"/>
      <c r="AV180" s="550"/>
      <c r="AW180" s="549"/>
      <c r="AX180" s="550"/>
      <c r="AY180" s="550"/>
      <c r="AZ180" s="549"/>
      <c r="BA180" s="550"/>
      <c r="BB180" s="550"/>
      <c r="BC180" s="550"/>
    </row>
    <row r="181" spans="1:55" s="519" customFormat="1">
      <c r="A181" s="531" t="str">
        <f t="shared" si="18"/>
        <v>AQ</v>
      </c>
      <c r="B181" s="50" t="str">
        <f t="shared" si="19"/>
        <v>SIPPM25</v>
      </c>
      <c r="C181" s="50" t="s">
        <v>258</v>
      </c>
      <c r="D181" s="532" t="s">
        <v>269</v>
      </c>
      <c r="E181" s="50" t="s">
        <v>52</v>
      </c>
      <c r="F181" s="535">
        <f>R.11BSDImpName1</f>
        <v>0</v>
      </c>
      <c r="G181" s="543">
        <f>R.11BSDImpHrs1</f>
        <v>0</v>
      </c>
      <c r="H181" s="544">
        <f>Table3[[#This Row],[Hrs Rank]]</f>
        <v>0</v>
      </c>
      <c r="I181" s="534">
        <f t="shared" si="14"/>
        <v>0</v>
      </c>
      <c r="J181" s="534">
        <f t="shared" si="15"/>
        <v>0</v>
      </c>
      <c r="K181" s="551"/>
      <c r="L181" s="551"/>
      <c r="M181" s="547" t="s">
        <v>223</v>
      </c>
      <c r="N181" s="547" t="s">
        <v>223</v>
      </c>
      <c r="O181" s="548"/>
      <c r="P181" s="549"/>
      <c r="Q181" s="550"/>
      <c r="R181" s="550"/>
      <c r="S181" s="549"/>
      <c r="T181" s="550"/>
      <c r="U181" s="550"/>
      <c r="V181" s="549"/>
      <c r="W181" s="550"/>
      <c r="X181" s="550"/>
      <c r="Y181" s="549"/>
      <c r="Z181" s="550"/>
      <c r="AA181" s="550"/>
      <c r="AB181" s="549"/>
      <c r="AC181" s="550"/>
      <c r="AD181" s="550"/>
      <c r="AE181" s="549"/>
      <c r="AF181" s="550"/>
      <c r="AG181" s="550"/>
      <c r="AH181" s="549"/>
      <c r="AI181" s="550"/>
      <c r="AJ181" s="550"/>
      <c r="AK181" s="549"/>
      <c r="AL181" s="550"/>
      <c r="AM181" s="550"/>
      <c r="AN181" s="549"/>
      <c r="AO181" s="550"/>
      <c r="AP181" s="550"/>
      <c r="AQ181" s="549"/>
      <c r="AR181" s="550"/>
      <c r="AS181" s="550"/>
      <c r="AT181" s="549"/>
      <c r="AU181" s="550"/>
      <c r="AV181" s="550"/>
      <c r="AW181" s="549"/>
      <c r="AX181" s="550"/>
      <c r="AY181" s="550"/>
      <c r="AZ181" s="549"/>
      <c r="BA181" s="550"/>
      <c r="BB181" s="550"/>
      <c r="BC181" s="550"/>
    </row>
    <row r="182" spans="1:55" s="519" customFormat="1">
      <c r="A182" s="531" t="str">
        <f t="shared" si="18"/>
        <v>AQ</v>
      </c>
      <c r="B182" s="50" t="str">
        <f t="shared" si="19"/>
        <v>SIPPM25</v>
      </c>
      <c r="C182" s="50" t="s">
        <v>258</v>
      </c>
      <c r="D182" s="532" t="s">
        <v>269</v>
      </c>
      <c r="E182" s="50" t="s">
        <v>52</v>
      </c>
      <c r="F182" s="535" t="str">
        <f>R.11BSDImpName2</f>
        <v xml:space="preserve"> </v>
      </c>
      <c r="G182" s="543">
        <f>R.11BSDImpHrs2</f>
        <v>0</v>
      </c>
      <c r="H182" s="544">
        <f>Table3[[#This Row],[Hrs Rank]]</f>
        <v>0</v>
      </c>
      <c r="I182" s="534">
        <f t="shared" si="14"/>
        <v>0</v>
      </c>
      <c r="J182" s="534">
        <f t="shared" si="15"/>
        <v>0</v>
      </c>
      <c r="K182" s="551"/>
      <c r="L182" s="551"/>
      <c r="M182" s="547" t="s">
        <v>223</v>
      </c>
      <c r="N182" s="547" t="s">
        <v>223</v>
      </c>
      <c r="O182" s="548"/>
      <c r="P182" s="549"/>
      <c r="Q182" s="550"/>
      <c r="R182" s="550"/>
      <c r="S182" s="549"/>
      <c r="T182" s="550"/>
      <c r="U182" s="550"/>
      <c r="V182" s="549"/>
      <c r="W182" s="550"/>
      <c r="X182" s="550"/>
      <c r="Y182" s="549"/>
      <c r="Z182" s="550"/>
      <c r="AA182" s="550"/>
      <c r="AB182" s="549"/>
      <c r="AC182" s="550"/>
      <c r="AD182" s="550"/>
      <c r="AE182" s="549"/>
      <c r="AF182" s="550"/>
      <c r="AG182" s="550"/>
      <c r="AH182" s="549"/>
      <c r="AI182" s="550"/>
      <c r="AJ182" s="550"/>
      <c r="AK182" s="549"/>
      <c r="AL182" s="550"/>
      <c r="AM182" s="550"/>
      <c r="AN182" s="549"/>
      <c r="AO182" s="550"/>
      <c r="AP182" s="550"/>
      <c r="AQ182" s="549"/>
      <c r="AR182" s="550"/>
      <c r="AS182" s="550"/>
      <c r="AT182" s="549"/>
      <c r="AU182" s="550"/>
      <c r="AV182" s="550"/>
      <c r="AW182" s="549"/>
      <c r="AX182" s="550"/>
      <c r="AY182" s="550"/>
      <c r="AZ182" s="549"/>
      <c r="BA182" s="550"/>
      <c r="BB182" s="550"/>
      <c r="BC182" s="550"/>
    </row>
    <row r="183" spans="1:55" s="519" customFormat="1">
      <c r="A183" s="531" t="str">
        <f t="shared" si="18"/>
        <v>AQ</v>
      </c>
      <c r="B183" s="50" t="str">
        <f t="shared" si="19"/>
        <v>SIPPM25</v>
      </c>
      <c r="C183" s="50" t="s">
        <v>258</v>
      </c>
      <c r="D183" s="532" t="s">
        <v>269</v>
      </c>
      <c r="E183" s="50" t="s">
        <v>52</v>
      </c>
      <c r="F183" s="535" t="str">
        <f>R.11BSDImpName3</f>
        <v xml:space="preserve"> </v>
      </c>
      <c r="G183" s="543">
        <f>R.11BSDImpHrs3</f>
        <v>0</v>
      </c>
      <c r="H183" s="544">
        <f>Table3[[#This Row],[Hrs Rank]]</f>
        <v>0</v>
      </c>
      <c r="I183" s="534">
        <f t="shared" si="14"/>
        <v>0</v>
      </c>
      <c r="J183" s="534">
        <f t="shared" si="15"/>
        <v>0</v>
      </c>
      <c r="K183" s="551"/>
      <c r="L183" s="551"/>
      <c r="M183" s="547" t="s">
        <v>223</v>
      </c>
      <c r="N183" s="547" t="s">
        <v>223</v>
      </c>
      <c r="O183" s="548"/>
      <c r="P183" s="549"/>
      <c r="Q183" s="550"/>
      <c r="R183" s="550"/>
      <c r="S183" s="549"/>
      <c r="T183" s="550"/>
      <c r="U183" s="550"/>
      <c r="V183" s="549"/>
      <c r="W183" s="550"/>
      <c r="X183" s="550"/>
      <c r="Y183" s="549"/>
      <c r="Z183" s="550"/>
      <c r="AA183" s="550"/>
      <c r="AB183" s="549"/>
      <c r="AC183" s="550"/>
      <c r="AD183" s="550"/>
      <c r="AE183" s="549"/>
      <c r="AF183" s="550"/>
      <c r="AG183" s="550"/>
      <c r="AH183" s="549"/>
      <c r="AI183" s="550"/>
      <c r="AJ183" s="550"/>
      <c r="AK183" s="549"/>
      <c r="AL183" s="550"/>
      <c r="AM183" s="550"/>
      <c r="AN183" s="549"/>
      <c r="AO183" s="550"/>
      <c r="AP183" s="550"/>
      <c r="AQ183" s="549"/>
      <c r="AR183" s="550"/>
      <c r="AS183" s="550"/>
      <c r="AT183" s="549"/>
      <c r="AU183" s="550"/>
      <c r="AV183" s="550"/>
      <c r="AW183" s="549"/>
      <c r="AX183" s="550"/>
      <c r="AY183" s="550"/>
      <c r="AZ183" s="549"/>
      <c r="BA183" s="550"/>
      <c r="BB183" s="550"/>
      <c r="BC183" s="550"/>
    </row>
    <row r="184" spans="1:55" s="519" customFormat="1">
      <c r="A184" s="531" t="str">
        <f t="shared" si="18"/>
        <v>AQ</v>
      </c>
      <c r="B184" s="50" t="str">
        <f t="shared" si="19"/>
        <v>SIPPM25</v>
      </c>
      <c r="C184" s="50" t="s">
        <v>258</v>
      </c>
      <c r="D184" s="532" t="s">
        <v>269</v>
      </c>
      <c r="E184" s="50" t="s">
        <v>52</v>
      </c>
      <c r="F184" s="535" t="str">
        <f>R.11BSDImpName4</f>
        <v xml:space="preserve"> </v>
      </c>
      <c r="G184" s="543">
        <f>R.11BSDImpHrs4</f>
        <v>0</v>
      </c>
      <c r="H184" s="544">
        <f>Table3[[#This Row],[Hrs Rank]]</f>
        <v>0</v>
      </c>
      <c r="I184" s="534">
        <f t="shared" si="14"/>
        <v>0</v>
      </c>
      <c r="J184" s="534">
        <f t="shared" si="15"/>
        <v>0</v>
      </c>
      <c r="K184" s="551"/>
      <c r="L184" s="551"/>
      <c r="M184" s="547" t="s">
        <v>223</v>
      </c>
      <c r="N184" s="547" t="s">
        <v>223</v>
      </c>
      <c r="O184" s="548"/>
      <c r="P184" s="549"/>
      <c r="Q184" s="550"/>
      <c r="R184" s="550"/>
      <c r="S184" s="549"/>
      <c r="T184" s="550"/>
      <c r="U184" s="550"/>
      <c r="V184" s="549"/>
      <c r="W184" s="550"/>
      <c r="X184" s="550"/>
      <c r="Y184" s="549"/>
      <c r="Z184" s="550"/>
      <c r="AA184" s="550"/>
      <c r="AB184" s="549"/>
      <c r="AC184" s="550"/>
      <c r="AD184" s="550"/>
      <c r="AE184" s="549"/>
      <c r="AF184" s="550"/>
      <c r="AG184" s="550"/>
      <c r="AH184" s="549"/>
      <c r="AI184" s="550"/>
      <c r="AJ184" s="550"/>
      <c r="AK184" s="549"/>
      <c r="AL184" s="550"/>
      <c r="AM184" s="550"/>
      <c r="AN184" s="549"/>
      <c r="AO184" s="550"/>
      <c r="AP184" s="550"/>
      <c r="AQ184" s="549"/>
      <c r="AR184" s="550"/>
      <c r="AS184" s="550"/>
      <c r="AT184" s="549"/>
      <c r="AU184" s="550"/>
      <c r="AV184" s="550"/>
      <c r="AW184" s="549"/>
      <c r="AX184" s="550"/>
      <c r="AY184" s="550"/>
      <c r="AZ184" s="549"/>
      <c r="BA184" s="550"/>
      <c r="BB184" s="550"/>
      <c r="BC184" s="550"/>
    </row>
    <row r="185" spans="1:55" s="519" customFormat="1">
      <c r="A185" s="531" t="str">
        <f t="shared" si="18"/>
        <v>AQ</v>
      </c>
      <c r="B185" s="50" t="str">
        <f t="shared" si="19"/>
        <v>SIPPM25</v>
      </c>
      <c r="C185" s="50" t="s">
        <v>259</v>
      </c>
      <c r="D185" s="532" t="s">
        <v>152</v>
      </c>
      <c r="E185" s="50" t="s">
        <v>53</v>
      </c>
      <c r="F185" s="535">
        <f>R.12OCEDevName1</f>
        <v>0</v>
      </c>
      <c r="G185" s="543">
        <f>R.12OCEDevHrs1</f>
        <v>0</v>
      </c>
      <c r="H185" s="544">
        <f>Table3[[#This Row],[Hrs Rank]]</f>
        <v>0</v>
      </c>
      <c r="I185" s="534">
        <f t="shared" si="14"/>
        <v>0</v>
      </c>
      <c r="J185" s="534">
        <f t="shared" si="15"/>
        <v>0</v>
      </c>
      <c r="K185" s="551"/>
      <c r="L185" s="551"/>
      <c r="M185" s="547" t="s">
        <v>223</v>
      </c>
      <c r="N185" s="547" t="s">
        <v>223</v>
      </c>
      <c r="O185" s="548"/>
      <c r="P185" s="549"/>
      <c r="Q185" s="550"/>
      <c r="R185" s="550"/>
      <c r="S185" s="549"/>
      <c r="T185" s="550"/>
      <c r="U185" s="550"/>
      <c r="V185" s="549"/>
      <c r="W185" s="550"/>
      <c r="X185" s="550"/>
      <c r="Y185" s="549"/>
      <c r="Z185" s="550"/>
      <c r="AA185" s="550"/>
      <c r="AB185" s="549"/>
      <c r="AC185" s="550"/>
      <c r="AD185" s="550"/>
      <c r="AE185" s="549"/>
      <c r="AF185" s="550"/>
      <c r="AG185" s="550"/>
      <c r="AH185" s="549"/>
      <c r="AI185" s="550"/>
      <c r="AJ185" s="550"/>
      <c r="AK185" s="549"/>
      <c r="AL185" s="550"/>
      <c r="AM185" s="550"/>
      <c r="AN185" s="549"/>
      <c r="AO185" s="550"/>
      <c r="AP185" s="550"/>
      <c r="AQ185" s="549"/>
      <c r="AR185" s="550"/>
      <c r="AS185" s="550"/>
      <c r="AT185" s="549"/>
      <c r="AU185" s="550"/>
      <c r="AV185" s="550"/>
      <c r="AW185" s="549"/>
      <c r="AX185" s="550"/>
      <c r="AY185" s="550"/>
      <c r="AZ185" s="549"/>
      <c r="BA185" s="550"/>
      <c r="BB185" s="550"/>
      <c r="BC185" s="550"/>
    </row>
    <row r="186" spans="1:55" s="519" customFormat="1">
      <c r="A186" s="531" t="str">
        <f t="shared" si="18"/>
        <v>AQ</v>
      </c>
      <c r="B186" s="50" t="str">
        <f t="shared" si="19"/>
        <v>SIPPM25</v>
      </c>
      <c r="C186" s="50" t="s">
        <v>259</v>
      </c>
      <c r="D186" s="532" t="s">
        <v>152</v>
      </c>
      <c r="E186" s="50" t="s">
        <v>53</v>
      </c>
      <c r="F186" s="535" t="str">
        <f>R.12OCEDevName2</f>
        <v xml:space="preserve"> </v>
      </c>
      <c r="G186" s="543">
        <f>R.12OCEDevHrs2</f>
        <v>0</v>
      </c>
      <c r="H186" s="544">
        <f>Table3[[#This Row],[Hrs Rank]]</f>
        <v>0</v>
      </c>
      <c r="I186" s="534">
        <f t="shared" si="14"/>
        <v>0</v>
      </c>
      <c r="J186" s="534">
        <f t="shared" si="15"/>
        <v>0</v>
      </c>
      <c r="K186" s="551"/>
      <c r="L186" s="551"/>
      <c r="M186" s="547" t="s">
        <v>223</v>
      </c>
      <c r="N186" s="547" t="s">
        <v>223</v>
      </c>
      <c r="O186" s="548"/>
      <c r="P186" s="549"/>
      <c r="Q186" s="550"/>
      <c r="R186" s="550"/>
      <c r="S186" s="549"/>
      <c r="T186" s="550"/>
      <c r="U186" s="550"/>
      <c r="V186" s="549"/>
      <c r="W186" s="550"/>
      <c r="X186" s="550"/>
      <c r="Y186" s="549"/>
      <c r="Z186" s="550"/>
      <c r="AA186" s="550"/>
      <c r="AB186" s="549"/>
      <c r="AC186" s="550"/>
      <c r="AD186" s="550"/>
      <c r="AE186" s="549"/>
      <c r="AF186" s="550"/>
      <c r="AG186" s="550"/>
      <c r="AH186" s="549"/>
      <c r="AI186" s="550"/>
      <c r="AJ186" s="550"/>
      <c r="AK186" s="549"/>
      <c r="AL186" s="550"/>
      <c r="AM186" s="550"/>
      <c r="AN186" s="549"/>
      <c r="AO186" s="550"/>
      <c r="AP186" s="550"/>
      <c r="AQ186" s="549"/>
      <c r="AR186" s="550"/>
      <c r="AS186" s="550"/>
      <c r="AT186" s="549"/>
      <c r="AU186" s="550"/>
      <c r="AV186" s="550"/>
      <c r="AW186" s="549"/>
      <c r="AX186" s="550"/>
      <c r="AY186" s="550"/>
      <c r="AZ186" s="549"/>
      <c r="BA186" s="550"/>
      <c r="BB186" s="550"/>
      <c r="BC186" s="550"/>
    </row>
    <row r="187" spans="1:55" s="519" customFormat="1">
      <c r="A187" s="531" t="str">
        <f t="shared" si="18"/>
        <v>AQ</v>
      </c>
      <c r="B187" s="50" t="str">
        <f t="shared" si="19"/>
        <v>SIPPM25</v>
      </c>
      <c r="C187" s="50" t="s">
        <v>259</v>
      </c>
      <c r="D187" s="532" t="s">
        <v>152</v>
      </c>
      <c r="E187" s="50" t="s">
        <v>53</v>
      </c>
      <c r="F187" s="535" t="str">
        <f>R.12OCEDevName3</f>
        <v xml:space="preserve"> </v>
      </c>
      <c r="G187" s="543">
        <f>R.12OCEDevHrs3</f>
        <v>0</v>
      </c>
      <c r="H187" s="544">
        <f>Table3[[#This Row],[Hrs Rank]]</f>
        <v>0</v>
      </c>
      <c r="I187" s="534">
        <f t="shared" si="14"/>
        <v>0</v>
      </c>
      <c r="J187" s="534">
        <f t="shared" si="15"/>
        <v>0</v>
      </c>
      <c r="K187" s="551"/>
      <c r="L187" s="551"/>
      <c r="M187" s="547" t="s">
        <v>223</v>
      </c>
      <c r="N187" s="547" t="s">
        <v>223</v>
      </c>
      <c r="O187" s="548"/>
      <c r="P187" s="549"/>
      <c r="Q187" s="550"/>
      <c r="R187" s="550"/>
      <c r="S187" s="549"/>
      <c r="T187" s="550"/>
      <c r="U187" s="550"/>
      <c r="V187" s="549"/>
      <c r="W187" s="550"/>
      <c r="X187" s="550"/>
      <c r="Y187" s="549"/>
      <c r="Z187" s="550"/>
      <c r="AA187" s="550"/>
      <c r="AB187" s="549"/>
      <c r="AC187" s="550"/>
      <c r="AD187" s="550"/>
      <c r="AE187" s="549"/>
      <c r="AF187" s="550"/>
      <c r="AG187" s="550"/>
      <c r="AH187" s="549"/>
      <c r="AI187" s="550"/>
      <c r="AJ187" s="550"/>
      <c r="AK187" s="549"/>
      <c r="AL187" s="550"/>
      <c r="AM187" s="550"/>
      <c r="AN187" s="549"/>
      <c r="AO187" s="550"/>
      <c r="AP187" s="550"/>
      <c r="AQ187" s="549"/>
      <c r="AR187" s="550"/>
      <c r="AS187" s="550"/>
      <c r="AT187" s="549"/>
      <c r="AU187" s="550"/>
      <c r="AV187" s="550"/>
      <c r="AW187" s="549"/>
      <c r="AX187" s="550"/>
      <c r="AY187" s="550"/>
      <c r="AZ187" s="549"/>
      <c r="BA187" s="550"/>
      <c r="BB187" s="550"/>
      <c r="BC187" s="550"/>
    </row>
    <row r="188" spans="1:55" s="519" customFormat="1">
      <c r="A188" s="531" t="str">
        <f t="shared" si="18"/>
        <v>AQ</v>
      </c>
      <c r="B188" s="50" t="str">
        <f t="shared" si="19"/>
        <v>SIPPM25</v>
      </c>
      <c r="C188" s="50" t="s">
        <v>259</v>
      </c>
      <c r="D188" s="532" t="s">
        <v>152</v>
      </c>
      <c r="E188" s="50" t="s">
        <v>53</v>
      </c>
      <c r="F188" s="535" t="str">
        <f>R.12OCEDevName4</f>
        <v xml:space="preserve"> </v>
      </c>
      <c r="G188" s="543">
        <f>R.12OCEDevHrs4</f>
        <v>0</v>
      </c>
      <c r="H188" s="544">
        <f>Table3[[#This Row],[Hrs Rank]]</f>
        <v>0</v>
      </c>
      <c r="I188" s="534">
        <f t="shared" si="14"/>
        <v>0</v>
      </c>
      <c r="J188" s="534">
        <f t="shared" si="15"/>
        <v>0</v>
      </c>
      <c r="K188" s="551"/>
      <c r="L188" s="551"/>
      <c r="M188" s="547" t="s">
        <v>223</v>
      </c>
      <c r="N188" s="547" t="s">
        <v>223</v>
      </c>
      <c r="O188" s="548"/>
      <c r="P188" s="549"/>
      <c r="Q188" s="550"/>
      <c r="R188" s="550"/>
      <c r="S188" s="549"/>
      <c r="T188" s="550"/>
      <c r="U188" s="550"/>
      <c r="V188" s="549"/>
      <c r="W188" s="550"/>
      <c r="X188" s="550"/>
      <c r="Y188" s="549"/>
      <c r="Z188" s="550"/>
      <c r="AA188" s="550"/>
      <c r="AB188" s="549"/>
      <c r="AC188" s="550"/>
      <c r="AD188" s="550"/>
      <c r="AE188" s="549"/>
      <c r="AF188" s="550"/>
      <c r="AG188" s="550"/>
      <c r="AH188" s="549"/>
      <c r="AI188" s="550"/>
      <c r="AJ188" s="550"/>
      <c r="AK188" s="549"/>
      <c r="AL188" s="550"/>
      <c r="AM188" s="550"/>
      <c r="AN188" s="549"/>
      <c r="AO188" s="550"/>
      <c r="AP188" s="550"/>
      <c r="AQ188" s="549"/>
      <c r="AR188" s="550"/>
      <c r="AS188" s="550"/>
      <c r="AT188" s="549"/>
      <c r="AU188" s="550"/>
      <c r="AV188" s="550"/>
      <c r="AW188" s="549"/>
      <c r="AX188" s="550"/>
      <c r="AY188" s="550"/>
      <c r="AZ188" s="549"/>
      <c r="BA188" s="550"/>
      <c r="BB188" s="550"/>
      <c r="BC188" s="550"/>
    </row>
    <row r="189" spans="1:55" s="519" customFormat="1">
      <c r="A189" s="531" t="str">
        <f t="shared" si="18"/>
        <v>AQ</v>
      </c>
      <c r="B189" s="50" t="str">
        <f t="shared" si="19"/>
        <v>SIPPM25</v>
      </c>
      <c r="C189" s="50" t="s">
        <v>259</v>
      </c>
      <c r="D189" s="532" t="s">
        <v>152</v>
      </c>
      <c r="E189" s="50" t="s">
        <v>52</v>
      </c>
      <c r="F189" s="535">
        <f>R.12OCEImpName1</f>
        <v>0</v>
      </c>
      <c r="G189" s="543">
        <f>R.12OCEImpHrs1</f>
        <v>0</v>
      </c>
      <c r="H189" s="544">
        <f>Table3[[#This Row],[Hrs Rank]]</f>
        <v>0</v>
      </c>
      <c r="I189" s="534">
        <f t="shared" si="14"/>
        <v>0</v>
      </c>
      <c r="J189" s="534">
        <f t="shared" si="15"/>
        <v>0</v>
      </c>
      <c r="K189" s="551"/>
      <c r="L189" s="551"/>
      <c r="M189" s="547" t="s">
        <v>223</v>
      </c>
      <c r="N189" s="547" t="s">
        <v>223</v>
      </c>
      <c r="O189" s="548"/>
      <c r="P189" s="549"/>
      <c r="Q189" s="550"/>
      <c r="R189" s="550"/>
      <c r="S189" s="549"/>
      <c r="T189" s="550"/>
      <c r="U189" s="550"/>
      <c r="V189" s="549"/>
      <c r="W189" s="550"/>
      <c r="X189" s="550"/>
      <c r="Y189" s="549"/>
      <c r="Z189" s="550"/>
      <c r="AA189" s="550"/>
      <c r="AB189" s="549"/>
      <c r="AC189" s="550"/>
      <c r="AD189" s="550"/>
      <c r="AE189" s="549"/>
      <c r="AF189" s="550"/>
      <c r="AG189" s="550"/>
      <c r="AH189" s="549"/>
      <c r="AI189" s="550"/>
      <c r="AJ189" s="550"/>
      <c r="AK189" s="549"/>
      <c r="AL189" s="550"/>
      <c r="AM189" s="550"/>
      <c r="AN189" s="549"/>
      <c r="AO189" s="550"/>
      <c r="AP189" s="550"/>
      <c r="AQ189" s="549"/>
      <c r="AR189" s="550"/>
      <c r="AS189" s="550"/>
      <c r="AT189" s="549"/>
      <c r="AU189" s="550"/>
      <c r="AV189" s="550"/>
      <c r="AW189" s="549"/>
      <c r="AX189" s="550"/>
      <c r="AY189" s="550"/>
      <c r="AZ189" s="549"/>
      <c r="BA189" s="550"/>
      <c r="BB189" s="550"/>
      <c r="BC189" s="550"/>
    </row>
    <row r="190" spans="1:55" s="519" customFormat="1">
      <c r="A190" s="531" t="str">
        <f t="shared" si="18"/>
        <v>AQ</v>
      </c>
      <c r="B190" s="50" t="str">
        <f t="shared" si="19"/>
        <v>SIPPM25</v>
      </c>
      <c r="C190" s="50" t="s">
        <v>259</v>
      </c>
      <c r="D190" s="532" t="s">
        <v>152</v>
      </c>
      <c r="E190" s="50" t="s">
        <v>52</v>
      </c>
      <c r="F190" s="535">
        <f>R.12OCEImpName2</f>
        <v>0</v>
      </c>
      <c r="G190" s="543">
        <f>R.12OCEImpHrs2</f>
        <v>0</v>
      </c>
      <c r="H190" s="544">
        <f>Table3[[#This Row],[Hrs Rank]]</f>
        <v>0</v>
      </c>
      <c r="I190" s="534">
        <f t="shared" si="14"/>
        <v>0</v>
      </c>
      <c r="J190" s="534">
        <f t="shared" si="15"/>
        <v>0</v>
      </c>
      <c r="K190" s="551"/>
      <c r="L190" s="551"/>
      <c r="M190" s="547" t="s">
        <v>223</v>
      </c>
      <c r="N190" s="547" t="s">
        <v>223</v>
      </c>
      <c r="O190" s="548"/>
      <c r="P190" s="549"/>
      <c r="Q190" s="550"/>
      <c r="R190" s="550"/>
      <c r="S190" s="549"/>
      <c r="T190" s="550"/>
      <c r="U190" s="550"/>
      <c r="V190" s="549"/>
      <c r="W190" s="550"/>
      <c r="X190" s="550"/>
      <c r="Y190" s="549"/>
      <c r="Z190" s="550"/>
      <c r="AA190" s="550"/>
      <c r="AB190" s="549"/>
      <c r="AC190" s="550"/>
      <c r="AD190" s="550"/>
      <c r="AE190" s="549"/>
      <c r="AF190" s="550"/>
      <c r="AG190" s="550"/>
      <c r="AH190" s="549"/>
      <c r="AI190" s="550"/>
      <c r="AJ190" s="550"/>
      <c r="AK190" s="549"/>
      <c r="AL190" s="550"/>
      <c r="AM190" s="550"/>
      <c r="AN190" s="549"/>
      <c r="AO190" s="550"/>
      <c r="AP190" s="550"/>
      <c r="AQ190" s="549"/>
      <c r="AR190" s="550"/>
      <c r="AS190" s="550"/>
      <c r="AT190" s="549"/>
      <c r="AU190" s="550"/>
      <c r="AV190" s="550"/>
      <c r="AW190" s="549"/>
      <c r="AX190" s="550"/>
      <c r="AY190" s="550"/>
      <c r="AZ190" s="549"/>
      <c r="BA190" s="550"/>
      <c r="BB190" s="550"/>
      <c r="BC190" s="550"/>
    </row>
    <row r="191" spans="1:55" s="519" customFormat="1">
      <c r="A191" s="531" t="str">
        <f t="shared" ref="A191:A222" si="20">R.1Division</f>
        <v>AQ</v>
      </c>
      <c r="B191" s="50" t="str">
        <f t="shared" ref="B191:B222" si="21">R.1CodeName</f>
        <v>SIPPM25</v>
      </c>
      <c r="C191" s="50" t="s">
        <v>259</v>
      </c>
      <c r="D191" s="532" t="s">
        <v>152</v>
      </c>
      <c r="E191" s="50" t="s">
        <v>52</v>
      </c>
      <c r="F191" s="535" t="str">
        <f>R.12OCEImpName3</f>
        <v xml:space="preserve"> </v>
      </c>
      <c r="G191" s="543">
        <f>R.12OCEImpHrs3</f>
        <v>0</v>
      </c>
      <c r="H191" s="544">
        <f>Table3[[#This Row],[Hrs Rank]]</f>
        <v>0</v>
      </c>
      <c r="I191" s="534">
        <f t="shared" si="14"/>
        <v>0</v>
      </c>
      <c r="J191" s="534">
        <f t="shared" si="15"/>
        <v>0</v>
      </c>
      <c r="K191" s="551"/>
      <c r="L191" s="551"/>
      <c r="M191" s="547" t="s">
        <v>223</v>
      </c>
      <c r="N191" s="547" t="s">
        <v>223</v>
      </c>
      <c r="O191" s="548"/>
      <c r="P191" s="549"/>
      <c r="Q191" s="550"/>
      <c r="R191" s="550"/>
      <c r="S191" s="549"/>
      <c r="T191" s="550"/>
      <c r="U191" s="550"/>
      <c r="V191" s="549"/>
      <c r="W191" s="550"/>
      <c r="X191" s="550"/>
      <c r="Y191" s="549"/>
      <c r="Z191" s="550"/>
      <c r="AA191" s="550"/>
      <c r="AB191" s="549"/>
      <c r="AC191" s="550"/>
      <c r="AD191" s="550"/>
      <c r="AE191" s="549"/>
      <c r="AF191" s="550"/>
      <c r="AG191" s="550"/>
      <c r="AH191" s="549"/>
      <c r="AI191" s="550"/>
      <c r="AJ191" s="550"/>
      <c r="AK191" s="549"/>
      <c r="AL191" s="550"/>
      <c r="AM191" s="550"/>
      <c r="AN191" s="549"/>
      <c r="AO191" s="550"/>
      <c r="AP191" s="550"/>
      <c r="AQ191" s="549"/>
      <c r="AR191" s="550"/>
      <c r="AS191" s="550"/>
      <c r="AT191" s="549"/>
      <c r="AU191" s="550"/>
      <c r="AV191" s="550"/>
      <c r="AW191" s="549"/>
      <c r="AX191" s="550"/>
      <c r="AY191" s="550"/>
      <c r="AZ191" s="549"/>
      <c r="BA191" s="550"/>
      <c r="BB191" s="550"/>
      <c r="BC191" s="550"/>
    </row>
    <row r="192" spans="1:55" s="519" customFormat="1">
      <c r="A192" s="531" t="str">
        <f t="shared" si="20"/>
        <v>AQ</v>
      </c>
      <c r="B192" s="50" t="str">
        <f t="shared" si="21"/>
        <v>SIPPM25</v>
      </c>
      <c r="C192" s="50" t="s">
        <v>259</v>
      </c>
      <c r="D192" s="532" t="s">
        <v>152</v>
      </c>
      <c r="E192" s="50" t="s">
        <v>52</v>
      </c>
      <c r="F192" s="535" t="str">
        <f>R.12OCEImpName4</f>
        <v xml:space="preserve"> </v>
      </c>
      <c r="G192" s="543">
        <f>R.12OCEImpHrs4</f>
        <v>0</v>
      </c>
      <c r="H192" s="544">
        <f>Table3[[#This Row],[Hrs Rank]]</f>
        <v>0</v>
      </c>
      <c r="I192" s="534">
        <f t="shared" si="14"/>
        <v>0</v>
      </c>
      <c r="J192" s="534">
        <f t="shared" si="15"/>
        <v>0</v>
      </c>
      <c r="K192" s="551"/>
      <c r="L192" s="551"/>
      <c r="M192" s="547" t="s">
        <v>223</v>
      </c>
      <c r="N192" s="547" t="s">
        <v>223</v>
      </c>
      <c r="O192" s="548"/>
      <c r="P192" s="549"/>
      <c r="Q192" s="550"/>
      <c r="R192" s="550"/>
      <c r="S192" s="549"/>
      <c r="T192" s="550"/>
      <c r="U192" s="550"/>
      <c r="V192" s="549"/>
      <c r="W192" s="550"/>
      <c r="X192" s="550"/>
      <c r="Y192" s="549"/>
      <c r="Z192" s="550"/>
      <c r="AA192" s="550"/>
      <c r="AB192" s="549"/>
      <c r="AC192" s="550"/>
      <c r="AD192" s="550"/>
      <c r="AE192" s="549"/>
      <c r="AF192" s="550"/>
      <c r="AG192" s="550"/>
      <c r="AH192" s="549"/>
      <c r="AI192" s="550"/>
      <c r="AJ192" s="550"/>
      <c r="AK192" s="549"/>
      <c r="AL192" s="550"/>
      <c r="AM192" s="550"/>
      <c r="AN192" s="549"/>
      <c r="AO192" s="550"/>
      <c r="AP192" s="550"/>
      <c r="AQ192" s="549"/>
      <c r="AR192" s="550"/>
      <c r="AS192" s="550"/>
      <c r="AT192" s="549"/>
      <c r="AU192" s="550"/>
      <c r="AV192" s="550"/>
      <c r="AW192" s="549"/>
      <c r="AX192" s="550"/>
      <c r="AY192" s="550"/>
      <c r="AZ192" s="549"/>
      <c r="BA192" s="550"/>
      <c r="BB192" s="550"/>
      <c r="BC192" s="550"/>
    </row>
    <row r="193" spans="1:55" s="519" customFormat="1">
      <c r="A193" s="531" t="str">
        <f t="shared" si="20"/>
        <v>AQ</v>
      </c>
      <c r="B193" s="50" t="str">
        <f t="shared" si="21"/>
        <v>SIPPM25</v>
      </c>
      <c r="C193" s="50" t="s">
        <v>260</v>
      </c>
      <c r="D193" s="532" t="s">
        <v>128</v>
      </c>
      <c r="E193" s="50" t="s">
        <v>53</v>
      </c>
      <c r="F193" s="535">
        <f>R.13MonitorDevName1</f>
        <v>0</v>
      </c>
      <c r="G193" s="543">
        <f>R.13MonitorDevHrs1</f>
        <v>0</v>
      </c>
      <c r="H193" s="544">
        <f>Table3[[#This Row],[Hrs Rank]]</f>
        <v>0</v>
      </c>
      <c r="I193" s="534">
        <f t="shared" si="14"/>
        <v>0</v>
      </c>
      <c r="J193" s="534">
        <f t="shared" si="15"/>
        <v>0</v>
      </c>
      <c r="K193" s="551"/>
      <c r="L193" s="551"/>
      <c r="M193" s="547" t="s">
        <v>223</v>
      </c>
      <c r="N193" s="547" t="s">
        <v>223</v>
      </c>
      <c r="O193" s="548"/>
      <c r="P193" s="549"/>
      <c r="Q193" s="550"/>
      <c r="R193" s="550"/>
      <c r="S193" s="549"/>
      <c r="T193" s="550"/>
      <c r="U193" s="550"/>
      <c r="V193" s="549"/>
      <c r="W193" s="550"/>
      <c r="X193" s="550"/>
      <c r="Y193" s="549"/>
      <c r="Z193" s="550"/>
      <c r="AA193" s="550"/>
      <c r="AB193" s="549"/>
      <c r="AC193" s="550"/>
      <c r="AD193" s="550"/>
      <c r="AE193" s="549"/>
      <c r="AF193" s="550"/>
      <c r="AG193" s="550"/>
      <c r="AH193" s="549"/>
      <c r="AI193" s="550"/>
      <c r="AJ193" s="550"/>
      <c r="AK193" s="549"/>
      <c r="AL193" s="550"/>
      <c r="AM193" s="550"/>
      <c r="AN193" s="549"/>
      <c r="AO193" s="550"/>
      <c r="AP193" s="550"/>
      <c r="AQ193" s="549"/>
      <c r="AR193" s="550"/>
      <c r="AS193" s="550"/>
      <c r="AT193" s="549"/>
      <c r="AU193" s="550"/>
      <c r="AV193" s="550"/>
      <c r="AW193" s="549"/>
      <c r="AX193" s="550"/>
      <c r="AY193" s="550"/>
      <c r="AZ193" s="549"/>
      <c r="BA193" s="550"/>
      <c r="BB193" s="550"/>
      <c r="BC193" s="550"/>
    </row>
    <row r="194" spans="1:55" s="519" customFormat="1">
      <c r="A194" s="531" t="str">
        <f t="shared" si="20"/>
        <v>AQ</v>
      </c>
      <c r="B194" s="50" t="str">
        <f t="shared" si="21"/>
        <v>SIPPM25</v>
      </c>
      <c r="C194" s="50" t="s">
        <v>260</v>
      </c>
      <c r="D194" s="532" t="s">
        <v>128</v>
      </c>
      <c r="E194" s="50" t="s">
        <v>53</v>
      </c>
      <c r="F194" s="535">
        <f>R.13MonitorDevName2</f>
        <v>0</v>
      </c>
      <c r="G194" s="543">
        <f>R.13MonitorDevHrs2</f>
        <v>0</v>
      </c>
      <c r="H194" s="544">
        <f>Table3[[#This Row],[Hrs Rank]]</f>
        <v>0</v>
      </c>
      <c r="I194" s="534">
        <f t="shared" si="14"/>
        <v>0</v>
      </c>
      <c r="J194" s="534">
        <f t="shared" si="15"/>
        <v>0</v>
      </c>
      <c r="K194" s="551"/>
      <c r="L194" s="551"/>
      <c r="M194" s="547" t="s">
        <v>223</v>
      </c>
      <c r="N194" s="547" t="s">
        <v>223</v>
      </c>
      <c r="O194" s="548"/>
      <c r="P194" s="549"/>
      <c r="Q194" s="550"/>
      <c r="R194" s="550"/>
      <c r="S194" s="549"/>
      <c r="T194" s="550"/>
      <c r="U194" s="550"/>
      <c r="V194" s="549"/>
      <c r="W194" s="550"/>
      <c r="X194" s="550"/>
      <c r="Y194" s="549"/>
      <c r="Z194" s="550"/>
      <c r="AA194" s="550"/>
      <c r="AB194" s="549"/>
      <c r="AC194" s="550"/>
      <c r="AD194" s="550"/>
      <c r="AE194" s="549"/>
      <c r="AF194" s="550"/>
      <c r="AG194" s="550"/>
      <c r="AH194" s="549"/>
      <c r="AI194" s="550"/>
      <c r="AJ194" s="550"/>
      <c r="AK194" s="549"/>
      <c r="AL194" s="550"/>
      <c r="AM194" s="550"/>
      <c r="AN194" s="549"/>
      <c r="AO194" s="550"/>
      <c r="AP194" s="550"/>
      <c r="AQ194" s="549"/>
      <c r="AR194" s="550"/>
      <c r="AS194" s="550"/>
      <c r="AT194" s="549"/>
      <c r="AU194" s="550"/>
      <c r="AV194" s="550"/>
      <c r="AW194" s="549"/>
      <c r="AX194" s="550"/>
      <c r="AY194" s="550"/>
      <c r="AZ194" s="549"/>
      <c r="BA194" s="550"/>
      <c r="BB194" s="550"/>
      <c r="BC194" s="550"/>
    </row>
    <row r="195" spans="1:55" s="519" customFormat="1">
      <c r="A195" s="531" t="str">
        <f t="shared" si="20"/>
        <v>AQ</v>
      </c>
      <c r="B195" s="50" t="str">
        <f t="shared" si="21"/>
        <v>SIPPM25</v>
      </c>
      <c r="C195" s="50" t="s">
        <v>260</v>
      </c>
      <c r="D195" s="532" t="s">
        <v>128</v>
      </c>
      <c r="E195" s="50" t="s">
        <v>53</v>
      </c>
      <c r="F195" s="535">
        <f>R.13MonitorDevName3</f>
        <v>0</v>
      </c>
      <c r="G195" s="543">
        <f>R.13MonitorDevHrs3</f>
        <v>0</v>
      </c>
      <c r="H195" s="544">
        <f>Table3[[#This Row],[Hrs Rank]]</f>
        <v>0</v>
      </c>
      <c r="I195" s="534">
        <f t="shared" ref="I195:I258" si="22">IF(ISNA(VLOOKUP($H195,R.VL_DEQResourceHours,2,FALSE)),0,VLOOKUP($H195,R.VL_DEQResourceHours,2,FALSE))</f>
        <v>0</v>
      </c>
      <c r="J195" s="534">
        <f t="shared" ref="J195:J258" si="23">IF(ISNA(VLOOKUP($H195,R.VL_DEQResourceHours,3,FALSE)),0,VLOOKUP($H195,R.VL_DEQResourceHours,3,FALSE))</f>
        <v>0</v>
      </c>
      <c r="K195" s="551"/>
      <c r="L195" s="551"/>
      <c r="M195" s="547" t="s">
        <v>223</v>
      </c>
      <c r="N195" s="547" t="s">
        <v>223</v>
      </c>
      <c r="O195" s="548"/>
      <c r="P195" s="549"/>
      <c r="Q195" s="550"/>
      <c r="R195" s="550"/>
      <c r="S195" s="549"/>
      <c r="T195" s="550"/>
      <c r="U195" s="550"/>
      <c r="V195" s="549"/>
      <c r="W195" s="550"/>
      <c r="X195" s="550"/>
      <c r="Y195" s="549"/>
      <c r="Z195" s="550"/>
      <c r="AA195" s="550"/>
      <c r="AB195" s="549"/>
      <c r="AC195" s="550"/>
      <c r="AD195" s="550"/>
      <c r="AE195" s="549"/>
      <c r="AF195" s="550"/>
      <c r="AG195" s="550"/>
      <c r="AH195" s="549"/>
      <c r="AI195" s="550"/>
      <c r="AJ195" s="550"/>
      <c r="AK195" s="549"/>
      <c r="AL195" s="550"/>
      <c r="AM195" s="550"/>
      <c r="AN195" s="549"/>
      <c r="AO195" s="550"/>
      <c r="AP195" s="550"/>
      <c r="AQ195" s="549"/>
      <c r="AR195" s="550"/>
      <c r="AS195" s="550"/>
      <c r="AT195" s="549"/>
      <c r="AU195" s="550"/>
      <c r="AV195" s="550"/>
      <c r="AW195" s="549"/>
      <c r="AX195" s="550"/>
      <c r="AY195" s="550"/>
      <c r="AZ195" s="549"/>
      <c r="BA195" s="550"/>
      <c r="BB195" s="550"/>
      <c r="BC195" s="550"/>
    </row>
    <row r="196" spans="1:55" s="519" customFormat="1">
      <c r="A196" s="531" t="str">
        <f t="shared" si="20"/>
        <v>AQ</v>
      </c>
      <c r="B196" s="50" t="str">
        <f t="shared" si="21"/>
        <v>SIPPM25</v>
      </c>
      <c r="C196" s="50" t="s">
        <v>260</v>
      </c>
      <c r="D196" s="532" t="s">
        <v>128</v>
      </c>
      <c r="E196" s="50" t="s">
        <v>53</v>
      </c>
      <c r="F196" s="535" t="str">
        <f>R.13MonitorDevName4</f>
        <v xml:space="preserve"> </v>
      </c>
      <c r="G196" s="543">
        <f>R.13MonitorDevHrs4</f>
        <v>0</v>
      </c>
      <c r="H196" s="544">
        <f>Table3[[#This Row],[Hrs Rank]]</f>
        <v>0</v>
      </c>
      <c r="I196" s="534">
        <f t="shared" si="22"/>
        <v>0</v>
      </c>
      <c r="J196" s="534">
        <f t="shared" si="23"/>
        <v>0</v>
      </c>
      <c r="K196" s="551"/>
      <c r="L196" s="551"/>
      <c r="M196" s="547" t="s">
        <v>223</v>
      </c>
      <c r="N196" s="547" t="s">
        <v>223</v>
      </c>
      <c r="O196" s="548"/>
      <c r="P196" s="549"/>
      <c r="Q196" s="550"/>
      <c r="R196" s="550"/>
      <c r="S196" s="549"/>
      <c r="T196" s="550"/>
      <c r="U196" s="550"/>
      <c r="V196" s="549"/>
      <c r="W196" s="550"/>
      <c r="X196" s="550"/>
      <c r="Y196" s="549"/>
      <c r="Z196" s="550"/>
      <c r="AA196" s="550"/>
      <c r="AB196" s="549"/>
      <c r="AC196" s="550"/>
      <c r="AD196" s="550"/>
      <c r="AE196" s="549"/>
      <c r="AF196" s="550"/>
      <c r="AG196" s="550"/>
      <c r="AH196" s="549"/>
      <c r="AI196" s="550"/>
      <c r="AJ196" s="550"/>
      <c r="AK196" s="549"/>
      <c r="AL196" s="550"/>
      <c r="AM196" s="550"/>
      <c r="AN196" s="549"/>
      <c r="AO196" s="550"/>
      <c r="AP196" s="550"/>
      <c r="AQ196" s="549"/>
      <c r="AR196" s="550"/>
      <c r="AS196" s="550"/>
      <c r="AT196" s="549"/>
      <c r="AU196" s="550"/>
      <c r="AV196" s="550"/>
      <c r="AW196" s="549"/>
      <c r="AX196" s="550"/>
      <c r="AY196" s="550"/>
      <c r="AZ196" s="549"/>
      <c r="BA196" s="550"/>
      <c r="BB196" s="550"/>
      <c r="BC196" s="550"/>
    </row>
    <row r="197" spans="1:55" s="519" customFormat="1">
      <c r="A197" s="531" t="str">
        <f t="shared" si="20"/>
        <v>AQ</v>
      </c>
      <c r="B197" s="50" t="str">
        <f t="shared" si="21"/>
        <v>SIPPM25</v>
      </c>
      <c r="C197" s="50" t="s">
        <v>260</v>
      </c>
      <c r="D197" s="532" t="s">
        <v>128</v>
      </c>
      <c r="E197" s="50" t="s">
        <v>52</v>
      </c>
      <c r="F197" s="535">
        <f>R.13MonitorImpName1</f>
        <v>0</v>
      </c>
      <c r="G197" s="543">
        <f>R.13MonitorImpHrs1</f>
        <v>0</v>
      </c>
      <c r="H197" s="544">
        <f>Table3[[#This Row],[Hrs Rank]]</f>
        <v>0</v>
      </c>
      <c r="I197" s="534">
        <f t="shared" si="22"/>
        <v>0</v>
      </c>
      <c r="J197" s="534">
        <f t="shared" si="23"/>
        <v>0</v>
      </c>
      <c r="K197" s="551"/>
      <c r="L197" s="551"/>
      <c r="M197" s="547" t="s">
        <v>223</v>
      </c>
      <c r="N197" s="547" t="s">
        <v>223</v>
      </c>
      <c r="O197" s="548"/>
      <c r="P197" s="549"/>
      <c r="Q197" s="550"/>
      <c r="R197" s="550"/>
      <c r="S197" s="549"/>
      <c r="T197" s="550"/>
      <c r="U197" s="550"/>
      <c r="V197" s="549"/>
      <c r="W197" s="550"/>
      <c r="X197" s="550"/>
      <c r="Y197" s="549"/>
      <c r="Z197" s="550"/>
      <c r="AA197" s="550"/>
      <c r="AB197" s="549"/>
      <c r="AC197" s="550"/>
      <c r="AD197" s="550"/>
      <c r="AE197" s="549"/>
      <c r="AF197" s="550"/>
      <c r="AG197" s="550"/>
      <c r="AH197" s="549"/>
      <c r="AI197" s="550"/>
      <c r="AJ197" s="550"/>
      <c r="AK197" s="549"/>
      <c r="AL197" s="550"/>
      <c r="AM197" s="550"/>
      <c r="AN197" s="549"/>
      <c r="AO197" s="550"/>
      <c r="AP197" s="550"/>
      <c r="AQ197" s="549"/>
      <c r="AR197" s="550"/>
      <c r="AS197" s="550"/>
      <c r="AT197" s="549"/>
      <c r="AU197" s="550"/>
      <c r="AV197" s="550"/>
      <c r="AW197" s="549"/>
      <c r="AX197" s="550"/>
      <c r="AY197" s="550"/>
      <c r="AZ197" s="549"/>
      <c r="BA197" s="550"/>
      <c r="BB197" s="550"/>
      <c r="BC197" s="550"/>
    </row>
    <row r="198" spans="1:55" s="519" customFormat="1">
      <c r="A198" s="531" t="str">
        <f t="shared" si="20"/>
        <v>AQ</v>
      </c>
      <c r="B198" s="50" t="str">
        <f t="shared" si="21"/>
        <v>SIPPM25</v>
      </c>
      <c r="C198" s="50" t="s">
        <v>260</v>
      </c>
      <c r="D198" s="532" t="s">
        <v>128</v>
      </c>
      <c r="E198" s="50" t="s">
        <v>52</v>
      </c>
      <c r="F198" s="535" t="str">
        <f>R.13MonitorImpName2</f>
        <v xml:space="preserve"> </v>
      </c>
      <c r="G198" s="543">
        <f>R.13MonitorImpHrs2</f>
        <v>0</v>
      </c>
      <c r="H198" s="544">
        <f>Table3[[#This Row],[Hrs Rank]]</f>
        <v>0</v>
      </c>
      <c r="I198" s="534">
        <f t="shared" si="22"/>
        <v>0</v>
      </c>
      <c r="J198" s="534">
        <f t="shared" si="23"/>
        <v>0</v>
      </c>
      <c r="K198" s="551"/>
      <c r="L198" s="551"/>
      <c r="M198" s="547" t="s">
        <v>223</v>
      </c>
      <c r="N198" s="547" t="s">
        <v>223</v>
      </c>
      <c r="O198" s="548"/>
      <c r="P198" s="549"/>
      <c r="Q198" s="550"/>
      <c r="R198" s="550"/>
      <c r="S198" s="549"/>
      <c r="T198" s="550"/>
      <c r="U198" s="550"/>
      <c r="V198" s="549"/>
      <c r="W198" s="550"/>
      <c r="X198" s="550"/>
      <c r="Y198" s="549"/>
      <c r="Z198" s="550"/>
      <c r="AA198" s="550"/>
      <c r="AB198" s="549"/>
      <c r="AC198" s="550"/>
      <c r="AD198" s="550"/>
      <c r="AE198" s="549"/>
      <c r="AF198" s="550"/>
      <c r="AG198" s="550"/>
      <c r="AH198" s="549"/>
      <c r="AI198" s="550"/>
      <c r="AJ198" s="550"/>
      <c r="AK198" s="549"/>
      <c r="AL198" s="550"/>
      <c r="AM198" s="550"/>
      <c r="AN198" s="549"/>
      <c r="AO198" s="550"/>
      <c r="AP198" s="550"/>
      <c r="AQ198" s="549"/>
      <c r="AR198" s="550"/>
      <c r="AS198" s="550"/>
      <c r="AT198" s="549"/>
      <c r="AU198" s="550"/>
      <c r="AV198" s="550"/>
      <c r="AW198" s="549"/>
      <c r="AX198" s="550"/>
      <c r="AY198" s="550"/>
      <c r="AZ198" s="549"/>
      <c r="BA198" s="550"/>
      <c r="BB198" s="550"/>
      <c r="BC198" s="550"/>
    </row>
    <row r="199" spans="1:55" s="519" customFormat="1">
      <c r="A199" s="531" t="str">
        <f t="shared" si="20"/>
        <v>AQ</v>
      </c>
      <c r="B199" s="50" t="str">
        <f t="shared" si="21"/>
        <v>SIPPM25</v>
      </c>
      <c r="C199" s="50" t="s">
        <v>260</v>
      </c>
      <c r="D199" s="532" t="s">
        <v>128</v>
      </c>
      <c r="E199" s="50" t="s">
        <v>52</v>
      </c>
      <c r="F199" s="535" t="str">
        <f>R.13MonitorImpName3</f>
        <v xml:space="preserve"> </v>
      </c>
      <c r="G199" s="543">
        <f>R.13MonitorImpHrs3</f>
        <v>0</v>
      </c>
      <c r="H199" s="544">
        <f>Table3[[#This Row],[Hrs Rank]]</f>
        <v>0</v>
      </c>
      <c r="I199" s="534">
        <f t="shared" si="22"/>
        <v>0</v>
      </c>
      <c r="J199" s="534">
        <f t="shared" si="23"/>
        <v>0</v>
      </c>
      <c r="K199" s="551"/>
      <c r="L199" s="551"/>
      <c r="M199" s="547" t="s">
        <v>223</v>
      </c>
      <c r="N199" s="547" t="s">
        <v>223</v>
      </c>
      <c r="O199" s="548"/>
      <c r="P199" s="549"/>
      <c r="Q199" s="550"/>
      <c r="R199" s="550"/>
      <c r="S199" s="549"/>
      <c r="T199" s="550"/>
      <c r="U199" s="550"/>
      <c r="V199" s="549"/>
      <c r="W199" s="550"/>
      <c r="X199" s="550"/>
      <c r="Y199" s="549"/>
      <c r="Z199" s="550"/>
      <c r="AA199" s="550"/>
      <c r="AB199" s="549"/>
      <c r="AC199" s="550"/>
      <c r="AD199" s="550"/>
      <c r="AE199" s="549"/>
      <c r="AF199" s="550"/>
      <c r="AG199" s="550"/>
      <c r="AH199" s="549"/>
      <c r="AI199" s="550"/>
      <c r="AJ199" s="550"/>
      <c r="AK199" s="549"/>
      <c r="AL199" s="550"/>
      <c r="AM199" s="550"/>
      <c r="AN199" s="549"/>
      <c r="AO199" s="550"/>
      <c r="AP199" s="550"/>
      <c r="AQ199" s="549"/>
      <c r="AR199" s="550"/>
      <c r="AS199" s="550"/>
      <c r="AT199" s="549"/>
      <c r="AU199" s="550"/>
      <c r="AV199" s="550"/>
      <c r="AW199" s="549"/>
      <c r="AX199" s="550"/>
      <c r="AY199" s="550"/>
      <c r="AZ199" s="549"/>
      <c r="BA199" s="550"/>
      <c r="BB199" s="550"/>
      <c r="BC199" s="550"/>
    </row>
    <row r="200" spans="1:55" s="519" customFormat="1">
      <c r="A200" s="531" t="str">
        <f t="shared" si="20"/>
        <v>AQ</v>
      </c>
      <c r="B200" s="50" t="str">
        <f t="shared" si="21"/>
        <v>SIPPM25</v>
      </c>
      <c r="C200" s="50" t="s">
        <v>260</v>
      </c>
      <c r="D200" s="532" t="s">
        <v>128</v>
      </c>
      <c r="E200" s="50" t="s">
        <v>52</v>
      </c>
      <c r="F200" s="535" t="str">
        <f>R.13MonitorImpName4</f>
        <v xml:space="preserve"> </v>
      </c>
      <c r="G200" s="543">
        <f>R.13MonitorImpHrs4</f>
        <v>0</v>
      </c>
      <c r="H200" s="544">
        <f>Table3[[#This Row],[Hrs Rank]]</f>
        <v>0</v>
      </c>
      <c r="I200" s="534">
        <f t="shared" si="22"/>
        <v>0</v>
      </c>
      <c r="J200" s="534">
        <f t="shared" si="23"/>
        <v>0</v>
      </c>
      <c r="K200" s="551"/>
      <c r="L200" s="551"/>
      <c r="M200" s="547" t="s">
        <v>223</v>
      </c>
      <c r="N200" s="547" t="s">
        <v>223</v>
      </c>
      <c r="O200" s="548"/>
      <c r="P200" s="549"/>
      <c r="Q200" s="550"/>
      <c r="R200" s="550"/>
      <c r="S200" s="549"/>
      <c r="T200" s="550"/>
      <c r="U200" s="550"/>
      <c r="V200" s="549"/>
      <c r="W200" s="550"/>
      <c r="X200" s="550"/>
      <c r="Y200" s="549"/>
      <c r="Z200" s="550"/>
      <c r="AA200" s="550"/>
      <c r="AB200" s="549"/>
      <c r="AC200" s="550"/>
      <c r="AD200" s="550"/>
      <c r="AE200" s="549"/>
      <c r="AF200" s="550"/>
      <c r="AG200" s="550"/>
      <c r="AH200" s="549"/>
      <c r="AI200" s="550"/>
      <c r="AJ200" s="550"/>
      <c r="AK200" s="549"/>
      <c r="AL200" s="550"/>
      <c r="AM200" s="550"/>
      <c r="AN200" s="549"/>
      <c r="AO200" s="550"/>
      <c r="AP200" s="550"/>
      <c r="AQ200" s="549"/>
      <c r="AR200" s="550"/>
      <c r="AS200" s="550"/>
      <c r="AT200" s="549"/>
      <c r="AU200" s="550"/>
      <c r="AV200" s="550"/>
      <c r="AW200" s="549"/>
      <c r="AX200" s="550"/>
      <c r="AY200" s="550"/>
      <c r="AZ200" s="549"/>
      <c r="BA200" s="550"/>
      <c r="BB200" s="550"/>
      <c r="BC200" s="550"/>
    </row>
    <row r="201" spans="1:55" s="519" customFormat="1">
      <c r="A201" s="531" t="str">
        <f t="shared" si="20"/>
        <v>AQ</v>
      </c>
      <c r="B201" s="50" t="str">
        <f t="shared" si="21"/>
        <v>SIPPM25</v>
      </c>
      <c r="C201" s="50" t="s">
        <v>260</v>
      </c>
      <c r="D201" s="532" t="s">
        <v>129</v>
      </c>
      <c r="E201" s="50" t="s">
        <v>53</v>
      </c>
      <c r="F201" s="535">
        <f>R.13TestDevName1</f>
        <v>0</v>
      </c>
      <c r="G201" s="543">
        <f>R.13TestDevHrs1</f>
        <v>0</v>
      </c>
      <c r="H201" s="544">
        <f>Table3[[#This Row],[Hrs Rank]]</f>
        <v>0</v>
      </c>
      <c r="I201" s="534">
        <f t="shared" si="22"/>
        <v>0</v>
      </c>
      <c r="J201" s="534">
        <f t="shared" si="23"/>
        <v>0</v>
      </c>
      <c r="K201" s="551"/>
      <c r="L201" s="551"/>
      <c r="M201" s="547" t="s">
        <v>223</v>
      </c>
      <c r="N201" s="547" t="s">
        <v>223</v>
      </c>
      <c r="O201" s="548"/>
      <c r="P201" s="549"/>
      <c r="Q201" s="550"/>
      <c r="R201" s="550"/>
      <c r="S201" s="549"/>
      <c r="T201" s="550"/>
      <c r="U201" s="550"/>
      <c r="V201" s="549"/>
      <c r="W201" s="550"/>
      <c r="X201" s="550"/>
      <c r="Y201" s="549"/>
      <c r="Z201" s="550"/>
      <c r="AA201" s="550"/>
      <c r="AB201" s="549"/>
      <c r="AC201" s="550"/>
      <c r="AD201" s="550"/>
      <c r="AE201" s="549"/>
      <c r="AF201" s="550"/>
      <c r="AG201" s="550"/>
      <c r="AH201" s="549"/>
      <c r="AI201" s="550"/>
      <c r="AJ201" s="550"/>
      <c r="AK201" s="549"/>
      <c r="AL201" s="550"/>
      <c r="AM201" s="550"/>
      <c r="AN201" s="549"/>
      <c r="AO201" s="550"/>
      <c r="AP201" s="550"/>
      <c r="AQ201" s="549"/>
      <c r="AR201" s="550"/>
      <c r="AS201" s="550"/>
      <c r="AT201" s="549"/>
      <c r="AU201" s="550"/>
      <c r="AV201" s="550"/>
      <c r="AW201" s="549"/>
      <c r="AX201" s="550"/>
      <c r="AY201" s="550"/>
      <c r="AZ201" s="549"/>
      <c r="BA201" s="550"/>
      <c r="BB201" s="550"/>
      <c r="BC201" s="550"/>
    </row>
    <row r="202" spans="1:55" s="519" customFormat="1">
      <c r="A202" s="531" t="str">
        <f t="shared" si="20"/>
        <v>AQ</v>
      </c>
      <c r="B202" s="50" t="str">
        <f t="shared" si="21"/>
        <v>SIPPM25</v>
      </c>
      <c r="C202" s="50" t="s">
        <v>260</v>
      </c>
      <c r="D202" s="532" t="s">
        <v>129</v>
      </c>
      <c r="E202" s="50" t="s">
        <v>53</v>
      </c>
      <c r="F202" s="535" t="str">
        <f>R.13TestDevName2</f>
        <v xml:space="preserve"> </v>
      </c>
      <c r="G202" s="543">
        <f>R.13TestDevHrs2</f>
        <v>0</v>
      </c>
      <c r="H202" s="544">
        <f>Table3[[#This Row],[Hrs Rank]]</f>
        <v>0</v>
      </c>
      <c r="I202" s="534">
        <f t="shared" si="22"/>
        <v>0</v>
      </c>
      <c r="J202" s="534">
        <f t="shared" si="23"/>
        <v>0</v>
      </c>
      <c r="K202" s="551"/>
      <c r="L202" s="551"/>
      <c r="M202" s="547" t="s">
        <v>223</v>
      </c>
      <c r="N202" s="547" t="s">
        <v>223</v>
      </c>
      <c r="O202" s="548"/>
      <c r="P202" s="549"/>
      <c r="Q202" s="550"/>
      <c r="R202" s="550"/>
      <c r="S202" s="549"/>
      <c r="T202" s="550"/>
      <c r="U202" s="550"/>
      <c r="V202" s="549"/>
      <c r="W202" s="550"/>
      <c r="X202" s="550"/>
      <c r="Y202" s="549"/>
      <c r="Z202" s="550"/>
      <c r="AA202" s="550"/>
      <c r="AB202" s="549"/>
      <c r="AC202" s="550"/>
      <c r="AD202" s="550"/>
      <c r="AE202" s="549"/>
      <c r="AF202" s="550"/>
      <c r="AG202" s="550"/>
      <c r="AH202" s="549"/>
      <c r="AI202" s="550"/>
      <c r="AJ202" s="550"/>
      <c r="AK202" s="549"/>
      <c r="AL202" s="550"/>
      <c r="AM202" s="550"/>
      <c r="AN202" s="549"/>
      <c r="AO202" s="550"/>
      <c r="AP202" s="550"/>
      <c r="AQ202" s="549"/>
      <c r="AR202" s="550"/>
      <c r="AS202" s="550"/>
      <c r="AT202" s="549"/>
      <c r="AU202" s="550"/>
      <c r="AV202" s="550"/>
      <c r="AW202" s="549"/>
      <c r="AX202" s="550"/>
      <c r="AY202" s="550"/>
      <c r="AZ202" s="549"/>
      <c r="BA202" s="550"/>
      <c r="BB202" s="550"/>
      <c r="BC202" s="550"/>
    </row>
    <row r="203" spans="1:55" s="519" customFormat="1">
      <c r="A203" s="531" t="str">
        <f t="shared" si="20"/>
        <v>AQ</v>
      </c>
      <c r="B203" s="50" t="str">
        <f t="shared" si="21"/>
        <v>SIPPM25</v>
      </c>
      <c r="C203" s="50" t="s">
        <v>260</v>
      </c>
      <c r="D203" s="532" t="s">
        <v>129</v>
      </c>
      <c r="E203" s="50" t="s">
        <v>53</v>
      </c>
      <c r="F203" s="535" t="str">
        <f>R.13TestDevName3</f>
        <v xml:space="preserve"> </v>
      </c>
      <c r="G203" s="543">
        <f>R.13TestDevHrs3</f>
        <v>0</v>
      </c>
      <c r="H203" s="544">
        <f>Table3[[#This Row],[Hrs Rank]]</f>
        <v>0</v>
      </c>
      <c r="I203" s="534">
        <f t="shared" si="22"/>
        <v>0</v>
      </c>
      <c r="J203" s="534">
        <f t="shared" si="23"/>
        <v>0</v>
      </c>
      <c r="K203" s="551"/>
      <c r="L203" s="551"/>
      <c r="M203" s="547" t="s">
        <v>223</v>
      </c>
      <c r="N203" s="547" t="s">
        <v>223</v>
      </c>
      <c r="O203" s="548"/>
      <c r="P203" s="549"/>
      <c r="Q203" s="550"/>
      <c r="R203" s="550"/>
      <c r="S203" s="549"/>
      <c r="T203" s="550"/>
      <c r="U203" s="550"/>
      <c r="V203" s="549"/>
      <c r="W203" s="550"/>
      <c r="X203" s="550"/>
      <c r="Y203" s="549"/>
      <c r="Z203" s="550"/>
      <c r="AA203" s="550"/>
      <c r="AB203" s="549"/>
      <c r="AC203" s="550"/>
      <c r="AD203" s="550"/>
      <c r="AE203" s="549"/>
      <c r="AF203" s="550"/>
      <c r="AG203" s="550"/>
      <c r="AH203" s="549"/>
      <c r="AI203" s="550"/>
      <c r="AJ203" s="550"/>
      <c r="AK203" s="549"/>
      <c r="AL203" s="550"/>
      <c r="AM203" s="550"/>
      <c r="AN203" s="549"/>
      <c r="AO203" s="550"/>
      <c r="AP203" s="550"/>
      <c r="AQ203" s="549"/>
      <c r="AR203" s="550"/>
      <c r="AS203" s="550"/>
      <c r="AT203" s="549"/>
      <c r="AU203" s="550"/>
      <c r="AV203" s="550"/>
      <c r="AW203" s="549"/>
      <c r="AX203" s="550"/>
      <c r="AY203" s="550"/>
      <c r="AZ203" s="549"/>
      <c r="BA203" s="550"/>
      <c r="BB203" s="550"/>
      <c r="BC203" s="550"/>
    </row>
    <row r="204" spans="1:55" s="519" customFormat="1">
      <c r="A204" s="531" t="str">
        <f t="shared" si="20"/>
        <v>AQ</v>
      </c>
      <c r="B204" s="50" t="str">
        <f t="shared" si="21"/>
        <v>SIPPM25</v>
      </c>
      <c r="C204" s="50" t="s">
        <v>260</v>
      </c>
      <c r="D204" s="532" t="s">
        <v>129</v>
      </c>
      <c r="E204" s="50" t="s">
        <v>53</v>
      </c>
      <c r="F204" s="535" t="str">
        <f>R.13TestDevName4</f>
        <v xml:space="preserve"> </v>
      </c>
      <c r="G204" s="543">
        <f>R.13TestDevHrs4</f>
        <v>0</v>
      </c>
      <c r="H204" s="544">
        <f>Table3[[#This Row],[Hrs Rank]]</f>
        <v>0</v>
      </c>
      <c r="I204" s="534">
        <f t="shared" si="22"/>
        <v>0</v>
      </c>
      <c r="J204" s="534">
        <f t="shared" si="23"/>
        <v>0</v>
      </c>
      <c r="K204" s="551"/>
      <c r="L204" s="551"/>
      <c r="M204" s="547" t="s">
        <v>223</v>
      </c>
      <c r="N204" s="547" t="s">
        <v>223</v>
      </c>
      <c r="O204" s="548"/>
      <c r="P204" s="549"/>
      <c r="Q204" s="550"/>
      <c r="R204" s="550"/>
      <c r="S204" s="549"/>
      <c r="T204" s="550"/>
      <c r="U204" s="550"/>
      <c r="V204" s="549"/>
      <c r="W204" s="550"/>
      <c r="X204" s="550"/>
      <c r="Y204" s="549"/>
      <c r="Z204" s="550"/>
      <c r="AA204" s="550"/>
      <c r="AB204" s="549"/>
      <c r="AC204" s="550"/>
      <c r="AD204" s="550"/>
      <c r="AE204" s="549"/>
      <c r="AF204" s="550"/>
      <c r="AG204" s="550"/>
      <c r="AH204" s="549"/>
      <c r="AI204" s="550"/>
      <c r="AJ204" s="550"/>
      <c r="AK204" s="549"/>
      <c r="AL204" s="550"/>
      <c r="AM204" s="550"/>
      <c r="AN204" s="549"/>
      <c r="AO204" s="550"/>
      <c r="AP204" s="550"/>
      <c r="AQ204" s="549"/>
      <c r="AR204" s="550"/>
      <c r="AS204" s="550"/>
      <c r="AT204" s="549"/>
      <c r="AU204" s="550"/>
      <c r="AV204" s="550"/>
      <c r="AW204" s="549"/>
      <c r="AX204" s="550"/>
      <c r="AY204" s="550"/>
      <c r="AZ204" s="549"/>
      <c r="BA204" s="550"/>
      <c r="BB204" s="550"/>
      <c r="BC204" s="550"/>
    </row>
    <row r="205" spans="1:55" s="519" customFormat="1">
      <c r="A205" s="531" t="str">
        <f t="shared" si="20"/>
        <v>AQ</v>
      </c>
      <c r="B205" s="50" t="str">
        <f t="shared" si="21"/>
        <v>SIPPM25</v>
      </c>
      <c r="C205" s="50" t="s">
        <v>260</v>
      </c>
      <c r="D205" s="532" t="s">
        <v>129</v>
      </c>
      <c r="E205" s="50" t="s">
        <v>52</v>
      </c>
      <c r="F205" s="535">
        <f>R.13TestImpName1</f>
        <v>0</v>
      </c>
      <c r="G205" s="543">
        <f>R.13TestImpHrs1</f>
        <v>0</v>
      </c>
      <c r="H205" s="544">
        <f>Table3[[#This Row],[Hrs Rank]]</f>
        <v>0</v>
      </c>
      <c r="I205" s="534">
        <f t="shared" si="22"/>
        <v>0</v>
      </c>
      <c r="J205" s="534">
        <f t="shared" si="23"/>
        <v>0</v>
      </c>
      <c r="K205" s="551"/>
      <c r="L205" s="551"/>
      <c r="M205" s="547" t="s">
        <v>223</v>
      </c>
      <c r="N205" s="547" t="s">
        <v>223</v>
      </c>
      <c r="O205" s="548"/>
      <c r="P205" s="549"/>
      <c r="Q205" s="550"/>
      <c r="R205" s="550"/>
      <c r="S205" s="549"/>
      <c r="T205" s="550"/>
      <c r="U205" s="550"/>
      <c r="V205" s="549"/>
      <c r="W205" s="550"/>
      <c r="X205" s="550"/>
      <c r="Y205" s="549"/>
      <c r="Z205" s="550"/>
      <c r="AA205" s="550"/>
      <c r="AB205" s="549"/>
      <c r="AC205" s="550"/>
      <c r="AD205" s="550"/>
      <c r="AE205" s="549"/>
      <c r="AF205" s="550"/>
      <c r="AG205" s="550"/>
      <c r="AH205" s="549"/>
      <c r="AI205" s="550"/>
      <c r="AJ205" s="550"/>
      <c r="AK205" s="549"/>
      <c r="AL205" s="550"/>
      <c r="AM205" s="550"/>
      <c r="AN205" s="549"/>
      <c r="AO205" s="550"/>
      <c r="AP205" s="550"/>
      <c r="AQ205" s="549"/>
      <c r="AR205" s="550"/>
      <c r="AS205" s="550"/>
      <c r="AT205" s="549"/>
      <c r="AU205" s="550"/>
      <c r="AV205" s="550"/>
      <c r="AW205" s="549"/>
      <c r="AX205" s="550"/>
      <c r="AY205" s="550"/>
      <c r="AZ205" s="549"/>
      <c r="BA205" s="550"/>
      <c r="BB205" s="550"/>
      <c r="BC205" s="550"/>
    </row>
    <row r="206" spans="1:55" s="519" customFormat="1">
      <c r="A206" s="531" t="str">
        <f t="shared" si="20"/>
        <v>AQ</v>
      </c>
      <c r="B206" s="50" t="str">
        <f t="shared" si="21"/>
        <v>SIPPM25</v>
      </c>
      <c r="C206" s="50" t="s">
        <v>260</v>
      </c>
      <c r="D206" s="532" t="s">
        <v>129</v>
      </c>
      <c r="E206" s="50" t="s">
        <v>52</v>
      </c>
      <c r="F206" s="535" t="str">
        <f>R.13TestImpName2</f>
        <v xml:space="preserve"> </v>
      </c>
      <c r="G206" s="543">
        <f>R.13TestImpHrs2</f>
        <v>0</v>
      </c>
      <c r="H206" s="544">
        <f>Table3[[#This Row],[Hrs Rank]]</f>
        <v>0</v>
      </c>
      <c r="I206" s="534">
        <f t="shared" si="22"/>
        <v>0</v>
      </c>
      <c r="J206" s="534">
        <f t="shared" si="23"/>
        <v>0</v>
      </c>
      <c r="K206" s="551"/>
      <c r="L206" s="551"/>
      <c r="M206" s="547" t="s">
        <v>223</v>
      </c>
      <c r="N206" s="547" t="s">
        <v>223</v>
      </c>
      <c r="O206" s="548"/>
      <c r="P206" s="549"/>
      <c r="Q206" s="550"/>
      <c r="R206" s="550"/>
      <c r="S206" s="549"/>
      <c r="T206" s="550"/>
      <c r="U206" s="550"/>
      <c r="V206" s="549"/>
      <c r="W206" s="550"/>
      <c r="X206" s="550"/>
      <c r="Y206" s="549"/>
      <c r="Z206" s="550"/>
      <c r="AA206" s="550"/>
      <c r="AB206" s="549"/>
      <c r="AC206" s="550"/>
      <c r="AD206" s="550"/>
      <c r="AE206" s="549"/>
      <c r="AF206" s="550"/>
      <c r="AG206" s="550"/>
      <c r="AH206" s="549"/>
      <c r="AI206" s="550"/>
      <c r="AJ206" s="550"/>
      <c r="AK206" s="549"/>
      <c r="AL206" s="550"/>
      <c r="AM206" s="550"/>
      <c r="AN206" s="549"/>
      <c r="AO206" s="550"/>
      <c r="AP206" s="550"/>
      <c r="AQ206" s="549"/>
      <c r="AR206" s="550"/>
      <c r="AS206" s="550"/>
      <c r="AT206" s="549"/>
      <c r="AU206" s="550"/>
      <c r="AV206" s="550"/>
      <c r="AW206" s="549"/>
      <c r="AX206" s="550"/>
      <c r="AY206" s="550"/>
      <c r="AZ206" s="549"/>
      <c r="BA206" s="550"/>
      <c r="BB206" s="550"/>
      <c r="BC206" s="550"/>
    </row>
    <row r="207" spans="1:55" s="519" customFormat="1">
      <c r="A207" s="531" t="str">
        <f t="shared" si="20"/>
        <v>AQ</v>
      </c>
      <c r="B207" s="50" t="str">
        <f t="shared" si="21"/>
        <v>SIPPM25</v>
      </c>
      <c r="C207" s="50" t="s">
        <v>260</v>
      </c>
      <c r="D207" s="532" t="s">
        <v>129</v>
      </c>
      <c r="E207" s="50" t="s">
        <v>52</v>
      </c>
      <c r="F207" s="535" t="str">
        <f>R.13TestImpName3</f>
        <v xml:space="preserve"> </v>
      </c>
      <c r="G207" s="543">
        <f>R.13TestImpHrs3</f>
        <v>0</v>
      </c>
      <c r="H207" s="544">
        <f>Table3[[#This Row],[Hrs Rank]]</f>
        <v>0</v>
      </c>
      <c r="I207" s="534">
        <f t="shared" si="22"/>
        <v>0</v>
      </c>
      <c r="J207" s="534">
        <f t="shared" si="23"/>
        <v>0</v>
      </c>
      <c r="K207" s="551"/>
      <c r="L207" s="551"/>
      <c r="M207" s="547" t="s">
        <v>223</v>
      </c>
      <c r="N207" s="547" t="s">
        <v>223</v>
      </c>
      <c r="O207" s="548"/>
      <c r="P207" s="549"/>
      <c r="Q207" s="550"/>
      <c r="R207" s="550"/>
      <c r="S207" s="549"/>
      <c r="T207" s="550"/>
      <c r="U207" s="550"/>
      <c r="V207" s="549"/>
      <c r="W207" s="550"/>
      <c r="X207" s="550"/>
      <c r="Y207" s="549"/>
      <c r="Z207" s="550"/>
      <c r="AA207" s="550"/>
      <c r="AB207" s="549"/>
      <c r="AC207" s="550"/>
      <c r="AD207" s="550"/>
      <c r="AE207" s="549"/>
      <c r="AF207" s="550"/>
      <c r="AG207" s="550"/>
      <c r="AH207" s="549"/>
      <c r="AI207" s="550"/>
      <c r="AJ207" s="550"/>
      <c r="AK207" s="549"/>
      <c r="AL207" s="550"/>
      <c r="AM207" s="550"/>
      <c r="AN207" s="549"/>
      <c r="AO207" s="550"/>
      <c r="AP207" s="550"/>
      <c r="AQ207" s="549"/>
      <c r="AR207" s="550"/>
      <c r="AS207" s="550"/>
      <c r="AT207" s="549"/>
      <c r="AU207" s="550"/>
      <c r="AV207" s="550"/>
      <c r="AW207" s="549"/>
      <c r="AX207" s="550"/>
      <c r="AY207" s="550"/>
      <c r="AZ207" s="549"/>
      <c r="BA207" s="550"/>
      <c r="BB207" s="550"/>
      <c r="BC207" s="550"/>
    </row>
    <row r="208" spans="1:55" s="519" customFormat="1">
      <c r="A208" s="531" t="str">
        <f t="shared" si="20"/>
        <v>AQ</v>
      </c>
      <c r="B208" s="50" t="str">
        <f t="shared" si="21"/>
        <v>SIPPM25</v>
      </c>
      <c r="C208" s="50" t="s">
        <v>260</v>
      </c>
      <c r="D208" s="532" t="s">
        <v>129</v>
      </c>
      <c r="E208" s="50" t="s">
        <v>52</v>
      </c>
      <c r="F208" s="535" t="str">
        <f>R.13TestImpName4</f>
        <v xml:space="preserve"> </v>
      </c>
      <c r="G208" s="543">
        <f>R.13TestImpHrs4</f>
        <v>0</v>
      </c>
      <c r="H208" s="544">
        <f>Table3[[#This Row],[Hrs Rank]]</f>
        <v>0</v>
      </c>
      <c r="I208" s="534">
        <f t="shared" si="22"/>
        <v>0</v>
      </c>
      <c r="J208" s="534">
        <f t="shared" si="23"/>
        <v>0</v>
      </c>
      <c r="K208" s="551"/>
      <c r="L208" s="551"/>
      <c r="M208" s="547" t="s">
        <v>223</v>
      </c>
      <c r="N208" s="547" t="s">
        <v>223</v>
      </c>
      <c r="O208" s="548"/>
      <c r="P208" s="549"/>
      <c r="Q208" s="550"/>
      <c r="R208" s="550"/>
      <c r="S208" s="549"/>
      <c r="T208" s="550"/>
      <c r="U208" s="550"/>
      <c r="V208" s="549"/>
      <c r="W208" s="550"/>
      <c r="X208" s="550"/>
      <c r="Y208" s="549"/>
      <c r="Z208" s="550"/>
      <c r="AA208" s="550"/>
      <c r="AB208" s="549"/>
      <c r="AC208" s="550"/>
      <c r="AD208" s="550"/>
      <c r="AE208" s="549"/>
      <c r="AF208" s="550"/>
      <c r="AG208" s="550"/>
      <c r="AH208" s="549"/>
      <c r="AI208" s="550"/>
      <c r="AJ208" s="550"/>
      <c r="AK208" s="549"/>
      <c r="AL208" s="550"/>
      <c r="AM208" s="550"/>
      <c r="AN208" s="549"/>
      <c r="AO208" s="550"/>
      <c r="AP208" s="550"/>
      <c r="AQ208" s="549"/>
      <c r="AR208" s="550"/>
      <c r="AS208" s="550"/>
      <c r="AT208" s="549"/>
      <c r="AU208" s="550"/>
      <c r="AV208" s="550"/>
      <c r="AW208" s="549"/>
      <c r="AX208" s="550"/>
      <c r="AY208" s="550"/>
      <c r="AZ208" s="549"/>
      <c r="BA208" s="550"/>
      <c r="BB208" s="550"/>
      <c r="BC208" s="550"/>
    </row>
    <row r="209" spans="1:55" s="519" customFormat="1">
      <c r="A209" s="531" t="str">
        <f t="shared" si="20"/>
        <v>AQ</v>
      </c>
      <c r="B209" s="50" t="str">
        <f t="shared" si="21"/>
        <v>SIPPM25</v>
      </c>
      <c r="C209" s="50" t="s">
        <v>260</v>
      </c>
      <c r="D209" s="532" t="s">
        <v>135</v>
      </c>
      <c r="E209" s="50" t="s">
        <v>53</v>
      </c>
      <c r="F209" s="535">
        <f>R.13QADevName1</f>
        <v>0</v>
      </c>
      <c r="G209" s="543">
        <f>R.13QADevHrs1</f>
        <v>0</v>
      </c>
      <c r="H209" s="544">
        <f>Table3[[#This Row],[Hrs Rank]]</f>
        <v>0</v>
      </c>
      <c r="I209" s="534">
        <f t="shared" si="22"/>
        <v>0</v>
      </c>
      <c r="J209" s="534">
        <f t="shared" si="23"/>
        <v>0</v>
      </c>
      <c r="K209" s="551"/>
      <c r="L209" s="551"/>
      <c r="M209" s="547" t="s">
        <v>223</v>
      </c>
      <c r="N209" s="547" t="s">
        <v>223</v>
      </c>
      <c r="O209" s="548"/>
      <c r="P209" s="549"/>
      <c r="Q209" s="550"/>
      <c r="R209" s="550"/>
      <c r="S209" s="549"/>
      <c r="T209" s="550"/>
      <c r="U209" s="550"/>
      <c r="V209" s="549"/>
      <c r="W209" s="550"/>
      <c r="X209" s="550"/>
      <c r="Y209" s="549"/>
      <c r="Z209" s="550"/>
      <c r="AA209" s="550"/>
      <c r="AB209" s="549"/>
      <c r="AC209" s="550"/>
      <c r="AD209" s="550"/>
      <c r="AE209" s="549"/>
      <c r="AF209" s="550"/>
      <c r="AG209" s="550"/>
      <c r="AH209" s="549"/>
      <c r="AI209" s="550"/>
      <c r="AJ209" s="550"/>
      <c r="AK209" s="549"/>
      <c r="AL209" s="550"/>
      <c r="AM209" s="550"/>
      <c r="AN209" s="549"/>
      <c r="AO209" s="550"/>
      <c r="AP209" s="550"/>
      <c r="AQ209" s="549"/>
      <c r="AR209" s="550"/>
      <c r="AS209" s="550"/>
      <c r="AT209" s="549"/>
      <c r="AU209" s="550"/>
      <c r="AV209" s="550"/>
      <c r="AW209" s="549"/>
      <c r="AX209" s="550"/>
      <c r="AY209" s="550"/>
      <c r="AZ209" s="549"/>
      <c r="BA209" s="550"/>
      <c r="BB209" s="550"/>
      <c r="BC209" s="550"/>
    </row>
    <row r="210" spans="1:55" s="519" customFormat="1">
      <c r="A210" s="531" t="str">
        <f t="shared" si="20"/>
        <v>AQ</v>
      </c>
      <c r="B210" s="50" t="str">
        <f t="shared" si="21"/>
        <v>SIPPM25</v>
      </c>
      <c r="C210" s="50" t="s">
        <v>260</v>
      </c>
      <c r="D210" s="532" t="s">
        <v>135</v>
      </c>
      <c r="E210" s="50" t="s">
        <v>53</v>
      </c>
      <c r="F210" s="535">
        <f>R.13QADevName2</f>
        <v>0</v>
      </c>
      <c r="G210" s="543">
        <f>R.13QADevHrs2</f>
        <v>0</v>
      </c>
      <c r="H210" s="544">
        <f>Table3[[#This Row],[Hrs Rank]]</f>
        <v>0</v>
      </c>
      <c r="I210" s="534">
        <f t="shared" si="22"/>
        <v>0</v>
      </c>
      <c r="J210" s="534">
        <f t="shared" si="23"/>
        <v>0</v>
      </c>
      <c r="K210" s="551"/>
      <c r="L210" s="551"/>
      <c r="M210" s="547" t="s">
        <v>223</v>
      </c>
      <c r="N210" s="547" t="s">
        <v>223</v>
      </c>
      <c r="O210" s="548"/>
      <c r="P210" s="549"/>
      <c r="Q210" s="550"/>
      <c r="R210" s="550"/>
      <c r="S210" s="549"/>
      <c r="T210" s="550"/>
      <c r="U210" s="550"/>
      <c r="V210" s="549"/>
      <c r="W210" s="550"/>
      <c r="X210" s="550"/>
      <c r="Y210" s="549"/>
      <c r="Z210" s="550"/>
      <c r="AA210" s="550"/>
      <c r="AB210" s="549"/>
      <c r="AC210" s="550"/>
      <c r="AD210" s="550"/>
      <c r="AE210" s="549"/>
      <c r="AF210" s="550"/>
      <c r="AG210" s="550"/>
      <c r="AH210" s="549"/>
      <c r="AI210" s="550"/>
      <c r="AJ210" s="550"/>
      <c r="AK210" s="549"/>
      <c r="AL210" s="550"/>
      <c r="AM210" s="550"/>
      <c r="AN210" s="549"/>
      <c r="AO210" s="550"/>
      <c r="AP210" s="550"/>
      <c r="AQ210" s="549"/>
      <c r="AR210" s="550"/>
      <c r="AS210" s="550"/>
      <c r="AT210" s="549"/>
      <c r="AU210" s="550"/>
      <c r="AV210" s="550"/>
      <c r="AW210" s="549"/>
      <c r="AX210" s="550"/>
      <c r="AY210" s="550"/>
      <c r="AZ210" s="549"/>
      <c r="BA210" s="550"/>
      <c r="BB210" s="550"/>
      <c r="BC210" s="550"/>
    </row>
    <row r="211" spans="1:55" s="519" customFormat="1">
      <c r="A211" s="531" t="str">
        <f t="shared" si="20"/>
        <v>AQ</v>
      </c>
      <c r="B211" s="50" t="str">
        <f t="shared" si="21"/>
        <v>SIPPM25</v>
      </c>
      <c r="C211" s="50" t="s">
        <v>260</v>
      </c>
      <c r="D211" s="532" t="s">
        <v>135</v>
      </c>
      <c r="E211" s="50" t="s">
        <v>53</v>
      </c>
      <c r="F211" s="535">
        <f>R.13QADevName3</f>
        <v>0</v>
      </c>
      <c r="G211" s="543">
        <f>R.13QADevHrs3</f>
        <v>0</v>
      </c>
      <c r="H211" s="544">
        <f>Table3[[#This Row],[Hrs Rank]]</f>
        <v>0</v>
      </c>
      <c r="I211" s="534">
        <f t="shared" si="22"/>
        <v>0</v>
      </c>
      <c r="J211" s="534">
        <f t="shared" si="23"/>
        <v>0</v>
      </c>
      <c r="K211" s="551"/>
      <c r="L211" s="551"/>
      <c r="M211" s="547" t="s">
        <v>223</v>
      </c>
      <c r="N211" s="547" t="s">
        <v>223</v>
      </c>
      <c r="O211" s="548"/>
      <c r="P211" s="549"/>
      <c r="Q211" s="550"/>
      <c r="R211" s="550"/>
      <c r="S211" s="549"/>
      <c r="T211" s="550"/>
      <c r="U211" s="550"/>
      <c r="V211" s="549"/>
      <c r="W211" s="550"/>
      <c r="X211" s="550"/>
      <c r="Y211" s="549"/>
      <c r="Z211" s="550"/>
      <c r="AA211" s="550"/>
      <c r="AB211" s="549"/>
      <c r="AC211" s="550"/>
      <c r="AD211" s="550"/>
      <c r="AE211" s="549"/>
      <c r="AF211" s="550"/>
      <c r="AG211" s="550"/>
      <c r="AH211" s="549"/>
      <c r="AI211" s="550"/>
      <c r="AJ211" s="550"/>
      <c r="AK211" s="549"/>
      <c r="AL211" s="550"/>
      <c r="AM211" s="550"/>
      <c r="AN211" s="549"/>
      <c r="AO211" s="550"/>
      <c r="AP211" s="550"/>
      <c r="AQ211" s="549"/>
      <c r="AR211" s="550"/>
      <c r="AS211" s="550"/>
      <c r="AT211" s="549"/>
      <c r="AU211" s="550"/>
      <c r="AV211" s="550"/>
      <c r="AW211" s="549"/>
      <c r="AX211" s="550"/>
      <c r="AY211" s="550"/>
      <c r="AZ211" s="549"/>
      <c r="BA211" s="550"/>
      <c r="BB211" s="550"/>
      <c r="BC211" s="550"/>
    </row>
    <row r="212" spans="1:55" s="519" customFormat="1">
      <c r="A212" s="531" t="str">
        <f t="shared" si="20"/>
        <v>AQ</v>
      </c>
      <c r="B212" s="50" t="str">
        <f t="shared" si="21"/>
        <v>SIPPM25</v>
      </c>
      <c r="C212" s="50" t="s">
        <v>260</v>
      </c>
      <c r="D212" s="532" t="s">
        <v>135</v>
      </c>
      <c r="E212" s="50" t="s">
        <v>53</v>
      </c>
      <c r="F212" s="535">
        <f>R.13QADevName4</f>
        <v>0</v>
      </c>
      <c r="G212" s="543">
        <f>R.13QADevHrs4</f>
        <v>0</v>
      </c>
      <c r="H212" s="544">
        <f>Table3[[#This Row],[Hrs Rank]]</f>
        <v>0</v>
      </c>
      <c r="I212" s="534">
        <f t="shared" si="22"/>
        <v>0</v>
      </c>
      <c r="J212" s="534">
        <f t="shared" si="23"/>
        <v>0</v>
      </c>
      <c r="K212" s="551"/>
      <c r="L212" s="551"/>
      <c r="M212" s="547" t="s">
        <v>223</v>
      </c>
      <c r="N212" s="547" t="s">
        <v>223</v>
      </c>
      <c r="O212" s="548"/>
      <c r="P212" s="549"/>
      <c r="Q212" s="550"/>
      <c r="R212" s="550"/>
      <c r="S212" s="549"/>
      <c r="T212" s="550"/>
      <c r="U212" s="550"/>
      <c r="V212" s="549"/>
      <c r="W212" s="550"/>
      <c r="X212" s="550"/>
      <c r="Y212" s="549"/>
      <c r="Z212" s="550"/>
      <c r="AA212" s="550"/>
      <c r="AB212" s="549"/>
      <c r="AC212" s="550"/>
      <c r="AD212" s="550"/>
      <c r="AE212" s="549"/>
      <c r="AF212" s="550"/>
      <c r="AG212" s="550"/>
      <c r="AH212" s="549"/>
      <c r="AI212" s="550"/>
      <c r="AJ212" s="550"/>
      <c r="AK212" s="549"/>
      <c r="AL212" s="550"/>
      <c r="AM212" s="550"/>
      <c r="AN212" s="549"/>
      <c r="AO212" s="550"/>
      <c r="AP212" s="550"/>
      <c r="AQ212" s="549"/>
      <c r="AR212" s="550"/>
      <c r="AS212" s="550"/>
      <c r="AT212" s="549"/>
      <c r="AU212" s="550"/>
      <c r="AV212" s="550"/>
      <c r="AW212" s="549"/>
      <c r="AX212" s="550"/>
      <c r="AY212" s="550"/>
      <c r="AZ212" s="549"/>
      <c r="BA212" s="550"/>
      <c r="BB212" s="550"/>
      <c r="BC212" s="550"/>
    </row>
    <row r="213" spans="1:55" s="519" customFormat="1">
      <c r="A213" s="531" t="str">
        <f t="shared" si="20"/>
        <v>AQ</v>
      </c>
      <c r="B213" s="50" t="str">
        <f t="shared" si="21"/>
        <v>SIPPM25</v>
      </c>
      <c r="C213" s="50" t="s">
        <v>260</v>
      </c>
      <c r="D213" s="532" t="s">
        <v>135</v>
      </c>
      <c r="E213" s="50" t="s">
        <v>52</v>
      </c>
      <c r="F213" s="535">
        <f>R.13QAImpName1</f>
        <v>0</v>
      </c>
      <c r="G213" s="543">
        <f>R.13QAImpHrs1</f>
        <v>0</v>
      </c>
      <c r="H213" s="544">
        <f>Table3[[#This Row],[Hrs Rank]]</f>
        <v>0</v>
      </c>
      <c r="I213" s="534">
        <f t="shared" si="22"/>
        <v>0</v>
      </c>
      <c r="J213" s="534">
        <f t="shared" si="23"/>
        <v>0</v>
      </c>
      <c r="K213" s="551"/>
      <c r="L213" s="551"/>
      <c r="M213" s="547" t="s">
        <v>223</v>
      </c>
      <c r="N213" s="547" t="s">
        <v>223</v>
      </c>
      <c r="O213" s="548"/>
      <c r="P213" s="549"/>
      <c r="Q213" s="550"/>
      <c r="R213" s="550"/>
      <c r="S213" s="549"/>
      <c r="T213" s="550"/>
      <c r="U213" s="550"/>
      <c r="V213" s="549"/>
      <c r="W213" s="550"/>
      <c r="X213" s="550"/>
      <c r="Y213" s="549"/>
      <c r="Z213" s="550"/>
      <c r="AA213" s="550"/>
      <c r="AB213" s="549"/>
      <c r="AC213" s="550"/>
      <c r="AD213" s="550"/>
      <c r="AE213" s="549"/>
      <c r="AF213" s="550"/>
      <c r="AG213" s="550"/>
      <c r="AH213" s="549"/>
      <c r="AI213" s="550"/>
      <c r="AJ213" s="550"/>
      <c r="AK213" s="549"/>
      <c r="AL213" s="550"/>
      <c r="AM213" s="550"/>
      <c r="AN213" s="549"/>
      <c r="AO213" s="550"/>
      <c r="AP213" s="550"/>
      <c r="AQ213" s="549"/>
      <c r="AR213" s="550"/>
      <c r="AS213" s="550"/>
      <c r="AT213" s="549"/>
      <c r="AU213" s="550"/>
      <c r="AV213" s="550"/>
      <c r="AW213" s="549"/>
      <c r="AX213" s="550"/>
      <c r="AY213" s="550"/>
      <c r="AZ213" s="549"/>
      <c r="BA213" s="550"/>
      <c r="BB213" s="550"/>
      <c r="BC213" s="550"/>
    </row>
    <row r="214" spans="1:55" s="519" customFormat="1">
      <c r="A214" s="531" t="str">
        <f t="shared" si="20"/>
        <v>AQ</v>
      </c>
      <c r="B214" s="50" t="str">
        <f t="shared" si="21"/>
        <v>SIPPM25</v>
      </c>
      <c r="C214" s="50" t="s">
        <v>260</v>
      </c>
      <c r="D214" s="532" t="s">
        <v>135</v>
      </c>
      <c r="E214" s="50" t="s">
        <v>52</v>
      </c>
      <c r="F214" s="535">
        <f>R.13QAImpName2</f>
        <v>0</v>
      </c>
      <c r="G214" s="543">
        <f>R.13QAImpHrs2</f>
        <v>0</v>
      </c>
      <c r="H214" s="544">
        <f>Table3[[#This Row],[Hrs Rank]]</f>
        <v>0</v>
      </c>
      <c r="I214" s="534">
        <f t="shared" si="22"/>
        <v>0</v>
      </c>
      <c r="J214" s="534">
        <f t="shared" si="23"/>
        <v>0</v>
      </c>
      <c r="K214" s="551"/>
      <c r="L214" s="551"/>
      <c r="M214" s="547" t="s">
        <v>223</v>
      </c>
      <c r="N214" s="547" t="s">
        <v>223</v>
      </c>
      <c r="O214" s="548"/>
      <c r="P214" s="549"/>
      <c r="Q214" s="550"/>
      <c r="R214" s="550"/>
      <c r="S214" s="549"/>
      <c r="T214" s="550"/>
      <c r="U214" s="550"/>
      <c r="V214" s="549"/>
      <c r="W214" s="550"/>
      <c r="X214" s="550"/>
      <c r="Y214" s="549"/>
      <c r="Z214" s="550"/>
      <c r="AA214" s="550"/>
      <c r="AB214" s="549"/>
      <c r="AC214" s="550"/>
      <c r="AD214" s="550"/>
      <c r="AE214" s="549"/>
      <c r="AF214" s="550"/>
      <c r="AG214" s="550"/>
      <c r="AH214" s="549"/>
      <c r="AI214" s="550"/>
      <c r="AJ214" s="550"/>
      <c r="AK214" s="549"/>
      <c r="AL214" s="550"/>
      <c r="AM214" s="550"/>
      <c r="AN214" s="549"/>
      <c r="AO214" s="550"/>
      <c r="AP214" s="550"/>
      <c r="AQ214" s="549"/>
      <c r="AR214" s="550"/>
      <c r="AS214" s="550"/>
      <c r="AT214" s="549"/>
      <c r="AU214" s="550"/>
      <c r="AV214" s="550"/>
      <c r="AW214" s="549"/>
      <c r="AX214" s="550"/>
      <c r="AY214" s="550"/>
      <c r="AZ214" s="549"/>
      <c r="BA214" s="550"/>
      <c r="BB214" s="550"/>
      <c r="BC214" s="550"/>
    </row>
    <row r="215" spans="1:55" s="519" customFormat="1">
      <c r="A215" s="531" t="str">
        <f t="shared" si="20"/>
        <v>AQ</v>
      </c>
      <c r="B215" s="50" t="str">
        <f t="shared" si="21"/>
        <v>SIPPM25</v>
      </c>
      <c r="C215" s="50" t="s">
        <v>260</v>
      </c>
      <c r="D215" s="532" t="s">
        <v>135</v>
      </c>
      <c r="E215" s="50" t="s">
        <v>52</v>
      </c>
      <c r="F215" s="535">
        <f>R.13QAImpName3</f>
        <v>0</v>
      </c>
      <c r="G215" s="543">
        <f>R.13QAImpHrs3</f>
        <v>0</v>
      </c>
      <c r="H215" s="544">
        <f>Table3[[#This Row],[Hrs Rank]]</f>
        <v>0</v>
      </c>
      <c r="I215" s="534">
        <f t="shared" si="22"/>
        <v>0</v>
      </c>
      <c r="J215" s="534">
        <f t="shared" si="23"/>
        <v>0</v>
      </c>
      <c r="K215" s="551"/>
      <c r="L215" s="551"/>
      <c r="M215" s="547" t="s">
        <v>223</v>
      </c>
      <c r="N215" s="547" t="s">
        <v>223</v>
      </c>
      <c r="O215" s="548"/>
      <c r="P215" s="549"/>
      <c r="Q215" s="550"/>
      <c r="R215" s="550"/>
      <c r="S215" s="549"/>
      <c r="T215" s="550"/>
      <c r="U215" s="550"/>
      <c r="V215" s="549"/>
      <c r="W215" s="550"/>
      <c r="X215" s="550"/>
      <c r="Y215" s="549"/>
      <c r="Z215" s="550"/>
      <c r="AA215" s="550"/>
      <c r="AB215" s="549"/>
      <c r="AC215" s="550"/>
      <c r="AD215" s="550"/>
      <c r="AE215" s="549"/>
      <c r="AF215" s="550"/>
      <c r="AG215" s="550"/>
      <c r="AH215" s="549"/>
      <c r="AI215" s="550"/>
      <c r="AJ215" s="550"/>
      <c r="AK215" s="549"/>
      <c r="AL215" s="550"/>
      <c r="AM215" s="550"/>
      <c r="AN215" s="549"/>
      <c r="AO215" s="550"/>
      <c r="AP215" s="550"/>
      <c r="AQ215" s="549"/>
      <c r="AR215" s="550"/>
      <c r="AS215" s="550"/>
      <c r="AT215" s="549"/>
      <c r="AU215" s="550"/>
      <c r="AV215" s="550"/>
      <c r="AW215" s="549"/>
      <c r="AX215" s="550"/>
      <c r="AY215" s="550"/>
      <c r="AZ215" s="549"/>
      <c r="BA215" s="550"/>
      <c r="BB215" s="550"/>
      <c r="BC215" s="550"/>
    </row>
    <row r="216" spans="1:55" s="519" customFormat="1">
      <c r="A216" s="531" t="str">
        <f t="shared" si="20"/>
        <v>AQ</v>
      </c>
      <c r="B216" s="50" t="str">
        <f t="shared" si="21"/>
        <v>SIPPM25</v>
      </c>
      <c r="C216" s="50" t="s">
        <v>260</v>
      </c>
      <c r="D216" s="532" t="s">
        <v>135</v>
      </c>
      <c r="E216" s="50" t="s">
        <v>52</v>
      </c>
      <c r="F216" s="535">
        <f>R.13QAImpName4</f>
        <v>0</v>
      </c>
      <c r="G216" s="543">
        <f>R.13QAImpHrs4</f>
        <v>0</v>
      </c>
      <c r="H216" s="544">
        <f>Table3[[#This Row],[Hrs Rank]]</f>
        <v>0</v>
      </c>
      <c r="I216" s="534">
        <f t="shared" si="22"/>
        <v>0</v>
      </c>
      <c r="J216" s="534">
        <f t="shared" si="23"/>
        <v>0</v>
      </c>
      <c r="K216" s="551"/>
      <c r="L216" s="551"/>
      <c r="M216" s="547" t="s">
        <v>223</v>
      </c>
      <c r="N216" s="547" t="s">
        <v>223</v>
      </c>
      <c r="O216" s="548"/>
      <c r="P216" s="549"/>
      <c r="Q216" s="550"/>
      <c r="R216" s="550"/>
      <c r="S216" s="549"/>
      <c r="T216" s="550"/>
      <c r="U216" s="550"/>
      <c r="V216" s="549"/>
      <c r="W216" s="550"/>
      <c r="X216" s="550"/>
      <c r="Y216" s="549"/>
      <c r="Z216" s="550"/>
      <c r="AA216" s="550"/>
      <c r="AB216" s="549"/>
      <c r="AC216" s="550"/>
      <c r="AD216" s="550"/>
      <c r="AE216" s="549"/>
      <c r="AF216" s="550"/>
      <c r="AG216" s="550"/>
      <c r="AH216" s="549"/>
      <c r="AI216" s="550"/>
      <c r="AJ216" s="550"/>
      <c r="AK216" s="549"/>
      <c r="AL216" s="550"/>
      <c r="AM216" s="550"/>
      <c r="AN216" s="549"/>
      <c r="AO216" s="550"/>
      <c r="AP216" s="550"/>
      <c r="AQ216" s="549"/>
      <c r="AR216" s="550"/>
      <c r="AS216" s="550"/>
      <c r="AT216" s="549"/>
      <c r="AU216" s="550"/>
      <c r="AV216" s="550"/>
      <c r="AW216" s="549"/>
      <c r="AX216" s="550"/>
      <c r="AY216" s="550"/>
      <c r="AZ216" s="549"/>
      <c r="BA216" s="550"/>
      <c r="BB216" s="550"/>
      <c r="BC216" s="550"/>
    </row>
    <row r="217" spans="1:55" s="519" customFormat="1">
      <c r="A217" s="531" t="str">
        <f t="shared" si="20"/>
        <v>AQ</v>
      </c>
      <c r="B217" s="50" t="str">
        <f t="shared" si="21"/>
        <v>SIPPM25</v>
      </c>
      <c r="C217" s="50" t="s">
        <v>261</v>
      </c>
      <c r="D217" s="532" t="s">
        <v>130</v>
      </c>
      <c r="E217" s="50" t="s">
        <v>53</v>
      </c>
      <c r="F217" s="535">
        <f>R.14LRAPADevName1</f>
        <v>0</v>
      </c>
      <c r="G217" s="543">
        <v>0</v>
      </c>
      <c r="H217" s="544">
        <f>Table3[[#This Row],[Hrs Rank]]</f>
        <v>0</v>
      </c>
      <c r="I217" s="534">
        <f t="shared" si="22"/>
        <v>0</v>
      </c>
      <c r="J217" s="534">
        <f t="shared" si="23"/>
        <v>0</v>
      </c>
      <c r="K217" s="551"/>
      <c r="L217" s="551"/>
      <c r="M217" s="547" t="s">
        <v>223</v>
      </c>
      <c r="N217" s="547" t="s">
        <v>223</v>
      </c>
      <c r="O217" s="548"/>
      <c r="P217" s="549"/>
      <c r="Q217" s="550"/>
      <c r="R217" s="550"/>
      <c r="S217" s="549"/>
      <c r="T217" s="550"/>
      <c r="U217" s="550"/>
      <c r="V217" s="549"/>
      <c r="W217" s="550"/>
      <c r="X217" s="550"/>
      <c r="Y217" s="549"/>
      <c r="Z217" s="550"/>
      <c r="AA217" s="550"/>
      <c r="AB217" s="549"/>
      <c r="AC217" s="550"/>
      <c r="AD217" s="550"/>
      <c r="AE217" s="549"/>
      <c r="AF217" s="550"/>
      <c r="AG217" s="550"/>
      <c r="AH217" s="549"/>
      <c r="AI217" s="550"/>
      <c r="AJ217" s="550"/>
      <c r="AK217" s="549"/>
      <c r="AL217" s="550"/>
      <c r="AM217" s="550"/>
      <c r="AN217" s="549"/>
      <c r="AO217" s="550"/>
      <c r="AP217" s="550"/>
      <c r="AQ217" s="549"/>
      <c r="AR217" s="550"/>
      <c r="AS217" s="550"/>
      <c r="AT217" s="549"/>
      <c r="AU217" s="550"/>
      <c r="AV217" s="550"/>
      <c r="AW217" s="549"/>
      <c r="AX217" s="550"/>
      <c r="AY217" s="550"/>
      <c r="AZ217" s="549"/>
      <c r="BA217" s="550"/>
      <c r="BB217" s="550"/>
      <c r="BC217" s="550"/>
    </row>
    <row r="218" spans="1:55" s="519" customFormat="1">
      <c r="A218" s="531" t="str">
        <f t="shared" si="20"/>
        <v>AQ</v>
      </c>
      <c r="B218" s="50" t="str">
        <f t="shared" si="21"/>
        <v>SIPPM25</v>
      </c>
      <c r="C218" s="50" t="s">
        <v>261</v>
      </c>
      <c r="D218" s="532" t="s">
        <v>130</v>
      </c>
      <c r="E218" s="50" t="s">
        <v>53</v>
      </c>
      <c r="F218" s="535" t="str">
        <f>R.14LRAPADevName2</f>
        <v xml:space="preserve"> </v>
      </c>
      <c r="G218" s="543">
        <f>R.14LRAPADevHrs1</f>
        <v>0</v>
      </c>
      <c r="H218" s="544">
        <f>Table3[[#This Row],[Hrs Rank]]</f>
        <v>0</v>
      </c>
      <c r="I218" s="534">
        <f t="shared" si="22"/>
        <v>0</v>
      </c>
      <c r="J218" s="534">
        <f t="shared" si="23"/>
        <v>0</v>
      </c>
      <c r="K218" s="551"/>
      <c r="L218" s="551"/>
      <c r="M218" s="547" t="s">
        <v>223</v>
      </c>
      <c r="N218" s="547" t="s">
        <v>223</v>
      </c>
      <c r="O218" s="548"/>
      <c r="P218" s="549"/>
      <c r="Q218" s="550"/>
      <c r="R218" s="550"/>
      <c r="S218" s="549"/>
      <c r="T218" s="550"/>
      <c r="U218" s="550"/>
      <c r="V218" s="549"/>
      <c r="W218" s="550"/>
      <c r="X218" s="550"/>
      <c r="Y218" s="549"/>
      <c r="Z218" s="550"/>
      <c r="AA218" s="550"/>
      <c r="AB218" s="549"/>
      <c r="AC218" s="550"/>
      <c r="AD218" s="550"/>
      <c r="AE218" s="549"/>
      <c r="AF218" s="550"/>
      <c r="AG218" s="550"/>
      <c r="AH218" s="549"/>
      <c r="AI218" s="550"/>
      <c r="AJ218" s="550"/>
      <c r="AK218" s="549"/>
      <c r="AL218" s="550"/>
      <c r="AM218" s="550"/>
      <c r="AN218" s="549"/>
      <c r="AO218" s="550"/>
      <c r="AP218" s="550"/>
      <c r="AQ218" s="549"/>
      <c r="AR218" s="550"/>
      <c r="AS218" s="550"/>
      <c r="AT218" s="549"/>
      <c r="AU218" s="550"/>
      <c r="AV218" s="550"/>
      <c r="AW218" s="549"/>
      <c r="AX218" s="550"/>
      <c r="AY218" s="550"/>
      <c r="AZ218" s="549"/>
      <c r="BA218" s="550"/>
      <c r="BB218" s="550"/>
      <c r="BC218" s="550"/>
    </row>
    <row r="219" spans="1:55" s="519" customFormat="1">
      <c r="A219" s="531" t="str">
        <f t="shared" si="20"/>
        <v>AQ</v>
      </c>
      <c r="B219" s="50" t="str">
        <f t="shared" si="21"/>
        <v>SIPPM25</v>
      </c>
      <c r="C219" s="50" t="s">
        <v>261</v>
      </c>
      <c r="D219" s="532" t="s">
        <v>130</v>
      </c>
      <c r="E219" s="50" t="s">
        <v>53</v>
      </c>
      <c r="F219" s="535" t="str">
        <f>R.14LRAPADevName3</f>
        <v xml:space="preserve"> </v>
      </c>
      <c r="G219" s="543">
        <f>R.14LRAPADevHrs2</f>
        <v>0</v>
      </c>
      <c r="H219" s="544">
        <f>Table3[[#This Row],[Hrs Rank]]</f>
        <v>0</v>
      </c>
      <c r="I219" s="534">
        <f t="shared" si="22"/>
        <v>0</v>
      </c>
      <c r="J219" s="534">
        <f t="shared" si="23"/>
        <v>0</v>
      </c>
      <c r="K219" s="551"/>
      <c r="L219" s="551"/>
      <c r="M219" s="547" t="s">
        <v>223</v>
      </c>
      <c r="N219" s="547" t="s">
        <v>223</v>
      </c>
      <c r="O219" s="548"/>
      <c r="P219" s="549"/>
      <c r="Q219" s="550"/>
      <c r="R219" s="550"/>
      <c r="S219" s="549"/>
      <c r="T219" s="550"/>
      <c r="U219" s="550"/>
      <c r="V219" s="549"/>
      <c r="W219" s="550"/>
      <c r="X219" s="550"/>
      <c r="Y219" s="549"/>
      <c r="Z219" s="550"/>
      <c r="AA219" s="550"/>
      <c r="AB219" s="549"/>
      <c r="AC219" s="550"/>
      <c r="AD219" s="550"/>
      <c r="AE219" s="549"/>
      <c r="AF219" s="550"/>
      <c r="AG219" s="550"/>
      <c r="AH219" s="549"/>
      <c r="AI219" s="550"/>
      <c r="AJ219" s="550"/>
      <c r="AK219" s="549"/>
      <c r="AL219" s="550"/>
      <c r="AM219" s="550"/>
      <c r="AN219" s="549"/>
      <c r="AO219" s="550"/>
      <c r="AP219" s="550"/>
      <c r="AQ219" s="549"/>
      <c r="AR219" s="550"/>
      <c r="AS219" s="550"/>
      <c r="AT219" s="549"/>
      <c r="AU219" s="550"/>
      <c r="AV219" s="550"/>
      <c r="AW219" s="549"/>
      <c r="AX219" s="550"/>
      <c r="AY219" s="550"/>
      <c r="AZ219" s="549"/>
      <c r="BA219" s="550"/>
      <c r="BB219" s="550"/>
      <c r="BC219" s="550"/>
    </row>
    <row r="220" spans="1:55" s="519" customFormat="1">
      <c r="A220" s="531" t="str">
        <f t="shared" si="20"/>
        <v>AQ</v>
      </c>
      <c r="B220" s="50" t="str">
        <f t="shared" si="21"/>
        <v>SIPPM25</v>
      </c>
      <c r="C220" s="50" t="s">
        <v>261</v>
      </c>
      <c r="D220" s="532" t="s">
        <v>130</v>
      </c>
      <c r="E220" s="50" t="s">
        <v>53</v>
      </c>
      <c r="F220" s="535" t="str">
        <f>R.14LRAPADevName4</f>
        <v xml:space="preserve"> </v>
      </c>
      <c r="G220" s="543">
        <f>R.14LRAPADevHrs3</f>
        <v>0</v>
      </c>
      <c r="H220" s="544">
        <f>Table3[[#This Row],[Hrs Rank]]</f>
        <v>0</v>
      </c>
      <c r="I220" s="534">
        <f t="shared" si="22"/>
        <v>0</v>
      </c>
      <c r="J220" s="534">
        <f t="shared" si="23"/>
        <v>0</v>
      </c>
      <c r="K220" s="551"/>
      <c r="L220" s="551"/>
      <c r="M220" s="547" t="s">
        <v>223</v>
      </c>
      <c r="N220" s="547" t="s">
        <v>223</v>
      </c>
      <c r="O220" s="548"/>
      <c r="P220" s="549"/>
      <c r="Q220" s="550"/>
      <c r="R220" s="550"/>
      <c r="S220" s="549"/>
      <c r="T220" s="550"/>
      <c r="U220" s="550"/>
      <c r="V220" s="549"/>
      <c r="W220" s="550"/>
      <c r="X220" s="550"/>
      <c r="Y220" s="549"/>
      <c r="Z220" s="550"/>
      <c r="AA220" s="550"/>
      <c r="AB220" s="549"/>
      <c r="AC220" s="550"/>
      <c r="AD220" s="550"/>
      <c r="AE220" s="549"/>
      <c r="AF220" s="550"/>
      <c r="AG220" s="550"/>
      <c r="AH220" s="549"/>
      <c r="AI220" s="550"/>
      <c r="AJ220" s="550"/>
      <c r="AK220" s="549"/>
      <c r="AL220" s="550"/>
      <c r="AM220" s="550"/>
      <c r="AN220" s="549"/>
      <c r="AO220" s="550"/>
      <c r="AP220" s="550"/>
      <c r="AQ220" s="549"/>
      <c r="AR220" s="550"/>
      <c r="AS220" s="550"/>
      <c r="AT220" s="549"/>
      <c r="AU220" s="550"/>
      <c r="AV220" s="550"/>
      <c r="AW220" s="549"/>
      <c r="AX220" s="550"/>
      <c r="AY220" s="550"/>
      <c r="AZ220" s="549"/>
      <c r="BA220" s="550"/>
      <c r="BB220" s="550"/>
      <c r="BC220" s="550"/>
    </row>
    <row r="221" spans="1:55" s="519" customFormat="1">
      <c r="A221" s="531" t="str">
        <f t="shared" si="20"/>
        <v>AQ</v>
      </c>
      <c r="B221" s="50" t="str">
        <f t="shared" si="21"/>
        <v>SIPPM25</v>
      </c>
      <c r="C221" s="50" t="s">
        <v>261</v>
      </c>
      <c r="D221" s="532" t="s">
        <v>130</v>
      </c>
      <c r="E221" s="50" t="s">
        <v>52</v>
      </c>
      <c r="F221" s="535" t="str">
        <f>R.14LRAPAImpName1</f>
        <v xml:space="preserve"> </v>
      </c>
      <c r="G221" s="543">
        <f>R.14LRAPADevHrs4</f>
        <v>0</v>
      </c>
      <c r="H221" s="544">
        <f>Table3[[#This Row],[Hrs Rank]]</f>
        <v>0</v>
      </c>
      <c r="I221" s="534">
        <f t="shared" si="22"/>
        <v>0</v>
      </c>
      <c r="J221" s="534">
        <f t="shared" si="23"/>
        <v>0</v>
      </c>
      <c r="K221" s="551"/>
      <c r="L221" s="551"/>
      <c r="M221" s="547" t="s">
        <v>223</v>
      </c>
      <c r="N221" s="547" t="s">
        <v>223</v>
      </c>
      <c r="O221" s="548"/>
      <c r="P221" s="549"/>
      <c r="Q221" s="550"/>
      <c r="R221" s="550"/>
      <c r="S221" s="549"/>
      <c r="T221" s="550"/>
      <c r="U221" s="550"/>
      <c r="V221" s="549"/>
      <c r="W221" s="550"/>
      <c r="X221" s="550"/>
      <c r="Y221" s="549"/>
      <c r="Z221" s="550"/>
      <c r="AA221" s="550"/>
      <c r="AB221" s="549"/>
      <c r="AC221" s="550"/>
      <c r="AD221" s="550"/>
      <c r="AE221" s="549"/>
      <c r="AF221" s="550"/>
      <c r="AG221" s="550"/>
      <c r="AH221" s="549"/>
      <c r="AI221" s="550"/>
      <c r="AJ221" s="550"/>
      <c r="AK221" s="549"/>
      <c r="AL221" s="550"/>
      <c r="AM221" s="550"/>
      <c r="AN221" s="549"/>
      <c r="AO221" s="550"/>
      <c r="AP221" s="550"/>
      <c r="AQ221" s="549"/>
      <c r="AR221" s="550"/>
      <c r="AS221" s="550"/>
      <c r="AT221" s="549"/>
      <c r="AU221" s="550"/>
      <c r="AV221" s="550"/>
      <c r="AW221" s="549"/>
      <c r="AX221" s="550"/>
      <c r="AY221" s="550"/>
      <c r="AZ221" s="549"/>
      <c r="BA221" s="550"/>
      <c r="BB221" s="550"/>
      <c r="BC221" s="550"/>
    </row>
    <row r="222" spans="1:55" s="519" customFormat="1">
      <c r="A222" s="531" t="str">
        <f t="shared" si="20"/>
        <v>AQ</v>
      </c>
      <c r="B222" s="50" t="str">
        <f t="shared" si="21"/>
        <v>SIPPM25</v>
      </c>
      <c r="C222" s="50" t="s">
        <v>261</v>
      </c>
      <c r="D222" s="532" t="s">
        <v>130</v>
      </c>
      <c r="E222" s="50" t="s">
        <v>52</v>
      </c>
      <c r="F222" s="535" t="str">
        <f>R.14LRAPAImpName2</f>
        <v xml:space="preserve"> </v>
      </c>
      <c r="G222" s="543">
        <f>R.14LRAPAImpHrs2</f>
        <v>0</v>
      </c>
      <c r="H222" s="544">
        <f>Table3[[#This Row],[Hrs Rank]]</f>
        <v>0</v>
      </c>
      <c r="I222" s="534">
        <f t="shared" si="22"/>
        <v>0</v>
      </c>
      <c r="J222" s="534">
        <f t="shared" si="23"/>
        <v>0</v>
      </c>
      <c r="K222" s="551"/>
      <c r="L222" s="551"/>
      <c r="M222" s="547" t="s">
        <v>223</v>
      </c>
      <c r="N222" s="547" t="s">
        <v>223</v>
      </c>
      <c r="O222" s="548"/>
      <c r="P222" s="549"/>
      <c r="Q222" s="550"/>
      <c r="R222" s="550"/>
      <c r="S222" s="549"/>
      <c r="T222" s="550"/>
      <c r="U222" s="550"/>
      <c r="V222" s="549"/>
      <c r="W222" s="550"/>
      <c r="X222" s="550"/>
      <c r="Y222" s="549"/>
      <c r="Z222" s="550"/>
      <c r="AA222" s="550"/>
      <c r="AB222" s="549"/>
      <c r="AC222" s="550"/>
      <c r="AD222" s="550"/>
      <c r="AE222" s="549"/>
      <c r="AF222" s="550"/>
      <c r="AG222" s="550"/>
      <c r="AH222" s="549"/>
      <c r="AI222" s="550"/>
      <c r="AJ222" s="550"/>
      <c r="AK222" s="549"/>
      <c r="AL222" s="550"/>
      <c r="AM222" s="550"/>
      <c r="AN222" s="549"/>
      <c r="AO222" s="550"/>
      <c r="AP222" s="550"/>
      <c r="AQ222" s="549"/>
      <c r="AR222" s="550"/>
      <c r="AS222" s="550"/>
      <c r="AT222" s="549"/>
      <c r="AU222" s="550"/>
      <c r="AV222" s="550"/>
      <c r="AW222" s="549"/>
      <c r="AX222" s="550"/>
      <c r="AY222" s="550"/>
      <c r="AZ222" s="549"/>
      <c r="BA222" s="550"/>
      <c r="BB222" s="550"/>
      <c r="BC222" s="550"/>
    </row>
    <row r="223" spans="1:55" s="519" customFormat="1">
      <c r="A223" s="531" t="str">
        <f t="shared" ref="A223:A254" si="24">R.1Division</f>
        <v>AQ</v>
      </c>
      <c r="B223" s="50" t="str">
        <f t="shared" ref="B223:B254" si="25">R.1CodeName</f>
        <v>SIPPM25</v>
      </c>
      <c r="C223" s="50" t="s">
        <v>261</v>
      </c>
      <c r="D223" s="532" t="s">
        <v>130</v>
      </c>
      <c r="E223" s="50" t="s">
        <v>52</v>
      </c>
      <c r="F223" s="535" t="str">
        <f>R.14LRAPAImpName3</f>
        <v xml:space="preserve"> </v>
      </c>
      <c r="G223" s="543">
        <v>0</v>
      </c>
      <c r="H223" s="544">
        <f>Table3[[#This Row],[Hrs Rank]]</f>
        <v>0</v>
      </c>
      <c r="I223" s="534">
        <f t="shared" si="22"/>
        <v>0</v>
      </c>
      <c r="J223" s="534">
        <f t="shared" si="23"/>
        <v>0</v>
      </c>
      <c r="K223" s="551"/>
      <c r="L223" s="551"/>
      <c r="M223" s="547" t="s">
        <v>223</v>
      </c>
      <c r="N223" s="547" t="s">
        <v>223</v>
      </c>
      <c r="O223" s="548"/>
      <c r="P223" s="549"/>
      <c r="Q223" s="550"/>
      <c r="R223" s="550"/>
      <c r="S223" s="549"/>
      <c r="T223" s="550"/>
      <c r="U223" s="550"/>
      <c r="V223" s="549"/>
      <c r="W223" s="550"/>
      <c r="X223" s="550"/>
      <c r="Y223" s="549"/>
      <c r="Z223" s="550"/>
      <c r="AA223" s="550"/>
      <c r="AB223" s="549"/>
      <c r="AC223" s="550"/>
      <c r="AD223" s="550"/>
      <c r="AE223" s="549"/>
      <c r="AF223" s="550"/>
      <c r="AG223" s="550"/>
      <c r="AH223" s="549"/>
      <c r="AI223" s="550"/>
      <c r="AJ223" s="550"/>
      <c r="AK223" s="549"/>
      <c r="AL223" s="550"/>
      <c r="AM223" s="550"/>
      <c r="AN223" s="549"/>
      <c r="AO223" s="550"/>
      <c r="AP223" s="550"/>
      <c r="AQ223" s="549"/>
      <c r="AR223" s="550"/>
      <c r="AS223" s="550"/>
      <c r="AT223" s="549"/>
      <c r="AU223" s="550"/>
      <c r="AV223" s="550"/>
      <c r="AW223" s="549"/>
      <c r="AX223" s="550"/>
      <c r="AY223" s="550"/>
      <c r="AZ223" s="549"/>
      <c r="BA223" s="550"/>
      <c r="BB223" s="550"/>
      <c r="BC223" s="550"/>
    </row>
    <row r="224" spans="1:55" s="519" customFormat="1">
      <c r="A224" s="531" t="str">
        <f t="shared" si="24"/>
        <v>AQ</v>
      </c>
      <c r="B224" s="50" t="str">
        <f t="shared" si="25"/>
        <v>SIPPM25</v>
      </c>
      <c r="C224" s="50" t="s">
        <v>261</v>
      </c>
      <c r="D224" s="532" t="s">
        <v>130</v>
      </c>
      <c r="E224" s="50" t="s">
        <v>52</v>
      </c>
      <c r="F224" s="535" t="str">
        <f>R.14LRAPAImpName4</f>
        <v xml:space="preserve"> </v>
      </c>
      <c r="G224" s="543">
        <f>R.14LRAPAImpHrs4</f>
        <v>0</v>
      </c>
      <c r="H224" s="544">
        <f>Table3[[#This Row],[Hrs Rank]]</f>
        <v>0</v>
      </c>
      <c r="I224" s="534">
        <f t="shared" si="22"/>
        <v>0</v>
      </c>
      <c r="J224" s="534">
        <f t="shared" si="23"/>
        <v>0</v>
      </c>
      <c r="K224" s="551"/>
      <c r="L224" s="551"/>
      <c r="M224" s="547" t="s">
        <v>223</v>
      </c>
      <c r="N224" s="547" t="s">
        <v>223</v>
      </c>
      <c r="O224" s="548"/>
      <c r="P224" s="549"/>
      <c r="Q224" s="550"/>
      <c r="R224" s="550"/>
      <c r="S224" s="549"/>
      <c r="T224" s="550"/>
      <c r="U224" s="550"/>
      <c r="V224" s="549"/>
      <c r="W224" s="550"/>
      <c r="X224" s="550"/>
      <c r="Y224" s="549"/>
      <c r="Z224" s="550"/>
      <c r="AA224" s="550"/>
      <c r="AB224" s="549"/>
      <c r="AC224" s="550"/>
      <c r="AD224" s="550"/>
      <c r="AE224" s="549"/>
      <c r="AF224" s="550"/>
      <c r="AG224" s="550"/>
      <c r="AH224" s="549"/>
      <c r="AI224" s="550"/>
      <c r="AJ224" s="550"/>
      <c r="AK224" s="549"/>
      <c r="AL224" s="550"/>
      <c r="AM224" s="550"/>
      <c r="AN224" s="549"/>
      <c r="AO224" s="550"/>
      <c r="AP224" s="550"/>
      <c r="AQ224" s="549"/>
      <c r="AR224" s="550"/>
      <c r="AS224" s="550"/>
      <c r="AT224" s="549"/>
      <c r="AU224" s="550"/>
      <c r="AV224" s="550"/>
      <c r="AW224" s="549"/>
      <c r="AX224" s="550"/>
      <c r="AY224" s="550"/>
      <c r="AZ224" s="549"/>
      <c r="BA224" s="550"/>
      <c r="BB224" s="550"/>
      <c r="BC224" s="550"/>
    </row>
    <row r="225" spans="1:55" s="519" customFormat="1">
      <c r="A225" s="531" t="str">
        <f t="shared" si="24"/>
        <v>AQ</v>
      </c>
      <c r="B225" s="50" t="str">
        <f t="shared" si="25"/>
        <v>SIPPM25</v>
      </c>
      <c r="C225" s="50" t="s">
        <v>261</v>
      </c>
      <c r="D225" s="532" t="s">
        <v>131</v>
      </c>
      <c r="E225" s="50" t="s">
        <v>53</v>
      </c>
      <c r="F225" s="543" t="str">
        <f>R.14EPADevName1</f>
        <v>Kristin Hall</v>
      </c>
      <c r="G225" s="543">
        <f>R.14EPADevHrs1</f>
        <v>2</v>
      </c>
      <c r="H225" s="544">
        <f>Table3[[#This Row],[Hrs Rank]]</f>
        <v>2</v>
      </c>
      <c r="I225" s="534">
        <f t="shared" si="22"/>
        <v>8</v>
      </c>
      <c r="J225" s="534">
        <f t="shared" si="23"/>
        <v>40</v>
      </c>
      <c r="K225" s="551"/>
      <c r="L225" s="551"/>
      <c r="M225" s="547" t="s">
        <v>223</v>
      </c>
      <c r="N225" s="547" t="s">
        <v>223</v>
      </c>
      <c r="O225" s="548"/>
      <c r="P225" s="549"/>
      <c r="Q225" s="550"/>
      <c r="R225" s="550"/>
      <c r="S225" s="549"/>
      <c r="T225" s="550"/>
      <c r="U225" s="550"/>
      <c r="V225" s="549"/>
      <c r="W225" s="550"/>
      <c r="X225" s="550"/>
      <c r="Y225" s="549"/>
      <c r="Z225" s="550"/>
      <c r="AA225" s="550"/>
      <c r="AB225" s="549"/>
      <c r="AC225" s="550"/>
      <c r="AD225" s="550"/>
      <c r="AE225" s="549"/>
      <c r="AF225" s="550"/>
      <c r="AG225" s="550"/>
      <c r="AH225" s="549"/>
      <c r="AI225" s="550"/>
      <c r="AJ225" s="550"/>
      <c r="AK225" s="549"/>
      <c r="AL225" s="550"/>
      <c r="AM225" s="550"/>
      <c r="AN225" s="549"/>
      <c r="AO225" s="550"/>
      <c r="AP225" s="550"/>
      <c r="AQ225" s="549"/>
      <c r="AR225" s="550"/>
      <c r="AS225" s="550"/>
      <c r="AT225" s="549"/>
      <c r="AU225" s="550"/>
      <c r="AV225" s="550"/>
      <c r="AW225" s="549"/>
      <c r="AX225" s="550"/>
      <c r="AY225" s="550"/>
      <c r="AZ225" s="549"/>
      <c r="BA225" s="550"/>
      <c r="BB225" s="550"/>
      <c r="BC225" s="550"/>
    </row>
    <row r="226" spans="1:55" s="519" customFormat="1">
      <c r="A226" s="531" t="str">
        <f t="shared" si="24"/>
        <v>AQ</v>
      </c>
      <c r="B226" s="50" t="str">
        <f t="shared" si="25"/>
        <v>SIPPM25</v>
      </c>
      <c r="C226" s="50" t="s">
        <v>261</v>
      </c>
      <c r="D226" s="532" t="s">
        <v>131</v>
      </c>
      <c r="E226" s="50" t="s">
        <v>53</v>
      </c>
      <c r="F226" s="543" t="str">
        <f>R.14EPADevName2</f>
        <v xml:space="preserve"> </v>
      </c>
      <c r="G226" s="543">
        <f>R.14EPADevHrs2</f>
        <v>0</v>
      </c>
      <c r="H226" s="544">
        <f>Table3[[#This Row],[Hrs Rank]]</f>
        <v>0</v>
      </c>
      <c r="I226" s="534">
        <f t="shared" si="22"/>
        <v>0</v>
      </c>
      <c r="J226" s="534">
        <f t="shared" si="23"/>
        <v>0</v>
      </c>
      <c r="K226" s="551"/>
      <c r="L226" s="551"/>
      <c r="M226" s="547" t="s">
        <v>223</v>
      </c>
      <c r="N226" s="547" t="s">
        <v>223</v>
      </c>
      <c r="O226" s="548"/>
      <c r="P226" s="549"/>
      <c r="Q226" s="550"/>
      <c r="R226" s="550"/>
      <c r="S226" s="549"/>
      <c r="T226" s="550"/>
      <c r="U226" s="550"/>
      <c r="V226" s="549"/>
      <c r="W226" s="550"/>
      <c r="X226" s="550"/>
      <c r="Y226" s="549"/>
      <c r="Z226" s="550"/>
      <c r="AA226" s="550"/>
      <c r="AB226" s="549"/>
      <c r="AC226" s="550"/>
      <c r="AD226" s="550"/>
      <c r="AE226" s="549"/>
      <c r="AF226" s="550"/>
      <c r="AG226" s="550"/>
      <c r="AH226" s="549"/>
      <c r="AI226" s="550"/>
      <c r="AJ226" s="550"/>
      <c r="AK226" s="549"/>
      <c r="AL226" s="550"/>
      <c r="AM226" s="550"/>
      <c r="AN226" s="549"/>
      <c r="AO226" s="550"/>
      <c r="AP226" s="550"/>
      <c r="AQ226" s="549"/>
      <c r="AR226" s="550"/>
      <c r="AS226" s="550"/>
      <c r="AT226" s="549"/>
      <c r="AU226" s="550"/>
      <c r="AV226" s="550"/>
      <c r="AW226" s="549"/>
      <c r="AX226" s="550"/>
      <c r="AY226" s="550"/>
      <c r="AZ226" s="549"/>
      <c r="BA226" s="550"/>
      <c r="BB226" s="550"/>
      <c r="BC226" s="550"/>
    </row>
    <row r="227" spans="1:55" s="519" customFormat="1">
      <c r="A227" s="531" t="str">
        <f t="shared" si="24"/>
        <v>AQ</v>
      </c>
      <c r="B227" s="50" t="str">
        <f t="shared" si="25"/>
        <v>SIPPM25</v>
      </c>
      <c r="C227" s="50" t="s">
        <v>261</v>
      </c>
      <c r="D227" s="532" t="s">
        <v>131</v>
      </c>
      <c r="E227" s="50" t="s">
        <v>53</v>
      </c>
      <c r="F227" s="543" t="str">
        <f>R.14EPADevName3</f>
        <v xml:space="preserve"> </v>
      </c>
      <c r="G227" s="543">
        <f>R.14EPADevHrs3</f>
        <v>0</v>
      </c>
      <c r="H227" s="544">
        <f>Table3[[#This Row],[Hrs Rank]]</f>
        <v>0</v>
      </c>
      <c r="I227" s="534">
        <f t="shared" si="22"/>
        <v>0</v>
      </c>
      <c r="J227" s="534">
        <f t="shared" si="23"/>
        <v>0</v>
      </c>
      <c r="K227" s="551"/>
      <c r="L227" s="551"/>
      <c r="M227" s="547" t="s">
        <v>223</v>
      </c>
      <c r="N227" s="547" t="s">
        <v>223</v>
      </c>
      <c r="O227" s="548"/>
      <c r="P227" s="549"/>
      <c r="Q227" s="550"/>
      <c r="R227" s="550"/>
      <c r="S227" s="549"/>
      <c r="T227" s="550"/>
      <c r="U227" s="550"/>
      <c r="V227" s="549"/>
      <c r="W227" s="550"/>
      <c r="X227" s="550"/>
      <c r="Y227" s="549"/>
      <c r="Z227" s="550"/>
      <c r="AA227" s="550"/>
      <c r="AB227" s="549"/>
      <c r="AC227" s="550"/>
      <c r="AD227" s="550"/>
      <c r="AE227" s="549"/>
      <c r="AF227" s="550"/>
      <c r="AG227" s="550"/>
      <c r="AH227" s="549"/>
      <c r="AI227" s="550"/>
      <c r="AJ227" s="550"/>
      <c r="AK227" s="549"/>
      <c r="AL227" s="550"/>
      <c r="AM227" s="550"/>
      <c r="AN227" s="549"/>
      <c r="AO227" s="550"/>
      <c r="AP227" s="550"/>
      <c r="AQ227" s="549"/>
      <c r="AR227" s="550"/>
      <c r="AS227" s="550"/>
      <c r="AT227" s="549"/>
      <c r="AU227" s="550"/>
      <c r="AV227" s="550"/>
      <c r="AW227" s="549"/>
      <c r="AX227" s="550"/>
      <c r="AY227" s="550"/>
      <c r="AZ227" s="549"/>
      <c r="BA227" s="550"/>
      <c r="BB227" s="550"/>
      <c r="BC227" s="550"/>
    </row>
    <row r="228" spans="1:55" s="519" customFormat="1">
      <c r="A228" s="531" t="str">
        <f t="shared" si="24"/>
        <v>AQ</v>
      </c>
      <c r="B228" s="50" t="str">
        <f t="shared" si="25"/>
        <v>SIPPM25</v>
      </c>
      <c r="C228" s="50" t="s">
        <v>261</v>
      </c>
      <c r="D228" s="532" t="s">
        <v>131</v>
      </c>
      <c r="E228" s="50" t="s">
        <v>53</v>
      </c>
      <c r="F228" s="543" t="str">
        <f>R.14EPADevName4</f>
        <v xml:space="preserve"> </v>
      </c>
      <c r="G228" s="543">
        <f>R.14EPADevHrs4</f>
        <v>0</v>
      </c>
      <c r="H228" s="544">
        <f>Table3[[#This Row],[Hrs Rank]]</f>
        <v>0</v>
      </c>
      <c r="I228" s="534">
        <f t="shared" si="22"/>
        <v>0</v>
      </c>
      <c r="J228" s="534">
        <f t="shared" si="23"/>
        <v>0</v>
      </c>
      <c r="K228" s="551"/>
      <c r="L228" s="551"/>
      <c r="M228" s="547" t="s">
        <v>223</v>
      </c>
      <c r="N228" s="547" t="s">
        <v>223</v>
      </c>
      <c r="O228" s="548"/>
      <c r="P228" s="549"/>
      <c r="Q228" s="550"/>
      <c r="R228" s="550"/>
      <c r="S228" s="549"/>
      <c r="T228" s="550"/>
      <c r="U228" s="550"/>
      <c r="V228" s="549"/>
      <c r="W228" s="550"/>
      <c r="X228" s="550"/>
      <c r="Y228" s="549"/>
      <c r="Z228" s="550"/>
      <c r="AA228" s="550"/>
      <c r="AB228" s="549"/>
      <c r="AC228" s="550"/>
      <c r="AD228" s="550"/>
      <c r="AE228" s="549"/>
      <c r="AF228" s="550"/>
      <c r="AG228" s="550"/>
      <c r="AH228" s="549"/>
      <c r="AI228" s="550"/>
      <c r="AJ228" s="550"/>
      <c r="AK228" s="549"/>
      <c r="AL228" s="550"/>
      <c r="AM228" s="550"/>
      <c r="AN228" s="549"/>
      <c r="AO228" s="550"/>
      <c r="AP228" s="550"/>
      <c r="AQ228" s="549"/>
      <c r="AR228" s="550"/>
      <c r="AS228" s="550"/>
      <c r="AT228" s="549"/>
      <c r="AU228" s="550"/>
      <c r="AV228" s="550"/>
      <c r="AW228" s="549"/>
      <c r="AX228" s="550"/>
      <c r="AY228" s="550"/>
      <c r="AZ228" s="549"/>
      <c r="BA228" s="550"/>
      <c r="BB228" s="550"/>
      <c r="BC228" s="550"/>
    </row>
    <row r="229" spans="1:55" s="519" customFormat="1">
      <c r="A229" s="531" t="str">
        <f t="shared" si="24"/>
        <v>AQ</v>
      </c>
      <c r="B229" s="50" t="str">
        <f t="shared" si="25"/>
        <v>SIPPM25</v>
      </c>
      <c r="C229" s="50" t="s">
        <v>261</v>
      </c>
      <c r="D229" s="532" t="s">
        <v>131</v>
      </c>
      <c r="E229" s="50" t="s">
        <v>52</v>
      </c>
      <c r="F229" s="543" t="str">
        <f>R.14EPAImpName1</f>
        <v xml:space="preserve"> </v>
      </c>
      <c r="G229" s="543">
        <f>R.14EPAImpHrs1</f>
        <v>0</v>
      </c>
      <c r="H229" s="544">
        <f>Table3[[#This Row],[Hrs Rank]]</f>
        <v>0</v>
      </c>
      <c r="I229" s="534">
        <f t="shared" si="22"/>
        <v>0</v>
      </c>
      <c r="J229" s="534">
        <f t="shared" si="23"/>
        <v>0</v>
      </c>
      <c r="K229" s="551"/>
      <c r="L229" s="551"/>
      <c r="M229" s="547" t="s">
        <v>223</v>
      </c>
      <c r="N229" s="547" t="s">
        <v>223</v>
      </c>
      <c r="O229" s="548"/>
      <c r="P229" s="549"/>
      <c r="Q229" s="550"/>
      <c r="R229" s="550"/>
      <c r="S229" s="549"/>
      <c r="T229" s="550"/>
      <c r="U229" s="550"/>
      <c r="V229" s="549"/>
      <c r="W229" s="550"/>
      <c r="X229" s="550"/>
      <c r="Y229" s="549"/>
      <c r="Z229" s="550"/>
      <c r="AA229" s="550"/>
      <c r="AB229" s="549"/>
      <c r="AC229" s="550"/>
      <c r="AD229" s="550"/>
      <c r="AE229" s="549"/>
      <c r="AF229" s="550"/>
      <c r="AG229" s="550"/>
      <c r="AH229" s="549"/>
      <c r="AI229" s="550"/>
      <c r="AJ229" s="550"/>
      <c r="AK229" s="549"/>
      <c r="AL229" s="550"/>
      <c r="AM229" s="550"/>
      <c r="AN229" s="549"/>
      <c r="AO229" s="550"/>
      <c r="AP229" s="550"/>
      <c r="AQ229" s="549"/>
      <c r="AR229" s="550"/>
      <c r="AS229" s="550"/>
      <c r="AT229" s="549"/>
      <c r="AU229" s="550"/>
      <c r="AV229" s="550"/>
      <c r="AW229" s="549"/>
      <c r="AX229" s="550"/>
      <c r="AY229" s="550"/>
      <c r="AZ229" s="549"/>
      <c r="BA229" s="550"/>
      <c r="BB229" s="550"/>
      <c r="BC229" s="550"/>
    </row>
    <row r="230" spans="1:55" s="519" customFormat="1">
      <c r="A230" s="531" t="str">
        <f t="shared" si="24"/>
        <v>AQ</v>
      </c>
      <c r="B230" s="50" t="str">
        <f t="shared" si="25"/>
        <v>SIPPM25</v>
      </c>
      <c r="C230" s="50" t="s">
        <v>261</v>
      </c>
      <c r="D230" s="532" t="s">
        <v>131</v>
      </c>
      <c r="E230" s="50" t="s">
        <v>52</v>
      </c>
      <c r="F230" s="543" t="str">
        <f>R.14EPAImpName2</f>
        <v xml:space="preserve"> </v>
      </c>
      <c r="G230" s="543">
        <f>R.14EPAImpHrs2</f>
        <v>0</v>
      </c>
      <c r="H230" s="544">
        <f>Table3[[#This Row],[Hrs Rank]]</f>
        <v>0</v>
      </c>
      <c r="I230" s="534">
        <f t="shared" si="22"/>
        <v>0</v>
      </c>
      <c r="J230" s="534">
        <f t="shared" si="23"/>
        <v>0</v>
      </c>
      <c r="K230" s="551"/>
      <c r="L230" s="551"/>
      <c r="M230" s="547" t="s">
        <v>223</v>
      </c>
      <c r="N230" s="547" t="s">
        <v>223</v>
      </c>
      <c r="O230" s="548"/>
      <c r="P230" s="549"/>
      <c r="Q230" s="550"/>
      <c r="R230" s="550"/>
      <c r="S230" s="549"/>
      <c r="T230" s="550"/>
      <c r="U230" s="550"/>
      <c r="V230" s="549"/>
      <c r="W230" s="550"/>
      <c r="X230" s="550"/>
      <c r="Y230" s="549"/>
      <c r="Z230" s="550"/>
      <c r="AA230" s="550"/>
      <c r="AB230" s="549"/>
      <c r="AC230" s="550"/>
      <c r="AD230" s="550"/>
      <c r="AE230" s="549"/>
      <c r="AF230" s="550"/>
      <c r="AG230" s="550"/>
      <c r="AH230" s="549"/>
      <c r="AI230" s="550"/>
      <c r="AJ230" s="550"/>
      <c r="AK230" s="549"/>
      <c r="AL230" s="550"/>
      <c r="AM230" s="550"/>
      <c r="AN230" s="549"/>
      <c r="AO230" s="550"/>
      <c r="AP230" s="550"/>
      <c r="AQ230" s="549"/>
      <c r="AR230" s="550"/>
      <c r="AS230" s="550"/>
      <c r="AT230" s="549"/>
      <c r="AU230" s="550"/>
      <c r="AV230" s="550"/>
      <c r="AW230" s="549"/>
      <c r="AX230" s="550"/>
      <c r="AY230" s="550"/>
      <c r="AZ230" s="549"/>
      <c r="BA230" s="550"/>
      <c r="BB230" s="550"/>
      <c r="BC230" s="550"/>
    </row>
    <row r="231" spans="1:55" s="519" customFormat="1">
      <c r="A231" s="531" t="str">
        <f t="shared" si="24"/>
        <v>AQ</v>
      </c>
      <c r="B231" s="50" t="str">
        <f t="shared" si="25"/>
        <v>SIPPM25</v>
      </c>
      <c r="C231" s="50" t="s">
        <v>261</v>
      </c>
      <c r="D231" s="532" t="s">
        <v>131</v>
      </c>
      <c r="E231" s="50" t="s">
        <v>52</v>
      </c>
      <c r="F231" s="543" t="str">
        <f>R.14EPAImpName3</f>
        <v xml:space="preserve"> </v>
      </c>
      <c r="G231" s="543">
        <f>R.14EPAImpHrs3</f>
        <v>0</v>
      </c>
      <c r="H231" s="544">
        <f>Table3[[#This Row],[Hrs Rank]]</f>
        <v>0</v>
      </c>
      <c r="I231" s="534">
        <f t="shared" si="22"/>
        <v>0</v>
      </c>
      <c r="J231" s="534">
        <f t="shared" si="23"/>
        <v>0</v>
      </c>
      <c r="K231" s="551"/>
      <c r="L231" s="551"/>
      <c r="M231" s="547" t="s">
        <v>223</v>
      </c>
      <c r="N231" s="547" t="s">
        <v>223</v>
      </c>
      <c r="O231" s="548"/>
      <c r="P231" s="549"/>
      <c r="Q231" s="550"/>
      <c r="R231" s="550"/>
      <c r="S231" s="549"/>
      <c r="T231" s="550"/>
      <c r="U231" s="550"/>
      <c r="V231" s="549"/>
      <c r="W231" s="550"/>
      <c r="X231" s="550"/>
      <c r="Y231" s="549"/>
      <c r="Z231" s="550"/>
      <c r="AA231" s="550"/>
      <c r="AB231" s="549"/>
      <c r="AC231" s="550"/>
      <c r="AD231" s="550"/>
      <c r="AE231" s="549"/>
      <c r="AF231" s="550"/>
      <c r="AG231" s="550"/>
      <c r="AH231" s="549"/>
      <c r="AI231" s="550"/>
      <c r="AJ231" s="550"/>
      <c r="AK231" s="549"/>
      <c r="AL231" s="550"/>
      <c r="AM231" s="550"/>
      <c r="AN231" s="549"/>
      <c r="AO231" s="550"/>
      <c r="AP231" s="550"/>
      <c r="AQ231" s="549"/>
      <c r="AR231" s="550"/>
      <c r="AS231" s="550"/>
      <c r="AT231" s="549"/>
      <c r="AU231" s="550"/>
      <c r="AV231" s="550"/>
      <c r="AW231" s="549"/>
      <c r="AX231" s="550"/>
      <c r="AY231" s="550"/>
      <c r="AZ231" s="549"/>
      <c r="BA231" s="550"/>
      <c r="BB231" s="550"/>
      <c r="BC231" s="550"/>
    </row>
    <row r="232" spans="1:55" s="519" customFormat="1">
      <c r="A232" s="531" t="str">
        <f t="shared" si="24"/>
        <v>AQ</v>
      </c>
      <c r="B232" s="50" t="str">
        <f t="shared" si="25"/>
        <v>SIPPM25</v>
      </c>
      <c r="C232" s="50" t="s">
        <v>261</v>
      </c>
      <c r="D232" s="532" t="s">
        <v>131</v>
      </c>
      <c r="E232" s="50" t="s">
        <v>52</v>
      </c>
      <c r="F232" s="535" t="str">
        <f>R.14EPAImpName4</f>
        <v xml:space="preserve"> </v>
      </c>
      <c r="G232" s="543">
        <f>R.14EPAImpHrs4</f>
        <v>0</v>
      </c>
      <c r="H232" s="544">
        <f>Table3[[#This Row],[Hrs Rank]]</f>
        <v>0</v>
      </c>
      <c r="I232" s="534">
        <f t="shared" si="22"/>
        <v>0</v>
      </c>
      <c r="J232" s="534">
        <f t="shared" si="23"/>
        <v>0</v>
      </c>
      <c r="K232" s="551"/>
      <c r="L232" s="551"/>
      <c r="M232" s="547" t="s">
        <v>223</v>
      </c>
      <c r="N232" s="547" t="s">
        <v>223</v>
      </c>
      <c r="O232" s="548"/>
      <c r="P232" s="549"/>
      <c r="Q232" s="550"/>
      <c r="R232" s="550"/>
      <c r="S232" s="549"/>
      <c r="T232" s="550"/>
      <c r="U232" s="550"/>
      <c r="V232" s="549"/>
      <c r="W232" s="550"/>
      <c r="X232" s="550"/>
      <c r="Y232" s="549"/>
      <c r="Z232" s="550"/>
      <c r="AA232" s="550"/>
      <c r="AB232" s="549"/>
      <c r="AC232" s="550"/>
      <c r="AD232" s="550"/>
      <c r="AE232" s="549"/>
      <c r="AF232" s="550"/>
      <c r="AG232" s="550"/>
      <c r="AH232" s="549"/>
      <c r="AI232" s="550"/>
      <c r="AJ232" s="550"/>
      <c r="AK232" s="549"/>
      <c r="AL232" s="550"/>
      <c r="AM232" s="550"/>
      <c r="AN232" s="549"/>
      <c r="AO232" s="550"/>
      <c r="AP232" s="550"/>
      <c r="AQ232" s="549"/>
      <c r="AR232" s="550"/>
      <c r="AS232" s="550"/>
      <c r="AT232" s="549"/>
      <c r="AU232" s="550"/>
      <c r="AV232" s="550"/>
      <c r="AW232" s="549"/>
      <c r="AX232" s="550"/>
      <c r="AY232" s="550"/>
      <c r="AZ232" s="549"/>
      <c r="BA232" s="550"/>
      <c r="BB232" s="550"/>
      <c r="BC232" s="550"/>
    </row>
    <row r="233" spans="1:55" s="519" customFormat="1">
      <c r="A233" s="531" t="str">
        <f t="shared" si="24"/>
        <v>AQ</v>
      </c>
      <c r="B233" s="50" t="str">
        <f t="shared" si="25"/>
        <v>SIPPM25</v>
      </c>
      <c r="C233" s="50" t="s">
        <v>261</v>
      </c>
      <c r="D233" s="532" t="s">
        <v>132</v>
      </c>
      <c r="E233" s="50" t="s">
        <v>53</v>
      </c>
      <c r="F233" s="535" t="str">
        <f>R.14MuniDevName1</f>
        <v xml:space="preserve"> </v>
      </c>
      <c r="G233" s="543">
        <f>R.14MuniDevHrs1</f>
        <v>0</v>
      </c>
      <c r="H233" s="544">
        <f>Table3[[#This Row],[Hrs Rank]]</f>
        <v>0</v>
      </c>
      <c r="I233" s="534">
        <f t="shared" si="22"/>
        <v>0</v>
      </c>
      <c r="J233" s="534">
        <f t="shared" si="23"/>
        <v>0</v>
      </c>
      <c r="K233" s="551"/>
      <c r="L233" s="551"/>
      <c r="M233" s="547" t="s">
        <v>223</v>
      </c>
      <c r="N233" s="547" t="s">
        <v>223</v>
      </c>
      <c r="O233" s="548"/>
      <c r="P233" s="549"/>
      <c r="Q233" s="550"/>
      <c r="R233" s="550"/>
      <c r="S233" s="549"/>
      <c r="T233" s="550"/>
      <c r="U233" s="550"/>
      <c r="V233" s="549"/>
      <c r="W233" s="550"/>
      <c r="X233" s="550"/>
      <c r="Y233" s="549"/>
      <c r="Z233" s="550"/>
      <c r="AA233" s="550"/>
      <c r="AB233" s="549"/>
      <c r="AC233" s="550"/>
      <c r="AD233" s="550"/>
      <c r="AE233" s="549"/>
      <c r="AF233" s="550"/>
      <c r="AG233" s="550"/>
      <c r="AH233" s="549"/>
      <c r="AI233" s="550"/>
      <c r="AJ233" s="550"/>
      <c r="AK233" s="549"/>
      <c r="AL233" s="550"/>
      <c r="AM233" s="550"/>
      <c r="AN233" s="549"/>
      <c r="AO233" s="550"/>
      <c r="AP233" s="550"/>
      <c r="AQ233" s="549"/>
      <c r="AR233" s="550"/>
      <c r="AS233" s="550"/>
      <c r="AT233" s="549"/>
      <c r="AU233" s="550"/>
      <c r="AV233" s="550"/>
      <c r="AW233" s="549"/>
      <c r="AX233" s="550"/>
      <c r="AY233" s="550"/>
      <c r="AZ233" s="549"/>
      <c r="BA233" s="550"/>
      <c r="BB233" s="550"/>
      <c r="BC233" s="550"/>
    </row>
    <row r="234" spans="1:55" s="519" customFormat="1">
      <c r="A234" s="531" t="str">
        <f t="shared" si="24"/>
        <v>AQ</v>
      </c>
      <c r="B234" s="50" t="str">
        <f t="shared" si="25"/>
        <v>SIPPM25</v>
      </c>
      <c r="C234" s="50" t="s">
        <v>261</v>
      </c>
      <c r="D234" s="532" t="s">
        <v>132</v>
      </c>
      <c r="E234" s="50" t="s">
        <v>53</v>
      </c>
      <c r="F234" s="535" t="str">
        <f>R.14MuniDevName2</f>
        <v xml:space="preserve"> </v>
      </c>
      <c r="G234" s="543">
        <f>R.14MuniDevHrs2</f>
        <v>0</v>
      </c>
      <c r="H234" s="544">
        <f>Table3[[#This Row],[Hrs Rank]]</f>
        <v>0</v>
      </c>
      <c r="I234" s="534">
        <f t="shared" si="22"/>
        <v>0</v>
      </c>
      <c r="J234" s="534">
        <f t="shared" si="23"/>
        <v>0</v>
      </c>
      <c r="K234" s="551"/>
      <c r="L234" s="551"/>
      <c r="M234" s="547" t="s">
        <v>223</v>
      </c>
      <c r="N234" s="547" t="s">
        <v>223</v>
      </c>
      <c r="O234" s="548"/>
      <c r="P234" s="549"/>
      <c r="Q234" s="550"/>
      <c r="R234" s="550"/>
      <c r="S234" s="549"/>
      <c r="T234" s="550"/>
      <c r="U234" s="550"/>
      <c r="V234" s="549"/>
      <c r="W234" s="550"/>
      <c r="X234" s="550"/>
      <c r="Y234" s="549"/>
      <c r="Z234" s="550"/>
      <c r="AA234" s="550"/>
      <c r="AB234" s="549"/>
      <c r="AC234" s="550"/>
      <c r="AD234" s="550"/>
      <c r="AE234" s="549"/>
      <c r="AF234" s="550"/>
      <c r="AG234" s="550"/>
      <c r="AH234" s="549"/>
      <c r="AI234" s="550"/>
      <c r="AJ234" s="550"/>
      <c r="AK234" s="549"/>
      <c r="AL234" s="550"/>
      <c r="AM234" s="550"/>
      <c r="AN234" s="549"/>
      <c r="AO234" s="550"/>
      <c r="AP234" s="550"/>
      <c r="AQ234" s="549"/>
      <c r="AR234" s="550"/>
      <c r="AS234" s="550"/>
      <c r="AT234" s="549"/>
      <c r="AU234" s="550"/>
      <c r="AV234" s="550"/>
      <c r="AW234" s="549"/>
      <c r="AX234" s="550"/>
      <c r="AY234" s="550"/>
      <c r="AZ234" s="549"/>
      <c r="BA234" s="550"/>
      <c r="BB234" s="550"/>
      <c r="BC234" s="550"/>
    </row>
    <row r="235" spans="1:55" s="519" customFormat="1">
      <c r="A235" s="531" t="str">
        <f t="shared" si="24"/>
        <v>AQ</v>
      </c>
      <c r="B235" s="50" t="str">
        <f t="shared" si="25"/>
        <v>SIPPM25</v>
      </c>
      <c r="C235" s="50" t="s">
        <v>261</v>
      </c>
      <c r="D235" s="532" t="s">
        <v>132</v>
      </c>
      <c r="E235" s="50" t="s">
        <v>53</v>
      </c>
      <c r="F235" s="535" t="str">
        <f>R.14MuniDevName3</f>
        <v xml:space="preserve"> </v>
      </c>
      <c r="G235" s="543">
        <f>R.14MuniDevHrs3</f>
        <v>0</v>
      </c>
      <c r="H235" s="544">
        <f>Table3[[#This Row],[Hrs Rank]]</f>
        <v>0</v>
      </c>
      <c r="I235" s="534">
        <f t="shared" si="22"/>
        <v>0</v>
      </c>
      <c r="J235" s="534">
        <f t="shared" si="23"/>
        <v>0</v>
      </c>
      <c r="K235" s="551"/>
      <c r="L235" s="551"/>
      <c r="M235" s="547" t="s">
        <v>223</v>
      </c>
      <c r="N235" s="547" t="s">
        <v>223</v>
      </c>
      <c r="O235" s="548"/>
      <c r="P235" s="549"/>
      <c r="Q235" s="550"/>
      <c r="R235" s="550"/>
      <c r="S235" s="549"/>
      <c r="T235" s="550"/>
      <c r="U235" s="550"/>
      <c r="V235" s="549"/>
      <c r="W235" s="550"/>
      <c r="X235" s="550"/>
      <c r="Y235" s="549"/>
      <c r="Z235" s="550"/>
      <c r="AA235" s="550"/>
      <c r="AB235" s="549"/>
      <c r="AC235" s="550"/>
      <c r="AD235" s="550"/>
      <c r="AE235" s="549"/>
      <c r="AF235" s="550"/>
      <c r="AG235" s="550"/>
      <c r="AH235" s="549"/>
      <c r="AI235" s="550"/>
      <c r="AJ235" s="550"/>
      <c r="AK235" s="549"/>
      <c r="AL235" s="550"/>
      <c r="AM235" s="550"/>
      <c r="AN235" s="549"/>
      <c r="AO235" s="550"/>
      <c r="AP235" s="550"/>
      <c r="AQ235" s="549"/>
      <c r="AR235" s="550"/>
      <c r="AS235" s="550"/>
      <c r="AT235" s="549"/>
      <c r="AU235" s="550"/>
      <c r="AV235" s="550"/>
      <c r="AW235" s="549"/>
      <c r="AX235" s="550"/>
      <c r="AY235" s="550"/>
      <c r="AZ235" s="549"/>
      <c r="BA235" s="550"/>
      <c r="BB235" s="550"/>
      <c r="BC235" s="550"/>
    </row>
    <row r="236" spans="1:55" s="519" customFormat="1">
      <c r="A236" s="531" t="str">
        <f t="shared" si="24"/>
        <v>AQ</v>
      </c>
      <c r="B236" s="50" t="str">
        <f t="shared" si="25"/>
        <v>SIPPM25</v>
      </c>
      <c r="C236" s="50" t="s">
        <v>261</v>
      </c>
      <c r="D236" s="532" t="s">
        <v>132</v>
      </c>
      <c r="E236" s="50" t="s">
        <v>53</v>
      </c>
      <c r="F236" s="535" t="str">
        <f>R.14MuniDevName4</f>
        <v xml:space="preserve"> </v>
      </c>
      <c r="G236" s="543">
        <f>R.14MuniDevHrs4</f>
        <v>0</v>
      </c>
      <c r="H236" s="544">
        <f>Table3[[#This Row],[Hrs Rank]]</f>
        <v>0</v>
      </c>
      <c r="I236" s="534">
        <f t="shared" si="22"/>
        <v>0</v>
      </c>
      <c r="J236" s="534">
        <f t="shared" si="23"/>
        <v>0</v>
      </c>
      <c r="K236" s="551"/>
      <c r="L236" s="551"/>
      <c r="M236" s="547" t="s">
        <v>223</v>
      </c>
      <c r="N236" s="547" t="s">
        <v>223</v>
      </c>
      <c r="O236" s="548"/>
      <c r="P236" s="549"/>
      <c r="Q236" s="550"/>
      <c r="R236" s="550"/>
      <c r="S236" s="549"/>
      <c r="T236" s="550"/>
      <c r="U236" s="550"/>
      <c r="V236" s="549"/>
      <c r="W236" s="550"/>
      <c r="X236" s="550"/>
      <c r="Y236" s="549"/>
      <c r="Z236" s="550"/>
      <c r="AA236" s="550"/>
      <c r="AB236" s="549"/>
      <c r="AC236" s="550"/>
      <c r="AD236" s="550"/>
      <c r="AE236" s="549"/>
      <c r="AF236" s="550"/>
      <c r="AG236" s="550"/>
      <c r="AH236" s="549"/>
      <c r="AI236" s="550"/>
      <c r="AJ236" s="550"/>
      <c r="AK236" s="549"/>
      <c r="AL236" s="550"/>
      <c r="AM236" s="550"/>
      <c r="AN236" s="549"/>
      <c r="AO236" s="550"/>
      <c r="AP236" s="550"/>
      <c r="AQ236" s="549"/>
      <c r="AR236" s="550"/>
      <c r="AS236" s="550"/>
      <c r="AT236" s="549"/>
      <c r="AU236" s="550"/>
      <c r="AV236" s="550"/>
      <c r="AW236" s="549"/>
      <c r="AX236" s="550"/>
      <c r="AY236" s="550"/>
      <c r="AZ236" s="549"/>
      <c r="BA236" s="550"/>
      <c r="BB236" s="550"/>
      <c r="BC236" s="550"/>
    </row>
    <row r="237" spans="1:55" s="519" customFormat="1">
      <c r="A237" s="531" t="str">
        <f t="shared" si="24"/>
        <v>AQ</v>
      </c>
      <c r="B237" s="50" t="str">
        <f t="shared" si="25"/>
        <v>SIPPM25</v>
      </c>
      <c r="C237" s="50" t="s">
        <v>261</v>
      </c>
      <c r="D237" s="532" t="s">
        <v>132</v>
      </c>
      <c r="E237" s="50" t="s">
        <v>52</v>
      </c>
      <c r="F237" s="535" t="str">
        <f>R.14MuniImpName1</f>
        <v xml:space="preserve"> </v>
      </c>
      <c r="G237" s="543">
        <f>R.14MuniImpHrs1</f>
        <v>0</v>
      </c>
      <c r="H237" s="544">
        <f>Table3[[#This Row],[Hrs Rank]]</f>
        <v>0</v>
      </c>
      <c r="I237" s="534">
        <f t="shared" si="22"/>
        <v>0</v>
      </c>
      <c r="J237" s="534">
        <f t="shared" si="23"/>
        <v>0</v>
      </c>
      <c r="K237" s="551"/>
      <c r="L237" s="551"/>
      <c r="M237" s="547" t="s">
        <v>223</v>
      </c>
      <c r="N237" s="547" t="s">
        <v>223</v>
      </c>
      <c r="O237" s="548"/>
      <c r="P237" s="549"/>
      <c r="Q237" s="550"/>
      <c r="R237" s="550"/>
      <c r="S237" s="549"/>
      <c r="T237" s="550"/>
      <c r="U237" s="550"/>
      <c r="V237" s="549"/>
      <c r="W237" s="550"/>
      <c r="X237" s="550"/>
      <c r="Y237" s="549"/>
      <c r="Z237" s="550"/>
      <c r="AA237" s="550"/>
      <c r="AB237" s="549"/>
      <c r="AC237" s="550"/>
      <c r="AD237" s="550"/>
      <c r="AE237" s="549"/>
      <c r="AF237" s="550"/>
      <c r="AG237" s="550"/>
      <c r="AH237" s="549"/>
      <c r="AI237" s="550"/>
      <c r="AJ237" s="550"/>
      <c r="AK237" s="549"/>
      <c r="AL237" s="550"/>
      <c r="AM237" s="550"/>
      <c r="AN237" s="549"/>
      <c r="AO237" s="550"/>
      <c r="AP237" s="550"/>
      <c r="AQ237" s="549"/>
      <c r="AR237" s="550"/>
      <c r="AS237" s="550"/>
      <c r="AT237" s="549"/>
      <c r="AU237" s="550"/>
      <c r="AV237" s="550"/>
      <c r="AW237" s="549"/>
      <c r="AX237" s="550"/>
      <c r="AY237" s="550"/>
      <c r="AZ237" s="549"/>
      <c r="BA237" s="550"/>
      <c r="BB237" s="550"/>
      <c r="BC237" s="550"/>
    </row>
    <row r="238" spans="1:55" s="519" customFormat="1">
      <c r="A238" s="531" t="str">
        <f t="shared" si="24"/>
        <v>AQ</v>
      </c>
      <c r="B238" s="50" t="str">
        <f t="shared" si="25"/>
        <v>SIPPM25</v>
      </c>
      <c r="C238" s="50" t="s">
        <v>261</v>
      </c>
      <c r="D238" s="532" t="s">
        <v>132</v>
      </c>
      <c r="E238" s="50" t="s">
        <v>52</v>
      </c>
      <c r="F238" s="535" t="str">
        <f>R.14MuniImpName2</f>
        <v xml:space="preserve"> </v>
      </c>
      <c r="G238" s="543">
        <f>R.14MuniImpHrs2</f>
        <v>0</v>
      </c>
      <c r="H238" s="544">
        <f>Table3[[#This Row],[Hrs Rank]]</f>
        <v>0</v>
      </c>
      <c r="I238" s="534">
        <f t="shared" si="22"/>
        <v>0</v>
      </c>
      <c r="J238" s="534">
        <f t="shared" si="23"/>
        <v>0</v>
      </c>
      <c r="K238" s="551"/>
      <c r="L238" s="551"/>
      <c r="M238" s="547" t="s">
        <v>223</v>
      </c>
      <c r="N238" s="547" t="s">
        <v>223</v>
      </c>
      <c r="O238" s="548"/>
      <c r="P238" s="549"/>
      <c r="Q238" s="550"/>
      <c r="R238" s="550"/>
      <c r="S238" s="549"/>
      <c r="T238" s="550"/>
      <c r="U238" s="550"/>
      <c r="V238" s="549"/>
      <c r="W238" s="550"/>
      <c r="X238" s="550"/>
      <c r="Y238" s="549"/>
      <c r="Z238" s="550"/>
      <c r="AA238" s="550"/>
      <c r="AB238" s="549"/>
      <c r="AC238" s="550"/>
      <c r="AD238" s="550"/>
      <c r="AE238" s="549"/>
      <c r="AF238" s="550"/>
      <c r="AG238" s="550"/>
      <c r="AH238" s="549"/>
      <c r="AI238" s="550"/>
      <c r="AJ238" s="550"/>
      <c r="AK238" s="549"/>
      <c r="AL238" s="550"/>
      <c r="AM238" s="550"/>
      <c r="AN238" s="549"/>
      <c r="AO238" s="550"/>
      <c r="AP238" s="550"/>
      <c r="AQ238" s="549"/>
      <c r="AR238" s="550"/>
      <c r="AS238" s="550"/>
      <c r="AT238" s="549"/>
      <c r="AU238" s="550"/>
      <c r="AV238" s="550"/>
      <c r="AW238" s="549"/>
      <c r="AX238" s="550"/>
      <c r="AY238" s="550"/>
      <c r="AZ238" s="549"/>
      <c r="BA238" s="550"/>
      <c r="BB238" s="550"/>
      <c r="BC238" s="550"/>
    </row>
    <row r="239" spans="1:55" s="519" customFormat="1">
      <c r="A239" s="531" t="str">
        <f t="shared" si="24"/>
        <v>AQ</v>
      </c>
      <c r="B239" s="50" t="str">
        <f t="shared" si="25"/>
        <v>SIPPM25</v>
      </c>
      <c r="C239" s="50" t="s">
        <v>261</v>
      </c>
      <c r="D239" s="532" t="s">
        <v>132</v>
      </c>
      <c r="E239" s="50" t="s">
        <v>52</v>
      </c>
      <c r="F239" s="535" t="str">
        <f>R.14MuniImpName3</f>
        <v xml:space="preserve"> </v>
      </c>
      <c r="G239" s="543">
        <f>R.14MuniImpHrs3</f>
        <v>0</v>
      </c>
      <c r="H239" s="544">
        <f>Table3[[#This Row],[Hrs Rank]]</f>
        <v>0</v>
      </c>
      <c r="I239" s="534">
        <f t="shared" si="22"/>
        <v>0</v>
      </c>
      <c r="J239" s="534">
        <f t="shared" si="23"/>
        <v>0</v>
      </c>
      <c r="K239" s="551"/>
      <c r="L239" s="551"/>
      <c r="M239" s="547" t="s">
        <v>223</v>
      </c>
      <c r="N239" s="547" t="s">
        <v>223</v>
      </c>
      <c r="O239" s="548"/>
      <c r="P239" s="549"/>
      <c r="Q239" s="550"/>
      <c r="R239" s="550"/>
      <c r="S239" s="549"/>
      <c r="T239" s="550"/>
      <c r="U239" s="550"/>
      <c r="V239" s="549"/>
      <c r="W239" s="550"/>
      <c r="X239" s="550"/>
      <c r="Y239" s="549"/>
      <c r="Z239" s="550"/>
      <c r="AA239" s="550"/>
      <c r="AB239" s="549"/>
      <c r="AC239" s="550"/>
      <c r="AD239" s="550"/>
      <c r="AE239" s="549"/>
      <c r="AF239" s="550"/>
      <c r="AG239" s="550"/>
      <c r="AH239" s="549"/>
      <c r="AI239" s="550"/>
      <c r="AJ239" s="550"/>
      <c r="AK239" s="549"/>
      <c r="AL239" s="550"/>
      <c r="AM239" s="550"/>
      <c r="AN239" s="549"/>
      <c r="AO239" s="550"/>
      <c r="AP239" s="550"/>
      <c r="AQ239" s="549"/>
      <c r="AR239" s="550"/>
      <c r="AS239" s="550"/>
      <c r="AT239" s="549"/>
      <c r="AU239" s="550"/>
      <c r="AV239" s="550"/>
      <c r="AW239" s="549"/>
      <c r="AX239" s="550"/>
      <c r="AY239" s="550"/>
      <c r="AZ239" s="549"/>
      <c r="BA239" s="550"/>
      <c r="BB239" s="550"/>
      <c r="BC239" s="550"/>
    </row>
    <row r="240" spans="1:55" s="519" customFormat="1">
      <c r="A240" s="531" t="str">
        <f t="shared" si="24"/>
        <v>AQ</v>
      </c>
      <c r="B240" s="50" t="str">
        <f t="shared" si="25"/>
        <v>SIPPM25</v>
      </c>
      <c r="C240" s="50" t="s">
        <v>261</v>
      </c>
      <c r="D240" s="532" t="s">
        <v>132</v>
      </c>
      <c r="E240" s="50" t="s">
        <v>52</v>
      </c>
      <c r="F240" s="535" t="str">
        <f>R.14MuniImpName4</f>
        <v xml:space="preserve"> </v>
      </c>
      <c r="G240" s="543">
        <f>R.14MuniImpHrs4</f>
        <v>0</v>
      </c>
      <c r="H240" s="544">
        <f>Table3[[#This Row],[Hrs Rank]]</f>
        <v>0</v>
      </c>
      <c r="I240" s="534">
        <f t="shared" si="22"/>
        <v>0</v>
      </c>
      <c r="J240" s="534">
        <f t="shared" si="23"/>
        <v>0</v>
      </c>
      <c r="K240" s="551"/>
      <c r="L240" s="551"/>
      <c r="M240" s="547" t="s">
        <v>223</v>
      </c>
      <c r="N240" s="547" t="s">
        <v>223</v>
      </c>
      <c r="O240" s="548"/>
      <c r="P240" s="549"/>
      <c r="Q240" s="550"/>
      <c r="R240" s="550"/>
      <c r="S240" s="549"/>
      <c r="T240" s="550"/>
      <c r="U240" s="550"/>
      <c r="V240" s="549"/>
      <c r="W240" s="550"/>
      <c r="X240" s="550"/>
      <c r="Y240" s="549"/>
      <c r="Z240" s="550"/>
      <c r="AA240" s="550"/>
      <c r="AB240" s="549"/>
      <c r="AC240" s="550"/>
      <c r="AD240" s="550"/>
      <c r="AE240" s="549"/>
      <c r="AF240" s="550"/>
      <c r="AG240" s="550"/>
      <c r="AH240" s="549"/>
      <c r="AI240" s="550"/>
      <c r="AJ240" s="550"/>
      <c r="AK240" s="549"/>
      <c r="AL240" s="550"/>
      <c r="AM240" s="550"/>
      <c r="AN240" s="549"/>
      <c r="AO240" s="550"/>
      <c r="AP240" s="550"/>
      <c r="AQ240" s="549"/>
      <c r="AR240" s="550"/>
      <c r="AS240" s="550"/>
      <c r="AT240" s="549"/>
      <c r="AU240" s="550"/>
      <c r="AV240" s="550"/>
      <c r="AW240" s="549"/>
      <c r="AX240" s="550"/>
      <c r="AY240" s="550"/>
      <c r="AZ240" s="549"/>
      <c r="BA240" s="550"/>
      <c r="BB240" s="550"/>
      <c r="BC240" s="550"/>
    </row>
    <row r="241" spans="1:55" s="519" customFormat="1">
      <c r="A241" s="531" t="str">
        <f t="shared" si="24"/>
        <v>AQ</v>
      </c>
      <c r="B241" s="50" t="str">
        <f t="shared" si="25"/>
        <v>SIPPM25</v>
      </c>
      <c r="C241" s="50" t="s">
        <v>261</v>
      </c>
      <c r="D241" s="532" t="s">
        <v>133</v>
      </c>
      <c r="E241" s="50" t="s">
        <v>53</v>
      </c>
      <c r="F241" s="535">
        <f>R.14CountyDevName1</f>
        <v>0</v>
      </c>
      <c r="G241" s="543">
        <f>R.14CountyDevHrs1</f>
        <v>0</v>
      </c>
      <c r="H241" s="544">
        <f>Table3[[#This Row],[Hrs Rank]]</f>
        <v>0</v>
      </c>
      <c r="I241" s="534">
        <f t="shared" si="22"/>
        <v>0</v>
      </c>
      <c r="J241" s="534">
        <f t="shared" si="23"/>
        <v>0</v>
      </c>
      <c r="K241" s="551"/>
      <c r="L241" s="551"/>
      <c r="M241" s="547" t="s">
        <v>223</v>
      </c>
      <c r="N241" s="547" t="s">
        <v>223</v>
      </c>
      <c r="O241" s="548"/>
      <c r="P241" s="549"/>
      <c r="Q241" s="550"/>
      <c r="R241" s="550"/>
      <c r="S241" s="549"/>
      <c r="T241" s="550"/>
      <c r="U241" s="550"/>
      <c r="V241" s="549"/>
      <c r="W241" s="550"/>
      <c r="X241" s="550"/>
      <c r="Y241" s="549"/>
      <c r="Z241" s="550"/>
      <c r="AA241" s="550"/>
      <c r="AB241" s="549"/>
      <c r="AC241" s="550"/>
      <c r="AD241" s="550"/>
      <c r="AE241" s="549"/>
      <c r="AF241" s="550"/>
      <c r="AG241" s="550"/>
      <c r="AH241" s="549"/>
      <c r="AI241" s="550"/>
      <c r="AJ241" s="550"/>
      <c r="AK241" s="549"/>
      <c r="AL241" s="550"/>
      <c r="AM241" s="550"/>
      <c r="AN241" s="549"/>
      <c r="AO241" s="550"/>
      <c r="AP241" s="550"/>
      <c r="AQ241" s="549"/>
      <c r="AR241" s="550"/>
      <c r="AS241" s="550"/>
      <c r="AT241" s="549"/>
      <c r="AU241" s="550"/>
      <c r="AV241" s="550"/>
      <c r="AW241" s="549"/>
      <c r="AX241" s="550"/>
      <c r="AY241" s="550"/>
      <c r="AZ241" s="549"/>
      <c r="BA241" s="550"/>
      <c r="BB241" s="550"/>
      <c r="BC241" s="550"/>
    </row>
    <row r="242" spans="1:55" s="519" customFormat="1">
      <c r="A242" s="531" t="str">
        <f t="shared" si="24"/>
        <v>AQ</v>
      </c>
      <c r="B242" s="50" t="str">
        <f t="shared" si="25"/>
        <v>SIPPM25</v>
      </c>
      <c r="C242" s="50" t="s">
        <v>261</v>
      </c>
      <c r="D242" s="532" t="s">
        <v>133</v>
      </c>
      <c r="E242" s="50" t="s">
        <v>53</v>
      </c>
      <c r="F242" s="535" t="str">
        <f>R.14CountyDevName2</f>
        <v xml:space="preserve"> </v>
      </c>
      <c r="G242" s="543">
        <f>R.14CountyDevHrs2</f>
        <v>0</v>
      </c>
      <c r="H242" s="544">
        <f>Table3[[#This Row],[Hrs Rank]]</f>
        <v>0</v>
      </c>
      <c r="I242" s="534">
        <f t="shared" si="22"/>
        <v>0</v>
      </c>
      <c r="J242" s="534">
        <f t="shared" si="23"/>
        <v>0</v>
      </c>
      <c r="K242" s="551"/>
      <c r="L242" s="551"/>
      <c r="M242" s="547" t="s">
        <v>223</v>
      </c>
      <c r="N242" s="547" t="s">
        <v>223</v>
      </c>
      <c r="O242" s="548"/>
      <c r="P242" s="549"/>
      <c r="Q242" s="550"/>
      <c r="R242" s="550"/>
      <c r="S242" s="549"/>
      <c r="T242" s="550"/>
      <c r="U242" s="550"/>
      <c r="V242" s="549"/>
      <c r="W242" s="550"/>
      <c r="X242" s="550"/>
      <c r="Y242" s="549"/>
      <c r="Z242" s="550"/>
      <c r="AA242" s="550"/>
      <c r="AB242" s="549"/>
      <c r="AC242" s="550"/>
      <c r="AD242" s="550"/>
      <c r="AE242" s="549"/>
      <c r="AF242" s="550"/>
      <c r="AG242" s="550"/>
      <c r="AH242" s="549"/>
      <c r="AI242" s="550"/>
      <c r="AJ242" s="550"/>
      <c r="AK242" s="549"/>
      <c r="AL242" s="550"/>
      <c r="AM242" s="550"/>
      <c r="AN242" s="549"/>
      <c r="AO242" s="550"/>
      <c r="AP242" s="550"/>
      <c r="AQ242" s="549"/>
      <c r="AR242" s="550"/>
      <c r="AS242" s="550"/>
      <c r="AT242" s="549"/>
      <c r="AU242" s="550"/>
      <c r="AV242" s="550"/>
      <c r="AW242" s="549"/>
      <c r="AX242" s="550"/>
      <c r="AY242" s="550"/>
      <c r="AZ242" s="549"/>
      <c r="BA242" s="550"/>
      <c r="BB242" s="550"/>
      <c r="BC242" s="550"/>
    </row>
    <row r="243" spans="1:55" s="519" customFormat="1">
      <c r="A243" s="531" t="str">
        <f t="shared" si="24"/>
        <v>AQ</v>
      </c>
      <c r="B243" s="50" t="str">
        <f t="shared" si="25"/>
        <v>SIPPM25</v>
      </c>
      <c r="C243" s="50" t="s">
        <v>261</v>
      </c>
      <c r="D243" s="532" t="s">
        <v>133</v>
      </c>
      <c r="E243" s="50" t="s">
        <v>53</v>
      </c>
      <c r="F243" s="535" t="str">
        <f>R.14CountyDevName3</f>
        <v xml:space="preserve"> </v>
      </c>
      <c r="G243" s="543">
        <f>R.14CountyDevHrs3</f>
        <v>0</v>
      </c>
      <c r="H243" s="544">
        <f>Table3[[#This Row],[Hrs Rank]]</f>
        <v>0</v>
      </c>
      <c r="I243" s="534">
        <f t="shared" si="22"/>
        <v>0</v>
      </c>
      <c r="J243" s="534">
        <f t="shared" si="23"/>
        <v>0</v>
      </c>
      <c r="K243" s="551"/>
      <c r="L243" s="551"/>
      <c r="M243" s="547" t="s">
        <v>223</v>
      </c>
      <c r="N243" s="547" t="s">
        <v>223</v>
      </c>
      <c r="O243" s="548"/>
      <c r="P243" s="549"/>
      <c r="Q243" s="550"/>
      <c r="R243" s="550"/>
      <c r="S243" s="549"/>
      <c r="T243" s="550"/>
      <c r="U243" s="550"/>
      <c r="V243" s="549"/>
      <c r="W243" s="550"/>
      <c r="X243" s="550"/>
      <c r="Y243" s="549"/>
      <c r="Z243" s="550"/>
      <c r="AA243" s="550"/>
      <c r="AB243" s="549"/>
      <c r="AC243" s="550"/>
      <c r="AD243" s="550"/>
      <c r="AE243" s="549"/>
      <c r="AF243" s="550"/>
      <c r="AG243" s="550"/>
      <c r="AH243" s="549"/>
      <c r="AI243" s="550"/>
      <c r="AJ243" s="550"/>
      <c r="AK243" s="549"/>
      <c r="AL243" s="550"/>
      <c r="AM243" s="550"/>
      <c r="AN243" s="549"/>
      <c r="AO243" s="550"/>
      <c r="AP243" s="550"/>
      <c r="AQ243" s="549"/>
      <c r="AR243" s="550"/>
      <c r="AS243" s="550"/>
      <c r="AT243" s="549"/>
      <c r="AU243" s="550"/>
      <c r="AV243" s="550"/>
      <c r="AW243" s="549"/>
      <c r="AX243" s="550"/>
      <c r="AY243" s="550"/>
      <c r="AZ243" s="549"/>
      <c r="BA243" s="550"/>
      <c r="BB243" s="550"/>
      <c r="BC243" s="550"/>
    </row>
    <row r="244" spans="1:55" s="519" customFormat="1">
      <c r="A244" s="531" t="str">
        <f t="shared" si="24"/>
        <v>AQ</v>
      </c>
      <c r="B244" s="50" t="str">
        <f t="shared" si="25"/>
        <v>SIPPM25</v>
      </c>
      <c r="C244" s="50" t="s">
        <v>261</v>
      </c>
      <c r="D244" s="532" t="s">
        <v>133</v>
      </c>
      <c r="E244" s="50" t="s">
        <v>53</v>
      </c>
      <c r="F244" s="535" t="str">
        <f>R.14CountyDevName4</f>
        <v xml:space="preserve"> </v>
      </c>
      <c r="G244" s="543">
        <f>R.14CountyDevHrs4</f>
        <v>0</v>
      </c>
      <c r="H244" s="544">
        <f>Table3[[#This Row],[Hrs Rank]]</f>
        <v>0</v>
      </c>
      <c r="I244" s="534">
        <f t="shared" si="22"/>
        <v>0</v>
      </c>
      <c r="J244" s="534">
        <f t="shared" si="23"/>
        <v>0</v>
      </c>
      <c r="K244" s="551"/>
      <c r="L244" s="551"/>
      <c r="M244" s="547" t="s">
        <v>223</v>
      </c>
      <c r="N244" s="547" t="s">
        <v>223</v>
      </c>
      <c r="O244" s="548"/>
      <c r="P244" s="549"/>
      <c r="Q244" s="550"/>
      <c r="R244" s="550"/>
      <c r="S244" s="549"/>
      <c r="T244" s="550"/>
      <c r="U244" s="550"/>
      <c r="V244" s="549"/>
      <c r="W244" s="550"/>
      <c r="X244" s="550"/>
      <c r="Y244" s="549"/>
      <c r="Z244" s="550"/>
      <c r="AA244" s="550"/>
      <c r="AB244" s="549"/>
      <c r="AC244" s="550"/>
      <c r="AD244" s="550"/>
      <c r="AE244" s="549"/>
      <c r="AF244" s="550"/>
      <c r="AG244" s="550"/>
      <c r="AH244" s="549"/>
      <c r="AI244" s="550"/>
      <c r="AJ244" s="550"/>
      <c r="AK244" s="549"/>
      <c r="AL244" s="550"/>
      <c r="AM244" s="550"/>
      <c r="AN244" s="549"/>
      <c r="AO244" s="550"/>
      <c r="AP244" s="550"/>
      <c r="AQ244" s="549"/>
      <c r="AR244" s="550"/>
      <c r="AS244" s="550"/>
      <c r="AT244" s="549"/>
      <c r="AU244" s="550"/>
      <c r="AV244" s="550"/>
      <c r="AW244" s="549"/>
      <c r="AX244" s="550"/>
      <c r="AY244" s="550"/>
      <c r="AZ244" s="549"/>
      <c r="BA244" s="550"/>
      <c r="BB244" s="550"/>
      <c r="BC244" s="550"/>
    </row>
    <row r="245" spans="1:55" s="519" customFormat="1">
      <c r="A245" s="531" t="str">
        <f t="shared" si="24"/>
        <v>AQ</v>
      </c>
      <c r="B245" s="50" t="str">
        <f t="shared" si="25"/>
        <v>SIPPM25</v>
      </c>
      <c r="C245" s="50" t="s">
        <v>261</v>
      </c>
      <c r="D245" s="532" t="s">
        <v>133</v>
      </c>
      <c r="E245" s="50" t="s">
        <v>52</v>
      </c>
      <c r="F245" s="535">
        <f>R.14CountyImpName1</f>
        <v>0</v>
      </c>
      <c r="G245" s="543">
        <f>R.14CountyImpHrs1</f>
        <v>0</v>
      </c>
      <c r="H245" s="544">
        <f>Table3[[#This Row],[Hrs Rank]]</f>
        <v>0</v>
      </c>
      <c r="I245" s="534">
        <f t="shared" si="22"/>
        <v>0</v>
      </c>
      <c r="J245" s="534">
        <f t="shared" si="23"/>
        <v>0</v>
      </c>
      <c r="K245" s="551"/>
      <c r="L245" s="551"/>
      <c r="M245" s="547" t="s">
        <v>223</v>
      </c>
      <c r="N245" s="547" t="s">
        <v>223</v>
      </c>
      <c r="O245" s="548"/>
      <c r="P245" s="549"/>
      <c r="Q245" s="550"/>
      <c r="R245" s="550"/>
      <c r="S245" s="549"/>
      <c r="T245" s="550"/>
      <c r="U245" s="550"/>
      <c r="V245" s="549"/>
      <c r="W245" s="550"/>
      <c r="X245" s="550"/>
      <c r="Y245" s="549"/>
      <c r="Z245" s="550"/>
      <c r="AA245" s="550"/>
      <c r="AB245" s="549"/>
      <c r="AC245" s="550"/>
      <c r="AD245" s="550"/>
      <c r="AE245" s="549"/>
      <c r="AF245" s="550"/>
      <c r="AG245" s="550"/>
      <c r="AH245" s="549"/>
      <c r="AI245" s="550"/>
      <c r="AJ245" s="550"/>
      <c r="AK245" s="549"/>
      <c r="AL245" s="550"/>
      <c r="AM245" s="550"/>
      <c r="AN245" s="549"/>
      <c r="AO245" s="550"/>
      <c r="AP245" s="550"/>
      <c r="AQ245" s="549"/>
      <c r="AR245" s="550"/>
      <c r="AS245" s="550"/>
      <c r="AT245" s="549"/>
      <c r="AU245" s="550"/>
      <c r="AV245" s="550"/>
      <c r="AW245" s="549"/>
      <c r="AX245" s="550"/>
      <c r="AY245" s="550"/>
      <c r="AZ245" s="549"/>
      <c r="BA245" s="550"/>
      <c r="BB245" s="550"/>
      <c r="BC245" s="550"/>
    </row>
    <row r="246" spans="1:55" s="519" customFormat="1">
      <c r="A246" s="531" t="str">
        <f t="shared" si="24"/>
        <v>AQ</v>
      </c>
      <c r="B246" s="50" t="str">
        <f t="shared" si="25"/>
        <v>SIPPM25</v>
      </c>
      <c r="C246" s="50" t="s">
        <v>261</v>
      </c>
      <c r="D246" s="532" t="s">
        <v>133</v>
      </c>
      <c r="E246" s="50" t="s">
        <v>52</v>
      </c>
      <c r="F246" s="535" t="str">
        <f>R.14CountyImpName2</f>
        <v xml:space="preserve"> </v>
      </c>
      <c r="G246" s="543">
        <f>R.14CountyImpHrs2</f>
        <v>0</v>
      </c>
      <c r="H246" s="544">
        <f>Table3[[#This Row],[Hrs Rank]]</f>
        <v>0</v>
      </c>
      <c r="I246" s="534">
        <f t="shared" si="22"/>
        <v>0</v>
      </c>
      <c r="J246" s="534">
        <f t="shared" si="23"/>
        <v>0</v>
      </c>
      <c r="K246" s="551"/>
      <c r="L246" s="551"/>
      <c r="M246" s="547" t="s">
        <v>223</v>
      </c>
      <c r="N246" s="547" t="s">
        <v>223</v>
      </c>
      <c r="O246" s="548"/>
      <c r="P246" s="549"/>
      <c r="Q246" s="550"/>
      <c r="R246" s="550"/>
      <c r="S246" s="549"/>
      <c r="T246" s="550"/>
      <c r="U246" s="550"/>
      <c r="V246" s="549"/>
      <c r="W246" s="550"/>
      <c r="X246" s="550"/>
      <c r="Y246" s="549"/>
      <c r="Z246" s="550"/>
      <c r="AA246" s="550"/>
      <c r="AB246" s="549"/>
      <c r="AC246" s="550"/>
      <c r="AD246" s="550"/>
      <c r="AE246" s="549"/>
      <c r="AF246" s="550"/>
      <c r="AG246" s="550"/>
      <c r="AH246" s="549"/>
      <c r="AI246" s="550"/>
      <c r="AJ246" s="550"/>
      <c r="AK246" s="549"/>
      <c r="AL246" s="550"/>
      <c r="AM246" s="550"/>
      <c r="AN246" s="549"/>
      <c r="AO246" s="550"/>
      <c r="AP246" s="550"/>
      <c r="AQ246" s="549"/>
      <c r="AR246" s="550"/>
      <c r="AS246" s="550"/>
      <c r="AT246" s="549"/>
      <c r="AU246" s="550"/>
      <c r="AV246" s="550"/>
      <c r="AW246" s="549"/>
      <c r="AX246" s="550"/>
      <c r="AY246" s="550"/>
      <c r="AZ246" s="549"/>
      <c r="BA246" s="550"/>
      <c r="BB246" s="550"/>
      <c r="BC246" s="550"/>
    </row>
    <row r="247" spans="1:55" s="519" customFormat="1">
      <c r="A247" s="531" t="str">
        <f t="shared" si="24"/>
        <v>AQ</v>
      </c>
      <c r="B247" s="50" t="str">
        <f t="shared" si="25"/>
        <v>SIPPM25</v>
      </c>
      <c r="C247" s="50" t="s">
        <v>261</v>
      </c>
      <c r="D247" s="532" t="s">
        <v>133</v>
      </c>
      <c r="E247" s="50" t="s">
        <v>52</v>
      </c>
      <c r="F247" s="535" t="str">
        <f>R.14CountyImpName3</f>
        <v xml:space="preserve"> </v>
      </c>
      <c r="G247" s="543">
        <f>R.14CountyImpHrs3</f>
        <v>0</v>
      </c>
      <c r="H247" s="544">
        <f>Table3[[#This Row],[Hrs Rank]]</f>
        <v>0</v>
      </c>
      <c r="I247" s="534">
        <f t="shared" si="22"/>
        <v>0</v>
      </c>
      <c r="J247" s="534">
        <f t="shared" si="23"/>
        <v>0</v>
      </c>
      <c r="K247" s="551"/>
      <c r="L247" s="551"/>
      <c r="M247" s="547" t="s">
        <v>223</v>
      </c>
      <c r="N247" s="547" t="s">
        <v>223</v>
      </c>
      <c r="O247" s="548"/>
      <c r="P247" s="549"/>
      <c r="Q247" s="550"/>
      <c r="R247" s="550"/>
      <c r="S247" s="549"/>
      <c r="T247" s="550"/>
      <c r="U247" s="550"/>
      <c r="V247" s="549"/>
      <c r="W247" s="550"/>
      <c r="X247" s="550"/>
      <c r="Y247" s="549"/>
      <c r="Z247" s="550"/>
      <c r="AA247" s="550"/>
      <c r="AB247" s="549"/>
      <c r="AC247" s="550"/>
      <c r="AD247" s="550"/>
      <c r="AE247" s="549"/>
      <c r="AF247" s="550"/>
      <c r="AG247" s="550"/>
      <c r="AH247" s="549"/>
      <c r="AI247" s="550"/>
      <c r="AJ247" s="550"/>
      <c r="AK247" s="549"/>
      <c r="AL247" s="550"/>
      <c r="AM247" s="550"/>
      <c r="AN247" s="549"/>
      <c r="AO247" s="550"/>
      <c r="AP247" s="550"/>
      <c r="AQ247" s="549"/>
      <c r="AR247" s="550"/>
      <c r="AS247" s="550"/>
      <c r="AT247" s="549"/>
      <c r="AU247" s="550"/>
      <c r="AV247" s="550"/>
      <c r="AW247" s="549"/>
      <c r="AX247" s="550"/>
      <c r="AY247" s="550"/>
      <c r="AZ247" s="549"/>
      <c r="BA247" s="550"/>
      <c r="BB247" s="550"/>
      <c r="BC247" s="550"/>
    </row>
    <row r="248" spans="1:55" s="519" customFormat="1">
      <c r="A248" s="531" t="str">
        <f t="shared" si="24"/>
        <v>AQ</v>
      </c>
      <c r="B248" s="50" t="str">
        <f t="shared" si="25"/>
        <v>SIPPM25</v>
      </c>
      <c r="C248" s="50" t="s">
        <v>261</v>
      </c>
      <c r="D248" s="532" t="s">
        <v>133</v>
      </c>
      <c r="E248" s="50" t="s">
        <v>52</v>
      </c>
      <c r="F248" s="535" t="str">
        <f>R.14CountyImpName4</f>
        <v xml:space="preserve"> </v>
      </c>
      <c r="G248" s="543">
        <f>R.14CountyImpHrs4</f>
        <v>0</v>
      </c>
      <c r="H248" s="544">
        <f>Table3[[#This Row],[Hrs Rank]]</f>
        <v>0</v>
      </c>
      <c r="I248" s="534">
        <f t="shared" si="22"/>
        <v>0</v>
      </c>
      <c r="J248" s="534">
        <f t="shared" si="23"/>
        <v>0</v>
      </c>
      <c r="K248" s="551"/>
      <c r="L248" s="551"/>
      <c r="M248" s="547" t="s">
        <v>223</v>
      </c>
      <c r="N248" s="547" t="s">
        <v>223</v>
      </c>
      <c r="O248" s="548"/>
      <c r="P248" s="549"/>
      <c r="Q248" s="550"/>
      <c r="R248" s="550"/>
      <c r="S248" s="549"/>
      <c r="T248" s="550"/>
      <c r="U248" s="550"/>
      <c r="V248" s="549"/>
      <c r="W248" s="550"/>
      <c r="X248" s="550"/>
      <c r="Y248" s="549"/>
      <c r="Z248" s="550"/>
      <c r="AA248" s="550"/>
      <c r="AB248" s="549"/>
      <c r="AC248" s="550"/>
      <c r="AD248" s="550"/>
      <c r="AE248" s="549"/>
      <c r="AF248" s="550"/>
      <c r="AG248" s="550"/>
      <c r="AH248" s="549"/>
      <c r="AI248" s="550"/>
      <c r="AJ248" s="550"/>
      <c r="AK248" s="549"/>
      <c r="AL248" s="550"/>
      <c r="AM248" s="550"/>
      <c r="AN248" s="549"/>
      <c r="AO248" s="550"/>
      <c r="AP248" s="550"/>
      <c r="AQ248" s="549"/>
      <c r="AR248" s="550"/>
      <c r="AS248" s="550"/>
      <c r="AT248" s="549"/>
      <c r="AU248" s="550"/>
      <c r="AV248" s="550"/>
      <c r="AW248" s="549"/>
      <c r="AX248" s="550"/>
      <c r="AY248" s="550"/>
      <c r="AZ248" s="549"/>
      <c r="BA248" s="550"/>
      <c r="BB248" s="550"/>
      <c r="BC248" s="550"/>
    </row>
    <row r="249" spans="1:55" s="519" customFormat="1">
      <c r="A249" s="531" t="str">
        <f t="shared" si="24"/>
        <v>AQ</v>
      </c>
      <c r="B249" s="50" t="str">
        <f t="shared" si="25"/>
        <v>SIPPM25</v>
      </c>
      <c r="C249" s="50" t="s">
        <v>261</v>
      </c>
      <c r="D249" s="532" t="s">
        <v>134</v>
      </c>
      <c r="E249" s="50" t="s">
        <v>53</v>
      </c>
      <c r="F249" s="535">
        <f>R.14DistrictsDevName1</f>
        <v>0</v>
      </c>
      <c r="G249" s="543">
        <f>R.14DistrictsDevHrs1</f>
        <v>0</v>
      </c>
      <c r="H249" s="544">
        <f>Table3[[#This Row],[Hrs Rank]]</f>
        <v>0</v>
      </c>
      <c r="I249" s="534">
        <f t="shared" si="22"/>
        <v>0</v>
      </c>
      <c r="J249" s="534">
        <f t="shared" si="23"/>
        <v>0</v>
      </c>
      <c r="K249" s="551"/>
      <c r="L249" s="551"/>
      <c r="M249" s="547" t="s">
        <v>223</v>
      </c>
      <c r="N249" s="547" t="s">
        <v>223</v>
      </c>
      <c r="O249" s="548"/>
      <c r="P249" s="549"/>
      <c r="Q249" s="550"/>
      <c r="R249" s="550"/>
      <c r="S249" s="549"/>
      <c r="T249" s="550"/>
      <c r="U249" s="550"/>
      <c r="V249" s="549"/>
      <c r="W249" s="550"/>
      <c r="X249" s="550"/>
      <c r="Y249" s="549"/>
      <c r="Z249" s="550"/>
      <c r="AA249" s="550"/>
      <c r="AB249" s="549"/>
      <c r="AC249" s="550"/>
      <c r="AD249" s="550"/>
      <c r="AE249" s="549"/>
      <c r="AF249" s="550"/>
      <c r="AG249" s="550"/>
      <c r="AH249" s="549"/>
      <c r="AI249" s="550"/>
      <c r="AJ249" s="550"/>
      <c r="AK249" s="549"/>
      <c r="AL249" s="550"/>
      <c r="AM249" s="550"/>
      <c r="AN249" s="549"/>
      <c r="AO249" s="550"/>
      <c r="AP249" s="550"/>
      <c r="AQ249" s="549"/>
      <c r="AR249" s="550"/>
      <c r="AS249" s="550"/>
      <c r="AT249" s="549"/>
      <c r="AU249" s="550"/>
      <c r="AV249" s="550"/>
      <c r="AW249" s="549"/>
      <c r="AX249" s="550"/>
      <c r="AY249" s="550"/>
      <c r="AZ249" s="549"/>
      <c r="BA249" s="550"/>
      <c r="BB249" s="550"/>
      <c r="BC249" s="550"/>
    </row>
    <row r="250" spans="1:55" s="519" customFormat="1">
      <c r="A250" s="531" t="str">
        <f t="shared" si="24"/>
        <v>AQ</v>
      </c>
      <c r="B250" s="50" t="str">
        <f t="shared" si="25"/>
        <v>SIPPM25</v>
      </c>
      <c r="C250" s="50" t="s">
        <v>261</v>
      </c>
      <c r="D250" s="532" t="s">
        <v>134</v>
      </c>
      <c r="E250" s="50" t="s">
        <v>53</v>
      </c>
      <c r="F250" s="535" t="str">
        <f>R.14DistrictsDevName2</f>
        <v xml:space="preserve"> </v>
      </c>
      <c r="G250" s="543">
        <f>R.14DistrictsDevHrs2</f>
        <v>0</v>
      </c>
      <c r="H250" s="544">
        <f>Table3[[#This Row],[Hrs Rank]]</f>
        <v>0</v>
      </c>
      <c r="I250" s="534">
        <f t="shared" si="22"/>
        <v>0</v>
      </c>
      <c r="J250" s="534">
        <f t="shared" si="23"/>
        <v>0</v>
      </c>
      <c r="K250" s="551"/>
      <c r="L250" s="551"/>
      <c r="M250" s="547" t="s">
        <v>223</v>
      </c>
      <c r="N250" s="547" t="s">
        <v>223</v>
      </c>
      <c r="O250" s="548"/>
      <c r="P250" s="549"/>
      <c r="Q250" s="550"/>
      <c r="R250" s="550"/>
      <c r="S250" s="549"/>
      <c r="T250" s="550"/>
      <c r="U250" s="550"/>
      <c r="V250" s="549"/>
      <c r="W250" s="550"/>
      <c r="X250" s="550"/>
      <c r="Y250" s="549"/>
      <c r="Z250" s="550"/>
      <c r="AA250" s="550"/>
      <c r="AB250" s="549"/>
      <c r="AC250" s="550"/>
      <c r="AD250" s="550"/>
      <c r="AE250" s="549"/>
      <c r="AF250" s="550"/>
      <c r="AG250" s="550"/>
      <c r="AH250" s="549"/>
      <c r="AI250" s="550"/>
      <c r="AJ250" s="550"/>
      <c r="AK250" s="549"/>
      <c r="AL250" s="550"/>
      <c r="AM250" s="550"/>
      <c r="AN250" s="549"/>
      <c r="AO250" s="550"/>
      <c r="AP250" s="550"/>
      <c r="AQ250" s="549"/>
      <c r="AR250" s="550"/>
      <c r="AS250" s="550"/>
      <c r="AT250" s="549"/>
      <c r="AU250" s="550"/>
      <c r="AV250" s="550"/>
      <c r="AW250" s="549"/>
      <c r="AX250" s="550"/>
      <c r="AY250" s="550"/>
      <c r="AZ250" s="549"/>
      <c r="BA250" s="550"/>
      <c r="BB250" s="550"/>
      <c r="BC250" s="550"/>
    </row>
    <row r="251" spans="1:55" s="519" customFormat="1">
      <c r="A251" s="531" t="str">
        <f t="shared" si="24"/>
        <v>AQ</v>
      </c>
      <c r="B251" s="50" t="str">
        <f t="shared" si="25"/>
        <v>SIPPM25</v>
      </c>
      <c r="C251" s="50" t="s">
        <v>261</v>
      </c>
      <c r="D251" s="532" t="s">
        <v>134</v>
      </c>
      <c r="E251" s="50" t="s">
        <v>53</v>
      </c>
      <c r="F251" s="535" t="str">
        <f>R.14DistrictsDevName3</f>
        <v xml:space="preserve"> </v>
      </c>
      <c r="G251" s="543">
        <f>R.14DistrictsDevHrs3</f>
        <v>0</v>
      </c>
      <c r="H251" s="544">
        <f>Table3[[#This Row],[Hrs Rank]]</f>
        <v>0</v>
      </c>
      <c r="I251" s="534">
        <f t="shared" si="22"/>
        <v>0</v>
      </c>
      <c r="J251" s="534">
        <f t="shared" si="23"/>
        <v>0</v>
      </c>
      <c r="K251" s="551"/>
      <c r="L251" s="551"/>
      <c r="M251" s="547" t="s">
        <v>223</v>
      </c>
      <c r="N251" s="547" t="s">
        <v>223</v>
      </c>
      <c r="O251" s="548"/>
      <c r="P251" s="549"/>
      <c r="Q251" s="550"/>
      <c r="R251" s="550"/>
      <c r="S251" s="549"/>
      <c r="T251" s="550"/>
      <c r="U251" s="550"/>
      <c r="V251" s="549"/>
      <c r="W251" s="550"/>
      <c r="X251" s="550"/>
      <c r="Y251" s="549"/>
      <c r="Z251" s="550"/>
      <c r="AA251" s="550"/>
      <c r="AB251" s="549"/>
      <c r="AC251" s="550"/>
      <c r="AD251" s="550"/>
      <c r="AE251" s="549"/>
      <c r="AF251" s="550"/>
      <c r="AG251" s="550"/>
      <c r="AH251" s="549"/>
      <c r="AI251" s="550"/>
      <c r="AJ251" s="550"/>
      <c r="AK251" s="549"/>
      <c r="AL251" s="550"/>
      <c r="AM251" s="550"/>
      <c r="AN251" s="549"/>
      <c r="AO251" s="550"/>
      <c r="AP251" s="550"/>
      <c r="AQ251" s="549"/>
      <c r="AR251" s="550"/>
      <c r="AS251" s="550"/>
      <c r="AT251" s="549"/>
      <c r="AU251" s="550"/>
      <c r="AV251" s="550"/>
      <c r="AW251" s="549"/>
      <c r="AX251" s="550"/>
      <c r="AY251" s="550"/>
      <c r="AZ251" s="549"/>
      <c r="BA251" s="550"/>
      <c r="BB251" s="550"/>
      <c r="BC251" s="550"/>
    </row>
    <row r="252" spans="1:55" s="519" customFormat="1">
      <c r="A252" s="531" t="str">
        <f t="shared" si="24"/>
        <v>AQ</v>
      </c>
      <c r="B252" s="50" t="str">
        <f t="shared" si="25"/>
        <v>SIPPM25</v>
      </c>
      <c r="C252" s="50" t="s">
        <v>261</v>
      </c>
      <c r="D252" s="532" t="s">
        <v>134</v>
      </c>
      <c r="E252" s="50" t="s">
        <v>53</v>
      </c>
      <c r="F252" s="535" t="str">
        <f>R.14DistrictsDevName4</f>
        <v xml:space="preserve"> </v>
      </c>
      <c r="G252" s="543">
        <f>R.14DistrictsDevHrs4</f>
        <v>0</v>
      </c>
      <c r="H252" s="544">
        <f>Table3[[#This Row],[Hrs Rank]]</f>
        <v>0</v>
      </c>
      <c r="I252" s="534">
        <f t="shared" si="22"/>
        <v>0</v>
      </c>
      <c r="J252" s="534">
        <f t="shared" si="23"/>
        <v>0</v>
      </c>
      <c r="K252" s="551"/>
      <c r="L252" s="551"/>
      <c r="M252" s="547" t="s">
        <v>223</v>
      </c>
      <c r="N252" s="547" t="s">
        <v>223</v>
      </c>
      <c r="O252" s="548"/>
      <c r="P252" s="549"/>
      <c r="Q252" s="550"/>
      <c r="R252" s="550"/>
      <c r="S252" s="549"/>
      <c r="T252" s="550"/>
      <c r="U252" s="550"/>
      <c r="V252" s="549"/>
      <c r="W252" s="550"/>
      <c r="X252" s="550"/>
      <c r="Y252" s="549"/>
      <c r="Z252" s="550"/>
      <c r="AA252" s="550"/>
      <c r="AB252" s="549"/>
      <c r="AC252" s="550"/>
      <c r="AD252" s="550"/>
      <c r="AE252" s="549"/>
      <c r="AF252" s="550"/>
      <c r="AG252" s="550"/>
      <c r="AH252" s="549"/>
      <c r="AI252" s="550"/>
      <c r="AJ252" s="550"/>
      <c r="AK252" s="549"/>
      <c r="AL252" s="550"/>
      <c r="AM252" s="550"/>
      <c r="AN252" s="549"/>
      <c r="AO252" s="550"/>
      <c r="AP252" s="550"/>
      <c r="AQ252" s="549"/>
      <c r="AR252" s="550"/>
      <c r="AS252" s="550"/>
      <c r="AT252" s="549"/>
      <c r="AU252" s="550"/>
      <c r="AV252" s="550"/>
      <c r="AW252" s="549"/>
      <c r="AX252" s="550"/>
      <c r="AY252" s="550"/>
      <c r="AZ252" s="549"/>
      <c r="BA252" s="550"/>
      <c r="BB252" s="550"/>
      <c r="BC252" s="550"/>
    </row>
    <row r="253" spans="1:55" s="519" customFormat="1">
      <c r="A253" s="531" t="str">
        <f t="shared" si="24"/>
        <v>AQ</v>
      </c>
      <c r="B253" s="50" t="str">
        <f t="shared" si="25"/>
        <v>SIPPM25</v>
      </c>
      <c r="C253" s="50" t="s">
        <v>261</v>
      </c>
      <c r="D253" s="532" t="s">
        <v>134</v>
      </c>
      <c r="E253" s="50" t="s">
        <v>52</v>
      </c>
      <c r="F253" s="535">
        <f>R.14DistrictsImpName1</f>
        <v>0</v>
      </c>
      <c r="G253" s="543">
        <f>R.14DistrictsImpHrs1</f>
        <v>0</v>
      </c>
      <c r="H253" s="544">
        <f>Table3[[#This Row],[Hrs Rank]]</f>
        <v>0</v>
      </c>
      <c r="I253" s="534">
        <f t="shared" si="22"/>
        <v>0</v>
      </c>
      <c r="J253" s="534">
        <f t="shared" si="23"/>
        <v>0</v>
      </c>
      <c r="K253" s="551"/>
      <c r="L253" s="551"/>
      <c r="M253" s="547" t="s">
        <v>223</v>
      </c>
      <c r="N253" s="547" t="s">
        <v>223</v>
      </c>
      <c r="O253" s="548"/>
      <c r="P253" s="549"/>
      <c r="Q253" s="550"/>
      <c r="R253" s="550"/>
      <c r="S253" s="549"/>
      <c r="T253" s="550"/>
      <c r="U253" s="550"/>
      <c r="V253" s="549"/>
      <c r="W253" s="550"/>
      <c r="X253" s="550"/>
      <c r="Y253" s="549"/>
      <c r="Z253" s="550"/>
      <c r="AA253" s="550"/>
      <c r="AB253" s="549"/>
      <c r="AC253" s="550"/>
      <c r="AD253" s="550"/>
      <c r="AE253" s="549"/>
      <c r="AF253" s="550"/>
      <c r="AG253" s="550"/>
      <c r="AH253" s="549"/>
      <c r="AI253" s="550"/>
      <c r="AJ253" s="550"/>
      <c r="AK253" s="549"/>
      <c r="AL253" s="550"/>
      <c r="AM253" s="550"/>
      <c r="AN253" s="549"/>
      <c r="AO253" s="550"/>
      <c r="AP253" s="550"/>
      <c r="AQ253" s="549"/>
      <c r="AR253" s="550"/>
      <c r="AS253" s="550"/>
      <c r="AT253" s="549"/>
      <c r="AU253" s="550"/>
      <c r="AV253" s="550"/>
      <c r="AW253" s="549"/>
      <c r="AX253" s="550"/>
      <c r="AY253" s="550"/>
      <c r="AZ253" s="549"/>
      <c r="BA253" s="550"/>
      <c r="BB253" s="550"/>
      <c r="BC253" s="550"/>
    </row>
    <row r="254" spans="1:55" s="519" customFormat="1">
      <c r="A254" s="531" t="str">
        <f t="shared" si="24"/>
        <v>AQ</v>
      </c>
      <c r="B254" s="50" t="str">
        <f t="shared" si="25"/>
        <v>SIPPM25</v>
      </c>
      <c r="C254" s="50" t="s">
        <v>261</v>
      </c>
      <c r="D254" s="532" t="s">
        <v>134</v>
      </c>
      <c r="E254" s="50" t="s">
        <v>52</v>
      </c>
      <c r="F254" s="535" t="str">
        <f>R.14DistrictsImpName2</f>
        <v xml:space="preserve"> </v>
      </c>
      <c r="G254" s="543">
        <f>R.14DistrictsImpHrs2</f>
        <v>0</v>
      </c>
      <c r="H254" s="544">
        <f>Table3[[#This Row],[Hrs Rank]]</f>
        <v>0</v>
      </c>
      <c r="I254" s="534">
        <f t="shared" si="22"/>
        <v>0</v>
      </c>
      <c r="J254" s="534">
        <f t="shared" si="23"/>
        <v>0</v>
      </c>
      <c r="K254" s="551"/>
      <c r="L254" s="551"/>
      <c r="M254" s="547" t="s">
        <v>223</v>
      </c>
      <c r="N254" s="547" t="s">
        <v>223</v>
      </c>
      <c r="O254" s="548"/>
      <c r="P254" s="549"/>
      <c r="Q254" s="550"/>
      <c r="R254" s="550"/>
      <c r="S254" s="549"/>
      <c r="T254" s="550"/>
      <c r="U254" s="550"/>
      <c r="V254" s="549"/>
      <c r="W254" s="550"/>
      <c r="X254" s="550"/>
      <c r="Y254" s="549"/>
      <c r="Z254" s="550"/>
      <c r="AA254" s="550"/>
      <c r="AB254" s="549"/>
      <c r="AC254" s="550"/>
      <c r="AD254" s="550"/>
      <c r="AE254" s="549"/>
      <c r="AF254" s="550"/>
      <c r="AG254" s="550"/>
      <c r="AH254" s="549"/>
      <c r="AI254" s="550"/>
      <c r="AJ254" s="550"/>
      <c r="AK254" s="549"/>
      <c r="AL254" s="550"/>
      <c r="AM254" s="550"/>
      <c r="AN254" s="549"/>
      <c r="AO254" s="550"/>
      <c r="AP254" s="550"/>
      <c r="AQ254" s="549"/>
      <c r="AR254" s="550"/>
      <c r="AS254" s="550"/>
      <c r="AT254" s="549"/>
      <c r="AU254" s="550"/>
      <c r="AV254" s="550"/>
      <c r="AW254" s="549"/>
      <c r="AX254" s="550"/>
      <c r="AY254" s="550"/>
      <c r="AZ254" s="549"/>
      <c r="BA254" s="550"/>
      <c r="BB254" s="550"/>
      <c r="BC254" s="550"/>
    </row>
    <row r="255" spans="1:55" s="519" customFormat="1">
      <c r="A255" s="531" t="str">
        <f t="shared" ref="A255:A286" si="26">R.1Division</f>
        <v>AQ</v>
      </c>
      <c r="B255" s="50" t="str">
        <f t="shared" ref="B255:B286" si="27">R.1CodeName</f>
        <v>SIPPM25</v>
      </c>
      <c r="C255" s="50" t="s">
        <v>261</v>
      </c>
      <c r="D255" s="532" t="s">
        <v>134</v>
      </c>
      <c r="E255" s="50" t="s">
        <v>52</v>
      </c>
      <c r="F255" s="535" t="str">
        <f>R.14DistrictsImpName3</f>
        <v xml:space="preserve"> </v>
      </c>
      <c r="G255" s="543">
        <f>R.14DistrictsImpHrs3</f>
        <v>0</v>
      </c>
      <c r="H255" s="544">
        <f>Table3[[#This Row],[Hrs Rank]]</f>
        <v>0</v>
      </c>
      <c r="I255" s="534">
        <f t="shared" si="22"/>
        <v>0</v>
      </c>
      <c r="J255" s="534">
        <f t="shared" si="23"/>
        <v>0</v>
      </c>
      <c r="K255" s="551"/>
      <c r="L255" s="551"/>
      <c r="M255" s="547" t="s">
        <v>223</v>
      </c>
      <c r="N255" s="547" t="s">
        <v>223</v>
      </c>
      <c r="O255" s="548"/>
      <c r="P255" s="549"/>
      <c r="Q255" s="550"/>
      <c r="R255" s="550"/>
      <c r="S255" s="549"/>
      <c r="T255" s="550"/>
      <c r="U255" s="550"/>
      <c r="V255" s="549"/>
      <c r="W255" s="550"/>
      <c r="X255" s="550"/>
      <c r="Y255" s="549"/>
      <c r="Z255" s="550"/>
      <c r="AA255" s="550"/>
      <c r="AB255" s="549"/>
      <c r="AC255" s="550"/>
      <c r="AD255" s="550"/>
      <c r="AE255" s="549"/>
      <c r="AF255" s="550"/>
      <c r="AG255" s="550"/>
      <c r="AH255" s="549"/>
      <c r="AI255" s="550"/>
      <c r="AJ255" s="550"/>
      <c r="AK255" s="549"/>
      <c r="AL255" s="550"/>
      <c r="AM255" s="550"/>
      <c r="AN255" s="549"/>
      <c r="AO255" s="550"/>
      <c r="AP255" s="550"/>
      <c r="AQ255" s="549"/>
      <c r="AR255" s="550"/>
      <c r="AS255" s="550"/>
      <c r="AT255" s="549"/>
      <c r="AU255" s="550"/>
      <c r="AV255" s="550"/>
      <c r="AW255" s="549"/>
      <c r="AX255" s="550"/>
      <c r="AY255" s="550"/>
      <c r="AZ255" s="549"/>
      <c r="BA255" s="550"/>
      <c r="BB255" s="550"/>
      <c r="BC255" s="550"/>
    </row>
    <row r="256" spans="1:55" s="519" customFormat="1">
      <c r="A256" s="531" t="str">
        <f t="shared" si="26"/>
        <v>AQ</v>
      </c>
      <c r="B256" s="50" t="str">
        <f t="shared" si="27"/>
        <v>SIPPM25</v>
      </c>
      <c r="C256" s="50" t="s">
        <v>261</v>
      </c>
      <c r="D256" s="532" t="s">
        <v>134</v>
      </c>
      <c r="E256" s="50" t="s">
        <v>52</v>
      </c>
      <c r="F256" s="535" t="str">
        <f>R.14DistrictsImpName4</f>
        <v xml:space="preserve"> </v>
      </c>
      <c r="G256" s="543">
        <f>R.14DistrictsImpHrs4</f>
        <v>0</v>
      </c>
      <c r="H256" s="544">
        <f>Table3[[#This Row],[Hrs Rank]]</f>
        <v>0</v>
      </c>
      <c r="I256" s="534">
        <f t="shared" si="22"/>
        <v>0</v>
      </c>
      <c r="J256" s="534">
        <f t="shared" si="23"/>
        <v>0</v>
      </c>
      <c r="K256" s="551"/>
      <c r="L256" s="551"/>
      <c r="M256" s="547" t="s">
        <v>223</v>
      </c>
      <c r="N256" s="547" t="s">
        <v>223</v>
      </c>
      <c r="O256" s="548"/>
      <c r="P256" s="549"/>
      <c r="Q256" s="550"/>
      <c r="R256" s="550"/>
      <c r="S256" s="549"/>
      <c r="T256" s="550"/>
      <c r="U256" s="550"/>
      <c r="V256" s="549"/>
      <c r="W256" s="550"/>
      <c r="X256" s="550"/>
      <c r="Y256" s="549"/>
      <c r="Z256" s="550"/>
      <c r="AA256" s="550"/>
      <c r="AB256" s="549"/>
      <c r="AC256" s="550"/>
      <c r="AD256" s="550"/>
      <c r="AE256" s="549"/>
      <c r="AF256" s="550"/>
      <c r="AG256" s="550"/>
      <c r="AH256" s="549"/>
      <c r="AI256" s="550"/>
      <c r="AJ256" s="550"/>
      <c r="AK256" s="549"/>
      <c r="AL256" s="550"/>
      <c r="AM256" s="550"/>
      <c r="AN256" s="549"/>
      <c r="AO256" s="550"/>
      <c r="AP256" s="550"/>
      <c r="AQ256" s="549"/>
      <c r="AR256" s="550"/>
      <c r="AS256" s="550"/>
      <c r="AT256" s="549"/>
      <c r="AU256" s="550"/>
      <c r="AV256" s="550"/>
      <c r="AW256" s="549"/>
      <c r="AX256" s="550"/>
      <c r="AY256" s="550"/>
      <c r="AZ256" s="549"/>
      <c r="BA256" s="550"/>
      <c r="BB256" s="550"/>
      <c r="BC256" s="550"/>
    </row>
    <row r="257" spans="1:55" s="519" customFormat="1">
      <c r="A257" s="531" t="str">
        <f t="shared" si="26"/>
        <v>AQ</v>
      </c>
      <c r="B257" s="50" t="str">
        <f t="shared" si="27"/>
        <v>SIPPM25</v>
      </c>
      <c r="C257" s="50" t="s">
        <v>261</v>
      </c>
      <c r="D257" s="532" t="s">
        <v>270</v>
      </c>
      <c r="E257" s="50" t="s">
        <v>53</v>
      </c>
      <c r="F257" s="535" t="str">
        <f>R.14TribeDevName1</f>
        <v>Christine Svetkovich</v>
      </c>
      <c r="G257" s="543">
        <f>R.14TribeDevHrs1</f>
        <v>0</v>
      </c>
      <c r="H257" s="544">
        <f>Table3[[#This Row],[Hrs Rank]]</f>
        <v>0</v>
      </c>
      <c r="I257" s="534">
        <f t="shared" si="22"/>
        <v>0</v>
      </c>
      <c r="J257" s="534">
        <f t="shared" si="23"/>
        <v>0</v>
      </c>
      <c r="K257" s="551"/>
      <c r="L257" s="551"/>
      <c r="M257" s="547" t="s">
        <v>223</v>
      </c>
      <c r="N257" s="547" t="s">
        <v>223</v>
      </c>
      <c r="O257" s="548"/>
      <c r="P257" s="549"/>
      <c r="Q257" s="550"/>
      <c r="R257" s="550"/>
      <c r="S257" s="549"/>
      <c r="T257" s="550"/>
      <c r="U257" s="550"/>
      <c r="V257" s="549"/>
      <c r="W257" s="550"/>
      <c r="X257" s="550"/>
      <c r="Y257" s="549"/>
      <c r="Z257" s="550"/>
      <c r="AA257" s="550"/>
      <c r="AB257" s="549"/>
      <c r="AC257" s="550"/>
      <c r="AD257" s="550"/>
      <c r="AE257" s="549"/>
      <c r="AF257" s="550"/>
      <c r="AG257" s="550"/>
      <c r="AH257" s="549"/>
      <c r="AI257" s="550"/>
      <c r="AJ257" s="550"/>
      <c r="AK257" s="549"/>
      <c r="AL257" s="550"/>
      <c r="AM257" s="550"/>
      <c r="AN257" s="549"/>
      <c r="AO257" s="550"/>
      <c r="AP257" s="550"/>
      <c r="AQ257" s="549"/>
      <c r="AR257" s="550"/>
      <c r="AS257" s="550"/>
      <c r="AT257" s="549"/>
      <c r="AU257" s="550"/>
      <c r="AV257" s="550"/>
      <c r="AW257" s="549"/>
      <c r="AX257" s="550"/>
      <c r="AY257" s="550"/>
      <c r="AZ257" s="549"/>
      <c r="BA257" s="550"/>
      <c r="BB257" s="550"/>
      <c r="BC257" s="550"/>
    </row>
    <row r="258" spans="1:55" s="519" customFormat="1">
      <c r="A258" s="531" t="str">
        <f t="shared" si="26"/>
        <v>AQ</v>
      </c>
      <c r="B258" s="50" t="str">
        <f t="shared" si="27"/>
        <v>SIPPM25</v>
      </c>
      <c r="C258" s="50" t="s">
        <v>261</v>
      </c>
      <c r="D258" s="532" t="s">
        <v>270</v>
      </c>
      <c r="E258" s="50" t="s">
        <v>53</v>
      </c>
      <c r="F258" s="535" t="str">
        <f>R.14TribeDevName2</f>
        <v xml:space="preserve"> </v>
      </c>
      <c r="G258" s="543">
        <f>R.14TribeDevHrs2</f>
        <v>0</v>
      </c>
      <c r="H258" s="544">
        <f>Table3[[#This Row],[Hrs Rank]]</f>
        <v>0</v>
      </c>
      <c r="I258" s="534">
        <f t="shared" si="22"/>
        <v>0</v>
      </c>
      <c r="J258" s="534">
        <f t="shared" si="23"/>
        <v>0</v>
      </c>
      <c r="K258" s="551"/>
      <c r="L258" s="551"/>
      <c r="M258" s="547" t="s">
        <v>223</v>
      </c>
      <c r="N258" s="547" t="s">
        <v>223</v>
      </c>
      <c r="O258" s="548"/>
      <c r="P258" s="549"/>
      <c r="Q258" s="550"/>
      <c r="R258" s="550"/>
      <c r="S258" s="549"/>
      <c r="T258" s="550"/>
      <c r="U258" s="550"/>
      <c r="V258" s="549"/>
      <c r="W258" s="550"/>
      <c r="X258" s="550"/>
      <c r="Y258" s="549"/>
      <c r="Z258" s="550"/>
      <c r="AA258" s="550"/>
      <c r="AB258" s="549"/>
      <c r="AC258" s="550"/>
      <c r="AD258" s="550"/>
      <c r="AE258" s="549"/>
      <c r="AF258" s="550"/>
      <c r="AG258" s="550"/>
      <c r="AH258" s="549"/>
      <c r="AI258" s="550"/>
      <c r="AJ258" s="550"/>
      <c r="AK258" s="549"/>
      <c r="AL258" s="550"/>
      <c r="AM258" s="550"/>
      <c r="AN258" s="549"/>
      <c r="AO258" s="550"/>
      <c r="AP258" s="550"/>
      <c r="AQ258" s="549"/>
      <c r="AR258" s="550"/>
      <c r="AS258" s="550"/>
      <c r="AT258" s="549"/>
      <c r="AU258" s="550"/>
      <c r="AV258" s="550"/>
      <c r="AW258" s="549"/>
      <c r="AX258" s="550"/>
      <c r="AY258" s="550"/>
      <c r="AZ258" s="549"/>
      <c r="BA258" s="550"/>
      <c r="BB258" s="550"/>
      <c r="BC258" s="550"/>
    </row>
    <row r="259" spans="1:55" s="519" customFormat="1">
      <c r="A259" s="531" t="str">
        <f t="shared" si="26"/>
        <v>AQ</v>
      </c>
      <c r="B259" s="50" t="str">
        <f t="shared" si="27"/>
        <v>SIPPM25</v>
      </c>
      <c r="C259" s="50" t="s">
        <v>261</v>
      </c>
      <c r="D259" s="532" t="s">
        <v>270</v>
      </c>
      <c r="E259" s="50" t="s">
        <v>53</v>
      </c>
      <c r="F259" s="535" t="str">
        <f>R.14TribeDevName3</f>
        <v xml:space="preserve"> </v>
      </c>
      <c r="G259" s="543">
        <f>R.14TribeDevHrs3</f>
        <v>0</v>
      </c>
      <c r="H259" s="544">
        <f>Table3[[#This Row],[Hrs Rank]]</f>
        <v>0</v>
      </c>
      <c r="I259" s="534">
        <f t="shared" ref="I259:I296" si="28">IF(ISNA(VLOOKUP($H259,R.VL_DEQResourceHours,2,FALSE)),0,VLOOKUP($H259,R.VL_DEQResourceHours,2,FALSE))</f>
        <v>0</v>
      </c>
      <c r="J259" s="534">
        <f t="shared" ref="J259:J296" si="29">IF(ISNA(VLOOKUP($H259,R.VL_DEQResourceHours,3,FALSE)),0,VLOOKUP($H259,R.VL_DEQResourceHours,3,FALSE))</f>
        <v>0</v>
      </c>
      <c r="K259" s="551"/>
      <c r="L259" s="551"/>
      <c r="M259" s="547" t="s">
        <v>223</v>
      </c>
      <c r="N259" s="547" t="s">
        <v>223</v>
      </c>
      <c r="O259" s="548"/>
      <c r="P259" s="549"/>
      <c r="Q259" s="550"/>
      <c r="R259" s="550"/>
      <c r="S259" s="549"/>
      <c r="T259" s="550"/>
      <c r="U259" s="550"/>
      <c r="V259" s="549"/>
      <c r="W259" s="550"/>
      <c r="X259" s="550"/>
      <c r="Y259" s="549"/>
      <c r="Z259" s="550"/>
      <c r="AA259" s="550"/>
      <c r="AB259" s="549"/>
      <c r="AC259" s="550"/>
      <c r="AD259" s="550"/>
      <c r="AE259" s="549"/>
      <c r="AF259" s="550"/>
      <c r="AG259" s="550"/>
      <c r="AH259" s="549"/>
      <c r="AI259" s="550"/>
      <c r="AJ259" s="550"/>
      <c r="AK259" s="549"/>
      <c r="AL259" s="550"/>
      <c r="AM259" s="550"/>
      <c r="AN259" s="549"/>
      <c r="AO259" s="550"/>
      <c r="AP259" s="550"/>
      <c r="AQ259" s="549"/>
      <c r="AR259" s="550"/>
      <c r="AS259" s="550"/>
      <c r="AT259" s="549"/>
      <c r="AU259" s="550"/>
      <c r="AV259" s="550"/>
      <c r="AW259" s="549"/>
      <c r="AX259" s="550"/>
      <c r="AY259" s="550"/>
      <c r="AZ259" s="549"/>
      <c r="BA259" s="550"/>
      <c r="BB259" s="550"/>
      <c r="BC259" s="550"/>
    </row>
    <row r="260" spans="1:55" s="519" customFormat="1">
      <c r="A260" s="531" t="str">
        <f t="shared" si="26"/>
        <v>AQ</v>
      </c>
      <c r="B260" s="50" t="str">
        <f t="shared" si="27"/>
        <v>SIPPM25</v>
      </c>
      <c r="C260" s="50" t="s">
        <v>261</v>
      </c>
      <c r="D260" s="532" t="s">
        <v>270</v>
      </c>
      <c r="E260" s="50" t="s">
        <v>53</v>
      </c>
      <c r="F260" s="535" t="str">
        <f>R.14TribeDevName4</f>
        <v xml:space="preserve"> </v>
      </c>
      <c r="G260" s="543">
        <f>R.14TribeDevHrs4</f>
        <v>0</v>
      </c>
      <c r="H260" s="544">
        <f>Table3[[#This Row],[Hrs Rank]]</f>
        <v>0</v>
      </c>
      <c r="I260" s="534">
        <f t="shared" si="28"/>
        <v>0</v>
      </c>
      <c r="J260" s="534">
        <f t="shared" si="29"/>
        <v>0</v>
      </c>
      <c r="K260" s="551"/>
      <c r="L260" s="551"/>
      <c r="M260" s="547" t="s">
        <v>223</v>
      </c>
      <c r="N260" s="547" t="s">
        <v>223</v>
      </c>
      <c r="O260" s="548"/>
      <c r="P260" s="549"/>
      <c r="Q260" s="550"/>
      <c r="R260" s="550"/>
      <c r="S260" s="549"/>
      <c r="T260" s="550"/>
      <c r="U260" s="550"/>
      <c r="V260" s="549"/>
      <c r="W260" s="550"/>
      <c r="X260" s="550"/>
      <c r="Y260" s="549"/>
      <c r="Z260" s="550"/>
      <c r="AA260" s="550"/>
      <c r="AB260" s="549"/>
      <c r="AC260" s="550"/>
      <c r="AD260" s="550"/>
      <c r="AE260" s="549"/>
      <c r="AF260" s="550"/>
      <c r="AG260" s="550"/>
      <c r="AH260" s="549"/>
      <c r="AI260" s="550"/>
      <c r="AJ260" s="550"/>
      <c r="AK260" s="549"/>
      <c r="AL260" s="550"/>
      <c r="AM260" s="550"/>
      <c r="AN260" s="549"/>
      <c r="AO260" s="550"/>
      <c r="AP260" s="550"/>
      <c r="AQ260" s="549"/>
      <c r="AR260" s="550"/>
      <c r="AS260" s="550"/>
      <c r="AT260" s="549"/>
      <c r="AU260" s="550"/>
      <c r="AV260" s="550"/>
      <c r="AW260" s="549"/>
      <c r="AX260" s="550"/>
      <c r="AY260" s="550"/>
      <c r="AZ260" s="549"/>
      <c r="BA260" s="550"/>
      <c r="BB260" s="550"/>
      <c r="BC260" s="550"/>
    </row>
    <row r="261" spans="1:55" s="519" customFormat="1">
      <c r="A261" s="531" t="str">
        <f t="shared" si="26"/>
        <v>AQ</v>
      </c>
      <c r="B261" s="50" t="str">
        <f t="shared" si="27"/>
        <v>SIPPM25</v>
      </c>
      <c r="C261" s="50" t="s">
        <v>261</v>
      </c>
      <c r="D261" s="532" t="s">
        <v>270</v>
      </c>
      <c r="E261" s="50" t="s">
        <v>52</v>
      </c>
      <c r="F261" s="535">
        <f>R.14TribeImpName1</f>
        <v>0</v>
      </c>
      <c r="G261" s="543">
        <f>R.14TribeImpHrs1</f>
        <v>0</v>
      </c>
      <c r="H261" s="544">
        <f>Table3[[#This Row],[Hrs Rank]]</f>
        <v>0</v>
      </c>
      <c r="I261" s="534">
        <f t="shared" si="28"/>
        <v>0</v>
      </c>
      <c r="J261" s="534">
        <f t="shared" si="29"/>
        <v>0</v>
      </c>
      <c r="K261" s="551"/>
      <c r="L261" s="551"/>
      <c r="M261" s="547" t="s">
        <v>223</v>
      </c>
      <c r="N261" s="547" t="s">
        <v>223</v>
      </c>
      <c r="O261" s="548"/>
      <c r="P261" s="549"/>
      <c r="Q261" s="550"/>
      <c r="R261" s="550"/>
      <c r="S261" s="549"/>
      <c r="T261" s="550"/>
      <c r="U261" s="550"/>
      <c r="V261" s="549"/>
      <c r="W261" s="550"/>
      <c r="X261" s="550"/>
      <c r="Y261" s="549"/>
      <c r="Z261" s="550"/>
      <c r="AA261" s="550"/>
      <c r="AB261" s="549"/>
      <c r="AC261" s="550"/>
      <c r="AD261" s="550"/>
      <c r="AE261" s="549"/>
      <c r="AF261" s="550"/>
      <c r="AG261" s="550"/>
      <c r="AH261" s="549"/>
      <c r="AI261" s="550"/>
      <c r="AJ261" s="550"/>
      <c r="AK261" s="549"/>
      <c r="AL261" s="550"/>
      <c r="AM261" s="550"/>
      <c r="AN261" s="549"/>
      <c r="AO261" s="550"/>
      <c r="AP261" s="550"/>
      <c r="AQ261" s="549"/>
      <c r="AR261" s="550"/>
      <c r="AS261" s="550"/>
      <c r="AT261" s="549"/>
      <c r="AU261" s="550"/>
      <c r="AV261" s="550"/>
      <c r="AW261" s="549"/>
      <c r="AX261" s="550"/>
      <c r="AY261" s="550"/>
      <c r="AZ261" s="549"/>
      <c r="BA261" s="550"/>
      <c r="BB261" s="550"/>
      <c r="BC261" s="550"/>
    </row>
    <row r="262" spans="1:55" s="519" customFormat="1">
      <c r="A262" s="531" t="str">
        <f t="shared" si="26"/>
        <v>AQ</v>
      </c>
      <c r="B262" s="50" t="str">
        <f t="shared" si="27"/>
        <v>SIPPM25</v>
      </c>
      <c r="C262" s="50" t="s">
        <v>261</v>
      </c>
      <c r="D262" s="532" t="s">
        <v>270</v>
      </c>
      <c r="E262" s="50" t="s">
        <v>52</v>
      </c>
      <c r="F262" s="535" t="str">
        <f>R.14TribeImpName2</f>
        <v xml:space="preserve"> </v>
      </c>
      <c r="G262" s="543">
        <f>R.14TribeImpHrs2</f>
        <v>0</v>
      </c>
      <c r="H262" s="544">
        <f>Table3[[#This Row],[Hrs Rank]]</f>
        <v>0</v>
      </c>
      <c r="I262" s="534">
        <f t="shared" si="28"/>
        <v>0</v>
      </c>
      <c r="J262" s="534">
        <f t="shared" si="29"/>
        <v>0</v>
      </c>
      <c r="K262" s="551"/>
      <c r="L262" s="551"/>
      <c r="M262" s="547" t="s">
        <v>223</v>
      </c>
      <c r="N262" s="547" t="s">
        <v>223</v>
      </c>
      <c r="O262" s="548"/>
      <c r="P262" s="549"/>
      <c r="Q262" s="550"/>
      <c r="R262" s="550"/>
      <c r="S262" s="549"/>
      <c r="T262" s="550"/>
      <c r="U262" s="550"/>
      <c r="V262" s="549"/>
      <c r="W262" s="550"/>
      <c r="X262" s="550"/>
      <c r="Y262" s="549"/>
      <c r="Z262" s="550"/>
      <c r="AA262" s="550"/>
      <c r="AB262" s="549"/>
      <c r="AC262" s="550"/>
      <c r="AD262" s="550"/>
      <c r="AE262" s="549"/>
      <c r="AF262" s="550"/>
      <c r="AG262" s="550"/>
      <c r="AH262" s="549"/>
      <c r="AI262" s="550"/>
      <c r="AJ262" s="550"/>
      <c r="AK262" s="549"/>
      <c r="AL262" s="550"/>
      <c r="AM262" s="550"/>
      <c r="AN262" s="549"/>
      <c r="AO262" s="550"/>
      <c r="AP262" s="550"/>
      <c r="AQ262" s="549"/>
      <c r="AR262" s="550"/>
      <c r="AS262" s="550"/>
      <c r="AT262" s="549"/>
      <c r="AU262" s="550"/>
      <c r="AV262" s="550"/>
      <c r="AW262" s="549"/>
      <c r="AX262" s="550"/>
      <c r="AY262" s="550"/>
      <c r="AZ262" s="549"/>
      <c r="BA262" s="550"/>
      <c r="BB262" s="550"/>
      <c r="BC262" s="550"/>
    </row>
    <row r="263" spans="1:55" s="519" customFormat="1">
      <c r="A263" s="531" t="str">
        <f t="shared" si="26"/>
        <v>AQ</v>
      </c>
      <c r="B263" s="50" t="str">
        <f t="shared" si="27"/>
        <v>SIPPM25</v>
      </c>
      <c r="C263" s="50" t="s">
        <v>261</v>
      </c>
      <c r="D263" s="532" t="s">
        <v>270</v>
      </c>
      <c r="E263" s="50" t="s">
        <v>52</v>
      </c>
      <c r="F263" s="535" t="str">
        <f>R.14TribeImpName3</f>
        <v xml:space="preserve"> </v>
      </c>
      <c r="G263" s="543">
        <f>R.14TribeImpHrs3</f>
        <v>0</v>
      </c>
      <c r="H263" s="544">
        <f>Table3[[#This Row],[Hrs Rank]]</f>
        <v>0</v>
      </c>
      <c r="I263" s="534">
        <f t="shared" si="28"/>
        <v>0</v>
      </c>
      <c r="J263" s="534">
        <f t="shared" si="29"/>
        <v>0</v>
      </c>
      <c r="K263" s="551"/>
      <c r="L263" s="551"/>
      <c r="M263" s="547" t="s">
        <v>223</v>
      </c>
      <c r="N263" s="547" t="s">
        <v>223</v>
      </c>
      <c r="O263" s="548"/>
      <c r="P263" s="549"/>
      <c r="Q263" s="550"/>
      <c r="R263" s="550"/>
      <c r="S263" s="549"/>
      <c r="T263" s="550"/>
      <c r="U263" s="550"/>
      <c r="V263" s="549"/>
      <c r="W263" s="550"/>
      <c r="X263" s="550"/>
      <c r="Y263" s="549"/>
      <c r="Z263" s="550"/>
      <c r="AA263" s="550"/>
      <c r="AB263" s="549"/>
      <c r="AC263" s="550"/>
      <c r="AD263" s="550"/>
      <c r="AE263" s="549"/>
      <c r="AF263" s="550"/>
      <c r="AG263" s="550"/>
      <c r="AH263" s="549"/>
      <c r="AI263" s="550"/>
      <c r="AJ263" s="550"/>
      <c r="AK263" s="549"/>
      <c r="AL263" s="550"/>
      <c r="AM263" s="550"/>
      <c r="AN263" s="549"/>
      <c r="AO263" s="550"/>
      <c r="AP263" s="550"/>
      <c r="AQ263" s="549"/>
      <c r="AR263" s="550"/>
      <c r="AS263" s="550"/>
      <c r="AT263" s="549"/>
      <c r="AU263" s="550"/>
      <c r="AV263" s="550"/>
      <c r="AW263" s="549"/>
      <c r="AX263" s="550"/>
      <c r="AY263" s="550"/>
      <c r="AZ263" s="549"/>
      <c r="BA263" s="550"/>
      <c r="BB263" s="550"/>
      <c r="BC263" s="550"/>
    </row>
    <row r="264" spans="1:55" s="519" customFormat="1">
      <c r="A264" s="531" t="str">
        <f t="shared" si="26"/>
        <v>AQ</v>
      </c>
      <c r="B264" s="50" t="str">
        <f t="shared" si="27"/>
        <v>SIPPM25</v>
      </c>
      <c r="C264" s="50" t="s">
        <v>261</v>
      </c>
      <c r="D264" s="532" t="s">
        <v>270</v>
      </c>
      <c r="E264" s="50" t="s">
        <v>52</v>
      </c>
      <c r="F264" s="535" t="str">
        <f>R.14TribeImpName4</f>
        <v xml:space="preserve"> </v>
      </c>
      <c r="G264" s="543">
        <f>R.14TribeImpHrs4</f>
        <v>0</v>
      </c>
      <c r="H264" s="544">
        <f>Table3[[#This Row],[Hrs Rank]]</f>
        <v>0</v>
      </c>
      <c r="I264" s="534">
        <f t="shared" si="28"/>
        <v>0</v>
      </c>
      <c r="J264" s="534">
        <f t="shared" si="29"/>
        <v>0</v>
      </c>
      <c r="K264" s="551"/>
      <c r="L264" s="551"/>
      <c r="M264" s="547" t="s">
        <v>223</v>
      </c>
      <c r="N264" s="547" t="s">
        <v>223</v>
      </c>
      <c r="O264" s="548"/>
      <c r="P264" s="549"/>
      <c r="Q264" s="550"/>
      <c r="R264" s="550"/>
      <c r="S264" s="549"/>
      <c r="T264" s="550"/>
      <c r="U264" s="550"/>
      <c r="V264" s="549"/>
      <c r="W264" s="550"/>
      <c r="X264" s="550"/>
      <c r="Y264" s="549"/>
      <c r="Z264" s="550"/>
      <c r="AA264" s="550"/>
      <c r="AB264" s="549"/>
      <c r="AC264" s="550"/>
      <c r="AD264" s="550"/>
      <c r="AE264" s="549"/>
      <c r="AF264" s="550"/>
      <c r="AG264" s="550"/>
      <c r="AH264" s="549"/>
      <c r="AI264" s="550"/>
      <c r="AJ264" s="550"/>
      <c r="AK264" s="549"/>
      <c r="AL264" s="550"/>
      <c r="AM264" s="550"/>
      <c r="AN264" s="549"/>
      <c r="AO264" s="550"/>
      <c r="AP264" s="550"/>
      <c r="AQ264" s="549"/>
      <c r="AR264" s="550"/>
      <c r="AS264" s="550"/>
      <c r="AT264" s="549"/>
      <c r="AU264" s="550"/>
      <c r="AV264" s="550"/>
      <c r="AW264" s="549"/>
      <c r="AX264" s="550"/>
      <c r="AY264" s="550"/>
      <c r="AZ264" s="549"/>
      <c r="BA264" s="550"/>
      <c r="BB264" s="550"/>
      <c r="BC264" s="550"/>
    </row>
    <row r="265" spans="1:55" s="519" customFormat="1" hidden="1">
      <c r="A265" s="531" t="str">
        <f t="shared" si="26"/>
        <v>AQ</v>
      </c>
      <c r="B265" s="50" t="str">
        <f t="shared" si="27"/>
        <v>SIPPM25</v>
      </c>
      <c r="C265" s="50" t="s">
        <v>262</v>
      </c>
      <c r="D265" s="532" t="str">
        <f>'15CustomParticipants'!D$9</f>
        <v>Enter custom role 1</v>
      </c>
      <c r="E265" s="50" t="s">
        <v>53</v>
      </c>
      <c r="F265" s="535" t="str">
        <f t="shared" ref="F265:F280" si="30">R.3PAname</f>
        <v>not applicable</v>
      </c>
      <c r="G265" s="543"/>
      <c r="H265" s="544">
        <f>Table3[[#This Row],[Hrs Rank]]</f>
        <v>0</v>
      </c>
      <c r="I265" s="534">
        <f t="shared" si="28"/>
        <v>0</v>
      </c>
      <c r="J265" s="534">
        <f t="shared" si="29"/>
        <v>0</v>
      </c>
      <c r="K265" s="551"/>
      <c r="L265" s="551"/>
      <c r="M265" s="547" t="s">
        <v>223</v>
      </c>
      <c r="N265" s="547" t="s">
        <v>223</v>
      </c>
      <c r="O265" s="548"/>
      <c r="P265" s="549"/>
      <c r="Q265" s="550"/>
      <c r="R265" s="550"/>
      <c r="S265" s="549"/>
      <c r="T265" s="550"/>
      <c r="U265" s="550"/>
      <c r="V265" s="549"/>
      <c r="W265" s="550"/>
      <c r="X265" s="550"/>
      <c r="Y265" s="549"/>
      <c r="Z265" s="550"/>
      <c r="AA265" s="550"/>
      <c r="AB265" s="549"/>
      <c r="AC265" s="550"/>
      <c r="AD265" s="550"/>
      <c r="AE265" s="549"/>
      <c r="AF265" s="550"/>
      <c r="AG265" s="550"/>
      <c r="AH265" s="549"/>
      <c r="AI265" s="550"/>
      <c r="AJ265" s="550"/>
      <c r="AK265" s="549"/>
      <c r="AL265" s="550"/>
      <c r="AM265" s="550"/>
      <c r="AN265" s="549"/>
      <c r="AO265" s="550"/>
      <c r="AP265" s="550"/>
      <c r="AQ265" s="549"/>
      <c r="AR265" s="550"/>
      <c r="AS265" s="550"/>
      <c r="AT265" s="549"/>
      <c r="AU265" s="550"/>
      <c r="AV265" s="550"/>
      <c r="AW265" s="549"/>
      <c r="AX265" s="550"/>
      <c r="AY265" s="550"/>
      <c r="AZ265" s="549"/>
      <c r="BA265" s="550"/>
      <c r="BB265" s="550"/>
      <c r="BC265" s="550"/>
    </row>
    <row r="266" spans="1:55" s="519" customFormat="1" hidden="1">
      <c r="A266" s="531" t="str">
        <f t="shared" si="26"/>
        <v>AQ</v>
      </c>
      <c r="B266" s="50" t="str">
        <f t="shared" si="27"/>
        <v>SIPPM25</v>
      </c>
      <c r="C266" s="50" t="s">
        <v>262</v>
      </c>
      <c r="D266" s="532" t="str">
        <f>'15CustomParticipants'!D$9</f>
        <v>Enter custom role 1</v>
      </c>
      <c r="E266" s="50" t="s">
        <v>53</v>
      </c>
      <c r="F266" s="535" t="str">
        <f t="shared" si="30"/>
        <v>not applicable</v>
      </c>
      <c r="G266" s="543"/>
      <c r="H266" s="544">
        <f>Table3[[#This Row],[Hrs Rank]]</f>
        <v>0</v>
      </c>
      <c r="I266" s="534">
        <f t="shared" si="28"/>
        <v>0</v>
      </c>
      <c r="J266" s="534">
        <f t="shared" si="29"/>
        <v>0</v>
      </c>
      <c r="K266" s="551"/>
      <c r="L266" s="551"/>
      <c r="M266" s="547" t="s">
        <v>223</v>
      </c>
      <c r="N266" s="547" t="s">
        <v>223</v>
      </c>
      <c r="O266" s="548"/>
      <c r="P266" s="549"/>
      <c r="Q266" s="550"/>
      <c r="R266" s="550"/>
      <c r="S266" s="549"/>
      <c r="T266" s="550"/>
      <c r="U266" s="550"/>
      <c r="V266" s="549"/>
      <c r="W266" s="550"/>
      <c r="X266" s="550"/>
      <c r="Y266" s="549"/>
      <c r="Z266" s="550"/>
      <c r="AA266" s="550"/>
      <c r="AB266" s="549"/>
      <c r="AC266" s="550"/>
      <c r="AD266" s="550"/>
      <c r="AE266" s="549"/>
      <c r="AF266" s="550"/>
      <c r="AG266" s="550"/>
      <c r="AH266" s="549"/>
      <c r="AI266" s="550"/>
      <c r="AJ266" s="550"/>
      <c r="AK266" s="549"/>
      <c r="AL266" s="550"/>
      <c r="AM266" s="550"/>
      <c r="AN266" s="549"/>
      <c r="AO266" s="550"/>
      <c r="AP266" s="550"/>
      <c r="AQ266" s="549"/>
      <c r="AR266" s="550"/>
      <c r="AS266" s="550"/>
      <c r="AT266" s="549"/>
      <c r="AU266" s="550"/>
      <c r="AV266" s="550"/>
      <c r="AW266" s="549"/>
      <c r="AX266" s="550"/>
      <c r="AY266" s="550"/>
      <c r="AZ266" s="549"/>
      <c r="BA266" s="550"/>
      <c r="BB266" s="550"/>
      <c r="BC266" s="550"/>
    </row>
    <row r="267" spans="1:55" s="519" customFormat="1" hidden="1">
      <c r="A267" s="531" t="str">
        <f t="shared" si="26"/>
        <v>AQ</v>
      </c>
      <c r="B267" s="50" t="str">
        <f t="shared" si="27"/>
        <v>SIPPM25</v>
      </c>
      <c r="C267" s="50" t="s">
        <v>262</v>
      </c>
      <c r="D267" s="532" t="str">
        <f>'15CustomParticipants'!D$9</f>
        <v>Enter custom role 1</v>
      </c>
      <c r="E267" s="50" t="s">
        <v>53</v>
      </c>
      <c r="F267" s="535" t="str">
        <f t="shared" si="30"/>
        <v>not applicable</v>
      </c>
      <c r="G267" s="543"/>
      <c r="H267" s="544">
        <f>Table3[[#This Row],[Hrs Rank]]</f>
        <v>0</v>
      </c>
      <c r="I267" s="534">
        <f t="shared" si="28"/>
        <v>0</v>
      </c>
      <c r="J267" s="534">
        <f t="shared" si="29"/>
        <v>0</v>
      </c>
      <c r="K267" s="551"/>
      <c r="L267" s="551"/>
      <c r="M267" s="547" t="s">
        <v>223</v>
      </c>
      <c r="N267" s="547" t="s">
        <v>223</v>
      </c>
      <c r="O267" s="548"/>
      <c r="P267" s="549"/>
      <c r="Q267" s="550"/>
      <c r="R267" s="550"/>
      <c r="S267" s="549"/>
      <c r="T267" s="550"/>
      <c r="U267" s="550"/>
      <c r="V267" s="549"/>
      <c r="W267" s="550"/>
      <c r="X267" s="550"/>
      <c r="Y267" s="549"/>
      <c r="Z267" s="550"/>
      <c r="AA267" s="550"/>
      <c r="AB267" s="549"/>
      <c r="AC267" s="550"/>
      <c r="AD267" s="550"/>
      <c r="AE267" s="549"/>
      <c r="AF267" s="550"/>
      <c r="AG267" s="550"/>
      <c r="AH267" s="549"/>
      <c r="AI267" s="550"/>
      <c r="AJ267" s="550"/>
      <c r="AK267" s="549"/>
      <c r="AL267" s="550"/>
      <c r="AM267" s="550"/>
      <c r="AN267" s="549"/>
      <c r="AO267" s="550"/>
      <c r="AP267" s="550"/>
      <c r="AQ267" s="549"/>
      <c r="AR267" s="550"/>
      <c r="AS267" s="550"/>
      <c r="AT267" s="549"/>
      <c r="AU267" s="550"/>
      <c r="AV267" s="550"/>
      <c r="AW267" s="549"/>
      <c r="AX267" s="550"/>
      <c r="AY267" s="550"/>
      <c r="AZ267" s="549"/>
      <c r="BA267" s="550"/>
      <c r="BB267" s="550"/>
      <c r="BC267" s="550"/>
    </row>
    <row r="268" spans="1:55" s="519" customFormat="1" hidden="1">
      <c r="A268" s="531" t="str">
        <f t="shared" si="26"/>
        <v>AQ</v>
      </c>
      <c r="B268" s="50" t="str">
        <f t="shared" si="27"/>
        <v>SIPPM25</v>
      </c>
      <c r="C268" s="50" t="s">
        <v>262</v>
      </c>
      <c r="D268" s="532" t="str">
        <f>'15CustomParticipants'!D$9</f>
        <v>Enter custom role 1</v>
      </c>
      <c r="E268" s="50" t="s">
        <v>53</v>
      </c>
      <c r="F268" s="535" t="str">
        <f t="shared" si="30"/>
        <v>not applicable</v>
      </c>
      <c r="G268" s="543"/>
      <c r="H268" s="544">
        <f>Table3[[#This Row],[Hrs Rank]]</f>
        <v>0</v>
      </c>
      <c r="I268" s="534">
        <f t="shared" si="28"/>
        <v>0</v>
      </c>
      <c r="J268" s="534">
        <f t="shared" si="29"/>
        <v>0</v>
      </c>
      <c r="K268" s="551"/>
      <c r="L268" s="551"/>
      <c r="M268" s="547" t="s">
        <v>223</v>
      </c>
      <c r="N268" s="547" t="s">
        <v>223</v>
      </c>
      <c r="O268" s="548"/>
      <c r="P268" s="549"/>
      <c r="Q268" s="550"/>
      <c r="R268" s="550"/>
      <c r="S268" s="549"/>
      <c r="T268" s="550"/>
      <c r="U268" s="550"/>
      <c r="V268" s="549"/>
      <c r="W268" s="550"/>
      <c r="X268" s="550"/>
      <c r="Y268" s="549"/>
      <c r="Z268" s="550"/>
      <c r="AA268" s="550"/>
      <c r="AB268" s="549"/>
      <c r="AC268" s="550"/>
      <c r="AD268" s="550"/>
      <c r="AE268" s="549"/>
      <c r="AF268" s="550"/>
      <c r="AG268" s="550"/>
      <c r="AH268" s="549"/>
      <c r="AI268" s="550"/>
      <c r="AJ268" s="550"/>
      <c r="AK268" s="549"/>
      <c r="AL268" s="550"/>
      <c r="AM268" s="550"/>
      <c r="AN268" s="549"/>
      <c r="AO268" s="550"/>
      <c r="AP268" s="550"/>
      <c r="AQ268" s="549"/>
      <c r="AR268" s="550"/>
      <c r="AS268" s="550"/>
      <c r="AT268" s="549"/>
      <c r="AU268" s="550"/>
      <c r="AV268" s="550"/>
      <c r="AW268" s="549"/>
      <c r="AX268" s="550"/>
      <c r="AY268" s="550"/>
      <c r="AZ268" s="549"/>
      <c r="BA268" s="550"/>
      <c r="BB268" s="550"/>
      <c r="BC268" s="550"/>
    </row>
    <row r="269" spans="1:55" s="519" customFormat="1" hidden="1">
      <c r="A269" s="531" t="str">
        <f t="shared" si="26"/>
        <v>AQ</v>
      </c>
      <c r="B269" s="50" t="str">
        <f t="shared" si="27"/>
        <v>SIPPM25</v>
      </c>
      <c r="C269" s="50" t="s">
        <v>262</v>
      </c>
      <c r="D269" s="532" t="str">
        <f>'15CustomParticipants'!D$9</f>
        <v>Enter custom role 1</v>
      </c>
      <c r="E269" s="50" t="s">
        <v>52</v>
      </c>
      <c r="F269" s="535" t="str">
        <f t="shared" si="30"/>
        <v>not applicable</v>
      </c>
      <c r="G269" s="543"/>
      <c r="H269" s="544">
        <f>Table3[[#This Row],[Hrs Rank]]</f>
        <v>0</v>
      </c>
      <c r="I269" s="534">
        <f t="shared" si="28"/>
        <v>0</v>
      </c>
      <c r="J269" s="534">
        <f t="shared" si="29"/>
        <v>0</v>
      </c>
      <c r="K269" s="551"/>
      <c r="L269" s="551"/>
      <c r="M269" s="547" t="s">
        <v>223</v>
      </c>
      <c r="N269" s="547" t="s">
        <v>223</v>
      </c>
      <c r="O269" s="548"/>
      <c r="P269" s="549"/>
      <c r="Q269" s="550"/>
      <c r="R269" s="550"/>
      <c r="S269" s="549"/>
      <c r="T269" s="550"/>
      <c r="U269" s="550"/>
      <c r="V269" s="549"/>
      <c r="W269" s="550"/>
      <c r="X269" s="550"/>
      <c r="Y269" s="549"/>
      <c r="Z269" s="550"/>
      <c r="AA269" s="550"/>
      <c r="AB269" s="549"/>
      <c r="AC269" s="550"/>
      <c r="AD269" s="550"/>
      <c r="AE269" s="549"/>
      <c r="AF269" s="550"/>
      <c r="AG269" s="550"/>
      <c r="AH269" s="549"/>
      <c r="AI269" s="550"/>
      <c r="AJ269" s="550"/>
      <c r="AK269" s="549"/>
      <c r="AL269" s="550"/>
      <c r="AM269" s="550"/>
      <c r="AN269" s="549"/>
      <c r="AO269" s="550"/>
      <c r="AP269" s="550"/>
      <c r="AQ269" s="549"/>
      <c r="AR269" s="550"/>
      <c r="AS269" s="550"/>
      <c r="AT269" s="549"/>
      <c r="AU269" s="550"/>
      <c r="AV269" s="550"/>
      <c r="AW269" s="549"/>
      <c r="AX269" s="550"/>
      <c r="AY269" s="550"/>
      <c r="AZ269" s="549"/>
      <c r="BA269" s="550"/>
      <c r="BB269" s="550"/>
      <c r="BC269" s="550"/>
    </row>
    <row r="270" spans="1:55" s="519" customFormat="1" hidden="1">
      <c r="A270" s="531" t="str">
        <f t="shared" si="26"/>
        <v>AQ</v>
      </c>
      <c r="B270" s="50" t="str">
        <f t="shared" si="27"/>
        <v>SIPPM25</v>
      </c>
      <c r="C270" s="50" t="s">
        <v>262</v>
      </c>
      <c r="D270" s="532" t="str">
        <f>'15CustomParticipants'!D$9</f>
        <v>Enter custom role 1</v>
      </c>
      <c r="E270" s="50" t="s">
        <v>52</v>
      </c>
      <c r="F270" s="535" t="str">
        <f t="shared" si="30"/>
        <v>not applicable</v>
      </c>
      <c r="G270" s="543"/>
      <c r="H270" s="544">
        <f>Table3[[#This Row],[Hrs Rank]]</f>
        <v>0</v>
      </c>
      <c r="I270" s="534">
        <f t="shared" si="28"/>
        <v>0</v>
      </c>
      <c r="J270" s="534">
        <f t="shared" si="29"/>
        <v>0</v>
      </c>
      <c r="K270" s="551"/>
      <c r="L270" s="551"/>
      <c r="M270" s="547" t="s">
        <v>223</v>
      </c>
      <c r="N270" s="547" t="s">
        <v>223</v>
      </c>
      <c r="O270" s="548"/>
      <c r="P270" s="549"/>
      <c r="Q270" s="550"/>
      <c r="R270" s="550"/>
      <c r="S270" s="549"/>
      <c r="T270" s="550"/>
      <c r="U270" s="550"/>
      <c r="V270" s="549"/>
      <c r="W270" s="550"/>
      <c r="X270" s="550"/>
      <c r="Y270" s="549"/>
      <c r="Z270" s="550"/>
      <c r="AA270" s="550"/>
      <c r="AB270" s="549"/>
      <c r="AC270" s="550"/>
      <c r="AD270" s="550"/>
      <c r="AE270" s="549"/>
      <c r="AF270" s="550"/>
      <c r="AG270" s="550"/>
      <c r="AH270" s="549"/>
      <c r="AI270" s="550"/>
      <c r="AJ270" s="550"/>
      <c r="AK270" s="549"/>
      <c r="AL270" s="550"/>
      <c r="AM270" s="550"/>
      <c r="AN270" s="549"/>
      <c r="AO270" s="550"/>
      <c r="AP270" s="550"/>
      <c r="AQ270" s="549"/>
      <c r="AR270" s="550"/>
      <c r="AS270" s="550"/>
      <c r="AT270" s="549"/>
      <c r="AU270" s="550"/>
      <c r="AV270" s="550"/>
      <c r="AW270" s="549"/>
      <c r="AX270" s="550"/>
      <c r="AY270" s="550"/>
      <c r="AZ270" s="549"/>
      <c r="BA270" s="550"/>
      <c r="BB270" s="550"/>
      <c r="BC270" s="550"/>
    </row>
    <row r="271" spans="1:55" s="519" customFormat="1" hidden="1">
      <c r="A271" s="531" t="str">
        <f t="shared" si="26"/>
        <v>AQ</v>
      </c>
      <c r="B271" s="50" t="str">
        <f t="shared" si="27"/>
        <v>SIPPM25</v>
      </c>
      <c r="C271" s="50" t="s">
        <v>262</v>
      </c>
      <c r="D271" s="532" t="str">
        <f>'15CustomParticipants'!D$9</f>
        <v>Enter custom role 1</v>
      </c>
      <c r="E271" s="50" t="s">
        <v>52</v>
      </c>
      <c r="F271" s="535" t="str">
        <f t="shared" si="30"/>
        <v>not applicable</v>
      </c>
      <c r="G271" s="543"/>
      <c r="H271" s="544">
        <f>Table3[[#This Row],[Hrs Rank]]</f>
        <v>0</v>
      </c>
      <c r="I271" s="534">
        <f t="shared" si="28"/>
        <v>0</v>
      </c>
      <c r="J271" s="534">
        <f t="shared" si="29"/>
        <v>0</v>
      </c>
      <c r="K271" s="551"/>
      <c r="L271" s="551"/>
      <c r="M271" s="547" t="s">
        <v>223</v>
      </c>
      <c r="N271" s="547" t="s">
        <v>223</v>
      </c>
      <c r="O271" s="548"/>
      <c r="P271" s="549"/>
      <c r="Q271" s="550"/>
      <c r="R271" s="550"/>
      <c r="S271" s="549"/>
      <c r="T271" s="550"/>
      <c r="U271" s="550"/>
      <c r="V271" s="549"/>
      <c r="W271" s="550"/>
      <c r="X271" s="550"/>
      <c r="Y271" s="549"/>
      <c r="Z271" s="550"/>
      <c r="AA271" s="550"/>
      <c r="AB271" s="549"/>
      <c r="AC271" s="550"/>
      <c r="AD271" s="550"/>
      <c r="AE271" s="549"/>
      <c r="AF271" s="550"/>
      <c r="AG271" s="550"/>
      <c r="AH271" s="549"/>
      <c r="AI271" s="550"/>
      <c r="AJ271" s="550"/>
      <c r="AK271" s="549"/>
      <c r="AL271" s="550"/>
      <c r="AM271" s="550"/>
      <c r="AN271" s="549"/>
      <c r="AO271" s="550"/>
      <c r="AP271" s="550"/>
      <c r="AQ271" s="549"/>
      <c r="AR271" s="550"/>
      <c r="AS271" s="550"/>
      <c r="AT271" s="549"/>
      <c r="AU271" s="550"/>
      <c r="AV271" s="550"/>
      <c r="AW271" s="549"/>
      <c r="AX271" s="550"/>
      <c r="AY271" s="550"/>
      <c r="AZ271" s="549"/>
      <c r="BA271" s="550"/>
      <c r="BB271" s="550"/>
      <c r="BC271" s="550"/>
    </row>
    <row r="272" spans="1:55" s="519" customFormat="1" hidden="1">
      <c r="A272" s="531" t="str">
        <f t="shared" si="26"/>
        <v>AQ</v>
      </c>
      <c r="B272" s="50" t="str">
        <f t="shared" si="27"/>
        <v>SIPPM25</v>
      </c>
      <c r="C272" s="50" t="s">
        <v>262</v>
      </c>
      <c r="D272" s="532" t="str">
        <f>'15CustomParticipants'!D$9</f>
        <v>Enter custom role 1</v>
      </c>
      <c r="E272" s="50" t="s">
        <v>52</v>
      </c>
      <c r="F272" s="535" t="str">
        <f t="shared" si="30"/>
        <v>not applicable</v>
      </c>
      <c r="G272" s="543"/>
      <c r="H272" s="544">
        <f>Table3[[#This Row],[Hrs Rank]]</f>
        <v>0</v>
      </c>
      <c r="I272" s="534">
        <f t="shared" si="28"/>
        <v>0</v>
      </c>
      <c r="J272" s="534">
        <f t="shared" si="29"/>
        <v>0</v>
      </c>
      <c r="K272" s="551"/>
      <c r="L272" s="551"/>
      <c r="M272" s="547" t="s">
        <v>223</v>
      </c>
      <c r="N272" s="547" t="s">
        <v>223</v>
      </c>
      <c r="O272" s="548"/>
      <c r="P272" s="549"/>
      <c r="Q272" s="550"/>
      <c r="R272" s="550"/>
      <c r="S272" s="549"/>
      <c r="T272" s="550"/>
      <c r="U272" s="550"/>
      <c r="V272" s="549"/>
      <c r="W272" s="550"/>
      <c r="X272" s="550"/>
      <c r="Y272" s="549"/>
      <c r="Z272" s="550"/>
      <c r="AA272" s="550"/>
      <c r="AB272" s="549"/>
      <c r="AC272" s="550"/>
      <c r="AD272" s="550"/>
      <c r="AE272" s="549"/>
      <c r="AF272" s="550"/>
      <c r="AG272" s="550"/>
      <c r="AH272" s="549"/>
      <c r="AI272" s="550"/>
      <c r="AJ272" s="550"/>
      <c r="AK272" s="549"/>
      <c r="AL272" s="550"/>
      <c r="AM272" s="550"/>
      <c r="AN272" s="549"/>
      <c r="AO272" s="550"/>
      <c r="AP272" s="550"/>
      <c r="AQ272" s="549"/>
      <c r="AR272" s="550"/>
      <c r="AS272" s="550"/>
      <c r="AT272" s="549"/>
      <c r="AU272" s="550"/>
      <c r="AV272" s="550"/>
      <c r="AW272" s="549"/>
      <c r="AX272" s="550"/>
      <c r="AY272" s="550"/>
      <c r="AZ272" s="549"/>
      <c r="BA272" s="550"/>
      <c r="BB272" s="550"/>
      <c r="BC272" s="550"/>
    </row>
    <row r="273" spans="1:55" s="519" customFormat="1" hidden="1">
      <c r="A273" s="531" t="str">
        <f t="shared" si="26"/>
        <v>AQ</v>
      </c>
      <c r="B273" s="50" t="str">
        <f t="shared" si="27"/>
        <v>SIPPM25</v>
      </c>
      <c r="C273" s="50" t="s">
        <v>262</v>
      </c>
      <c r="D273" s="532" t="str">
        <f>'15CustomParticipants'!D$25</f>
        <v>Enter custom role 2</v>
      </c>
      <c r="E273" s="50" t="s">
        <v>53</v>
      </c>
      <c r="F273" s="535" t="str">
        <f t="shared" si="30"/>
        <v>not applicable</v>
      </c>
      <c r="G273" s="543"/>
      <c r="H273" s="544">
        <f>Table3[[#This Row],[Hrs Rank]]</f>
        <v>0</v>
      </c>
      <c r="I273" s="534">
        <f t="shared" si="28"/>
        <v>0</v>
      </c>
      <c r="J273" s="534">
        <f t="shared" si="29"/>
        <v>0</v>
      </c>
      <c r="K273" s="551"/>
      <c r="L273" s="551"/>
      <c r="M273" s="547" t="s">
        <v>223</v>
      </c>
      <c r="N273" s="547" t="s">
        <v>223</v>
      </c>
      <c r="O273" s="548"/>
      <c r="P273" s="549"/>
      <c r="Q273" s="550"/>
      <c r="R273" s="550"/>
      <c r="S273" s="549"/>
      <c r="T273" s="550"/>
      <c r="U273" s="550"/>
      <c r="V273" s="549"/>
      <c r="W273" s="550"/>
      <c r="X273" s="550"/>
      <c r="Y273" s="549"/>
      <c r="Z273" s="550"/>
      <c r="AA273" s="550"/>
      <c r="AB273" s="549"/>
      <c r="AC273" s="550"/>
      <c r="AD273" s="550"/>
      <c r="AE273" s="549"/>
      <c r="AF273" s="550"/>
      <c r="AG273" s="550"/>
      <c r="AH273" s="549"/>
      <c r="AI273" s="550"/>
      <c r="AJ273" s="550"/>
      <c r="AK273" s="549"/>
      <c r="AL273" s="550"/>
      <c r="AM273" s="550"/>
      <c r="AN273" s="549"/>
      <c r="AO273" s="550"/>
      <c r="AP273" s="550"/>
      <c r="AQ273" s="549"/>
      <c r="AR273" s="550"/>
      <c r="AS273" s="550"/>
      <c r="AT273" s="549"/>
      <c r="AU273" s="550"/>
      <c r="AV273" s="550"/>
      <c r="AW273" s="549"/>
      <c r="AX273" s="550"/>
      <c r="AY273" s="550"/>
      <c r="AZ273" s="549"/>
      <c r="BA273" s="550"/>
      <c r="BB273" s="550"/>
      <c r="BC273" s="550"/>
    </row>
    <row r="274" spans="1:55" s="519" customFormat="1" hidden="1">
      <c r="A274" s="531" t="str">
        <f t="shared" si="26"/>
        <v>AQ</v>
      </c>
      <c r="B274" s="50" t="str">
        <f t="shared" si="27"/>
        <v>SIPPM25</v>
      </c>
      <c r="C274" s="50" t="s">
        <v>262</v>
      </c>
      <c r="D274" s="532" t="str">
        <f>'15CustomParticipants'!D$25</f>
        <v>Enter custom role 2</v>
      </c>
      <c r="E274" s="50" t="s">
        <v>53</v>
      </c>
      <c r="F274" s="535" t="str">
        <f t="shared" si="30"/>
        <v>not applicable</v>
      </c>
      <c r="G274" s="543"/>
      <c r="H274" s="544">
        <f>Table3[[#This Row],[Hrs Rank]]</f>
        <v>0</v>
      </c>
      <c r="I274" s="534">
        <f t="shared" si="28"/>
        <v>0</v>
      </c>
      <c r="J274" s="534">
        <f t="shared" si="29"/>
        <v>0</v>
      </c>
      <c r="K274" s="551"/>
      <c r="L274" s="551"/>
      <c r="M274" s="547" t="s">
        <v>223</v>
      </c>
      <c r="N274" s="547" t="s">
        <v>223</v>
      </c>
      <c r="O274" s="548"/>
      <c r="P274" s="549"/>
      <c r="Q274" s="550"/>
      <c r="R274" s="550"/>
      <c r="S274" s="549"/>
      <c r="T274" s="550"/>
      <c r="U274" s="550"/>
      <c r="V274" s="549"/>
      <c r="W274" s="550"/>
      <c r="X274" s="550"/>
      <c r="Y274" s="549"/>
      <c r="Z274" s="550"/>
      <c r="AA274" s="550"/>
      <c r="AB274" s="549"/>
      <c r="AC274" s="550"/>
      <c r="AD274" s="550"/>
      <c r="AE274" s="549"/>
      <c r="AF274" s="550"/>
      <c r="AG274" s="550"/>
      <c r="AH274" s="549"/>
      <c r="AI274" s="550"/>
      <c r="AJ274" s="550"/>
      <c r="AK274" s="549"/>
      <c r="AL274" s="550"/>
      <c r="AM274" s="550"/>
      <c r="AN274" s="549"/>
      <c r="AO274" s="550"/>
      <c r="AP274" s="550"/>
      <c r="AQ274" s="549"/>
      <c r="AR274" s="550"/>
      <c r="AS274" s="550"/>
      <c r="AT274" s="549"/>
      <c r="AU274" s="550"/>
      <c r="AV274" s="550"/>
      <c r="AW274" s="549"/>
      <c r="AX274" s="550"/>
      <c r="AY274" s="550"/>
      <c r="AZ274" s="549"/>
      <c r="BA274" s="550"/>
      <c r="BB274" s="550"/>
      <c r="BC274" s="550"/>
    </row>
    <row r="275" spans="1:55" s="519" customFormat="1" hidden="1">
      <c r="A275" s="531" t="str">
        <f t="shared" si="26"/>
        <v>AQ</v>
      </c>
      <c r="B275" s="50" t="str">
        <f t="shared" si="27"/>
        <v>SIPPM25</v>
      </c>
      <c r="C275" s="50" t="s">
        <v>262</v>
      </c>
      <c r="D275" s="532" t="str">
        <f>'15CustomParticipants'!D$25</f>
        <v>Enter custom role 2</v>
      </c>
      <c r="E275" s="50" t="s">
        <v>53</v>
      </c>
      <c r="F275" s="535" t="str">
        <f t="shared" si="30"/>
        <v>not applicable</v>
      </c>
      <c r="G275" s="543"/>
      <c r="H275" s="544">
        <f>Table3[[#This Row],[Hrs Rank]]</f>
        <v>0</v>
      </c>
      <c r="I275" s="534">
        <f t="shared" si="28"/>
        <v>0</v>
      </c>
      <c r="J275" s="534">
        <f t="shared" si="29"/>
        <v>0</v>
      </c>
      <c r="K275" s="551"/>
      <c r="L275" s="551"/>
      <c r="M275" s="547" t="s">
        <v>223</v>
      </c>
      <c r="N275" s="547" t="s">
        <v>223</v>
      </c>
      <c r="O275" s="548"/>
      <c r="P275" s="549"/>
      <c r="Q275" s="550"/>
      <c r="R275" s="550"/>
      <c r="S275" s="549"/>
      <c r="T275" s="550"/>
      <c r="U275" s="550"/>
      <c r="V275" s="549"/>
      <c r="W275" s="550"/>
      <c r="X275" s="550"/>
      <c r="Y275" s="549"/>
      <c r="Z275" s="550"/>
      <c r="AA275" s="550"/>
      <c r="AB275" s="549"/>
      <c r="AC275" s="550"/>
      <c r="AD275" s="550"/>
      <c r="AE275" s="549"/>
      <c r="AF275" s="550"/>
      <c r="AG275" s="550"/>
      <c r="AH275" s="549"/>
      <c r="AI275" s="550"/>
      <c r="AJ275" s="550"/>
      <c r="AK275" s="549"/>
      <c r="AL275" s="550"/>
      <c r="AM275" s="550"/>
      <c r="AN275" s="549"/>
      <c r="AO275" s="550"/>
      <c r="AP275" s="550"/>
      <c r="AQ275" s="549"/>
      <c r="AR275" s="550"/>
      <c r="AS275" s="550"/>
      <c r="AT275" s="549"/>
      <c r="AU275" s="550"/>
      <c r="AV275" s="550"/>
      <c r="AW275" s="549"/>
      <c r="AX275" s="550"/>
      <c r="AY275" s="550"/>
      <c r="AZ275" s="549"/>
      <c r="BA275" s="550"/>
      <c r="BB275" s="550"/>
      <c r="BC275" s="550"/>
    </row>
    <row r="276" spans="1:55" s="519" customFormat="1" hidden="1">
      <c r="A276" s="531" t="str">
        <f t="shared" si="26"/>
        <v>AQ</v>
      </c>
      <c r="B276" s="50" t="str">
        <f t="shared" si="27"/>
        <v>SIPPM25</v>
      </c>
      <c r="C276" s="50" t="s">
        <v>262</v>
      </c>
      <c r="D276" s="532" t="str">
        <f>'15CustomParticipants'!D$25</f>
        <v>Enter custom role 2</v>
      </c>
      <c r="E276" s="50" t="s">
        <v>53</v>
      </c>
      <c r="F276" s="535" t="str">
        <f t="shared" si="30"/>
        <v>not applicable</v>
      </c>
      <c r="G276" s="543"/>
      <c r="H276" s="544">
        <f>Table3[[#This Row],[Hrs Rank]]</f>
        <v>0</v>
      </c>
      <c r="I276" s="534">
        <f t="shared" si="28"/>
        <v>0</v>
      </c>
      <c r="J276" s="534">
        <f t="shared" si="29"/>
        <v>0</v>
      </c>
      <c r="K276" s="551"/>
      <c r="L276" s="551"/>
      <c r="M276" s="547" t="s">
        <v>223</v>
      </c>
      <c r="N276" s="547" t="s">
        <v>223</v>
      </c>
      <c r="O276" s="548"/>
      <c r="P276" s="549"/>
      <c r="Q276" s="550"/>
      <c r="R276" s="550"/>
      <c r="S276" s="549"/>
      <c r="T276" s="550"/>
      <c r="U276" s="550"/>
      <c r="V276" s="549"/>
      <c r="W276" s="550"/>
      <c r="X276" s="550"/>
      <c r="Y276" s="549"/>
      <c r="Z276" s="550"/>
      <c r="AA276" s="550"/>
      <c r="AB276" s="549"/>
      <c r="AC276" s="550"/>
      <c r="AD276" s="550"/>
      <c r="AE276" s="549"/>
      <c r="AF276" s="550"/>
      <c r="AG276" s="550"/>
      <c r="AH276" s="549"/>
      <c r="AI276" s="550"/>
      <c r="AJ276" s="550"/>
      <c r="AK276" s="549"/>
      <c r="AL276" s="550"/>
      <c r="AM276" s="550"/>
      <c r="AN276" s="549"/>
      <c r="AO276" s="550"/>
      <c r="AP276" s="550"/>
      <c r="AQ276" s="549"/>
      <c r="AR276" s="550"/>
      <c r="AS276" s="550"/>
      <c r="AT276" s="549"/>
      <c r="AU276" s="550"/>
      <c r="AV276" s="550"/>
      <c r="AW276" s="549"/>
      <c r="AX276" s="550"/>
      <c r="AY276" s="550"/>
      <c r="AZ276" s="549"/>
      <c r="BA276" s="550"/>
      <c r="BB276" s="550"/>
      <c r="BC276" s="550"/>
    </row>
    <row r="277" spans="1:55" s="519" customFormat="1" hidden="1">
      <c r="A277" s="531" t="str">
        <f t="shared" si="26"/>
        <v>AQ</v>
      </c>
      <c r="B277" s="50" t="str">
        <f t="shared" si="27"/>
        <v>SIPPM25</v>
      </c>
      <c r="C277" s="50" t="s">
        <v>262</v>
      </c>
      <c r="D277" s="532" t="str">
        <f>'15CustomParticipants'!D$25</f>
        <v>Enter custom role 2</v>
      </c>
      <c r="E277" s="50" t="s">
        <v>52</v>
      </c>
      <c r="F277" s="535" t="str">
        <f t="shared" si="30"/>
        <v>not applicable</v>
      </c>
      <c r="G277" s="543"/>
      <c r="H277" s="544">
        <f>Table3[[#This Row],[Hrs Rank]]</f>
        <v>0</v>
      </c>
      <c r="I277" s="534">
        <f t="shared" si="28"/>
        <v>0</v>
      </c>
      <c r="J277" s="534">
        <f t="shared" si="29"/>
        <v>0</v>
      </c>
      <c r="K277" s="551"/>
      <c r="L277" s="551"/>
      <c r="M277" s="547" t="s">
        <v>223</v>
      </c>
      <c r="N277" s="547" t="s">
        <v>223</v>
      </c>
      <c r="O277" s="548"/>
      <c r="P277" s="549"/>
      <c r="Q277" s="550"/>
      <c r="R277" s="550"/>
      <c r="S277" s="549"/>
      <c r="T277" s="550"/>
      <c r="U277" s="550"/>
      <c r="V277" s="549"/>
      <c r="W277" s="550"/>
      <c r="X277" s="550"/>
      <c r="Y277" s="549"/>
      <c r="Z277" s="550"/>
      <c r="AA277" s="550"/>
      <c r="AB277" s="549"/>
      <c r="AC277" s="550"/>
      <c r="AD277" s="550"/>
      <c r="AE277" s="549"/>
      <c r="AF277" s="550"/>
      <c r="AG277" s="550"/>
      <c r="AH277" s="549"/>
      <c r="AI277" s="550"/>
      <c r="AJ277" s="550"/>
      <c r="AK277" s="549"/>
      <c r="AL277" s="550"/>
      <c r="AM277" s="550"/>
      <c r="AN277" s="549"/>
      <c r="AO277" s="550"/>
      <c r="AP277" s="550"/>
      <c r="AQ277" s="549"/>
      <c r="AR277" s="550"/>
      <c r="AS277" s="550"/>
      <c r="AT277" s="549"/>
      <c r="AU277" s="550"/>
      <c r="AV277" s="550"/>
      <c r="AW277" s="549"/>
      <c r="AX277" s="550"/>
      <c r="AY277" s="550"/>
      <c r="AZ277" s="549"/>
      <c r="BA277" s="550"/>
      <c r="BB277" s="550"/>
      <c r="BC277" s="550"/>
    </row>
    <row r="278" spans="1:55" s="519" customFormat="1" hidden="1">
      <c r="A278" s="531" t="str">
        <f t="shared" si="26"/>
        <v>AQ</v>
      </c>
      <c r="B278" s="50" t="str">
        <f t="shared" si="27"/>
        <v>SIPPM25</v>
      </c>
      <c r="C278" s="50" t="s">
        <v>262</v>
      </c>
      <c r="D278" s="532" t="str">
        <f>'15CustomParticipants'!D$25</f>
        <v>Enter custom role 2</v>
      </c>
      <c r="E278" s="50" t="s">
        <v>52</v>
      </c>
      <c r="F278" s="535" t="str">
        <f t="shared" si="30"/>
        <v>not applicable</v>
      </c>
      <c r="G278" s="543"/>
      <c r="H278" s="544">
        <f>Table3[[#This Row],[Hrs Rank]]</f>
        <v>0</v>
      </c>
      <c r="I278" s="534">
        <f t="shared" si="28"/>
        <v>0</v>
      </c>
      <c r="J278" s="534">
        <f t="shared" si="29"/>
        <v>0</v>
      </c>
      <c r="K278" s="551"/>
      <c r="L278" s="551"/>
      <c r="M278" s="547" t="s">
        <v>223</v>
      </c>
      <c r="N278" s="547" t="s">
        <v>223</v>
      </c>
      <c r="O278" s="548"/>
      <c r="P278" s="549"/>
      <c r="Q278" s="550"/>
      <c r="R278" s="550"/>
      <c r="S278" s="549"/>
      <c r="T278" s="550"/>
      <c r="U278" s="550"/>
      <c r="V278" s="549"/>
      <c r="W278" s="550"/>
      <c r="X278" s="550"/>
      <c r="Y278" s="549"/>
      <c r="Z278" s="550"/>
      <c r="AA278" s="550"/>
      <c r="AB278" s="549"/>
      <c r="AC278" s="550"/>
      <c r="AD278" s="550"/>
      <c r="AE278" s="549"/>
      <c r="AF278" s="550"/>
      <c r="AG278" s="550"/>
      <c r="AH278" s="549"/>
      <c r="AI278" s="550"/>
      <c r="AJ278" s="550"/>
      <c r="AK278" s="549"/>
      <c r="AL278" s="550"/>
      <c r="AM278" s="550"/>
      <c r="AN278" s="549"/>
      <c r="AO278" s="550"/>
      <c r="AP278" s="550"/>
      <c r="AQ278" s="549"/>
      <c r="AR278" s="550"/>
      <c r="AS278" s="550"/>
      <c r="AT278" s="549"/>
      <c r="AU278" s="550"/>
      <c r="AV278" s="550"/>
      <c r="AW278" s="549"/>
      <c r="AX278" s="550"/>
      <c r="AY278" s="550"/>
      <c r="AZ278" s="549"/>
      <c r="BA278" s="550"/>
      <c r="BB278" s="550"/>
      <c r="BC278" s="550"/>
    </row>
    <row r="279" spans="1:55" s="519" customFormat="1" hidden="1">
      <c r="A279" s="531" t="str">
        <f t="shared" si="26"/>
        <v>AQ</v>
      </c>
      <c r="B279" s="50" t="str">
        <f t="shared" si="27"/>
        <v>SIPPM25</v>
      </c>
      <c r="C279" s="50" t="s">
        <v>262</v>
      </c>
      <c r="D279" s="532" t="str">
        <f>'15CustomParticipants'!D$25</f>
        <v>Enter custom role 2</v>
      </c>
      <c r="E279" s="50" t="s">
        <v>52</v>
      </c>
      <c r="F279" s="535" t="str">
        <f t="shared" si="30"/>
        <v>not applicable</v>
      </c>
      <c r="G279" s="543"/>
      <c r="H279" s="544">
        <f>Table3[[#This Row],[Hrs Rank]]</f>
        <v>0</v>
      </c>
      <c r="I279" s="534">
        <f t="shared" si="28"/>
        <v>0</v>
      </c>
      <c r="J279" s="534">
        <f t="shared" si="29"/>
        <v>0</v>
      </c>
      <c r="K279" s="551"/>
      <c r="L279" s="551"/>
      <c r="M279" s="547" t="s">
        <v>223</v>
      </c>
      <c r="N279" s="547" t="s">
        <v>223</v>
      </c>
      <c r="O279" s="548"/>
      <c r="P279" s="549"/>
      <c r="Q279" s="550"/>
      <c r="R279" s="550"/>
      <c r="S279" s="549"/>
      <c r="T279" s="550"/>
      <c r="U279" s="550"/>
      <c r="V279" s="549"/>
      <c r="W279" s="550"/>
      <c r="X279" s="550"/>
      <c r="Y279" s="549"/>
      <c r="Z279" s="550"/>
      <c r="AA279" s="550"/>
      <c r="AB279" s="549"/>
      <c r="AC279" s="550"/>
      <c r="AD279" s="550"/>
      <c r="AE279" s="549"/>
      <c r="AF279" s="550"/>
      <c r="AG279" s="550"/>
      <c r="AH279" s="549"/>
      <c r="AI279" s="550"/>
      <c r="AJ279" s="550"/>
      <c r="AK279" s="549"/>
      <c r="AL279" s="550"/>
      <c r="AM279" s="550"/>
      <c r="AN279" s="549"/>
      <c r="AO279" s="550"/>
      <c r="AP279" s="550"/>
      <c r="AQ279" s="549"/>
      <c r="AR279" s="550"/>
      <c r="AS279" s="550"/>
      <c r="AT279" s="549"/>
      <c r="AU279" s="550"/>
      <c r="AV279" s="550"/>
      <c r="AW279" s="549"/>
      <c r="AX279" s="550"/>
      <c r="AY279" s="550"/>
      <c r="AZ279" s="549"/>
      <c r="BA279" s="550"/>
      <c r="BB279" s="550"/>
      <c r="BC279" s="550"/>
    </row>
    <row r="280" spans="1:55" s="519" customFormat="1" hidden="1">
      <c r="A280" s="531" t="str">
        <f t="shared" si="26"/>
        <v>AQ</v>
      </c>
      <c r="B280" s="50" t="str">
        <f t="shared" si="27"/>
        <v>SIPPM25</v>
      </c>
      <c r="C280" s="50" t="s">
        <v>262</v>
      </c>
      <c r="D280" s="532" t="str">
        <f>'15CustomParticipants'!D$25</f>
        <v>Enter custom role 2</v>
      </c>
      <c r="E280" s="50" t="s">
        <v>52</v>
      </c>
      <c r="F280" s="535" t="str">
        <f t="shared" si="30"/>
        <v>not applicable</v>
      </c>
      <c r="G280" s="543"/>
      <c r="H280" s="544">
        <f>Table3[[#This Row],[Hrs Rank]]</f>
        <v>0</v>
      </c>
      <c r="I280" s="534">
        <f t="shared" si="28"/>
        <v>0</v>
      </c>
      <c r="J280" s="534">
        <f t="shared" si="29"/>
        <v>0</v>
      </c>
      <c r="K280" s="551"/>
      <c r="L280" s="551"/>
      <c r="M280" s="547" t="s">
        <v>223</v>
      </c>
      <c r="N280" s="547" t="s">
        <v>223</v>
      </c>
      <c r="O280" s="548"/>
      <c r="P280" s="549"/>
      <c r="Q280" s="550"/>
      <c r="R280" s="550"/>
      <c r="S280" s="549"/>
      <c r="T280" s="550"/>
      <c r="U280" s="550"/>
      <c r="V280" s="549"/>
      <c r="W280" s="550"/>
      <c r="X280" s="550"/>
      <c r="Y280" s="549"/>
      <c r="Z280" s="550"/>
      <c r="AA280" s="550"/>
      <c r="AB280" s="549"/>
      <c r="AC280" s="550"/>
      <c r="AD280" s="550"/>
      <c r="AE280" s="549"/>
      <c r="AF280" s="550"/>
      <c r="AG280" s="550"/>
      <c r="AH280" s="549"/>
      <c r="AI280" s="550"/>
      <c r="AJ280" s="550"/>
      <c r="AK280" s="549"/>
      <c r="AL280" s="550"/>
      <c r="AM280" s="550"/>
      <c r="AN280" s="549"/>
      <c r="AO280" s="550"/>
      <c r="AP280" s="550"/>
      <c r="AQ280" s="549"/>
      <c r="AR280" s="550"/>
      <c r="AS280" s="550"/>
      <c r="AT280" s="549"/>
      <c r="AU280" s="550"/>
      <c r="AV280" s="550"/>
      <c r="AW280" s="549"/>
      <c r="AX280" s="550"/>
      <c r="AY280" s="550"/>
      <c r="AZ280" s="549"/>
      <c r="BA280" s="550"/>
      <c r="BB280" s="550"/>
      <c r="BC280" s="550"/>
    </row>
    <row r="281" spans="1:55" s="519" customFormat="1" hidden="1">
      <c r="A281" s="531" t="str">
        <f t="shared" si="26"/>
        <v>AQ</v>
      </c>
      <c r="B281" s="50" t="str">
        <f t="shared" si="27"/>
        <v>SIPPM25</v>
      </c>
      <c r="C281" s="50" t="s">
        <v>262</v>
      </c>
      <c r="D281" s="532" t="str">
        <f>'15CustomParticipants'!D$41</f>
        <v>Enter custom role 3</v>
      </c>
      <c r="E281" s="50" t="s">
        <v>53</v>
      </c>
      <c r="F281" s="535" t="str">
        <f t="shared" ref="F281:F296" si="31">R.3PAname</f>
        <v>not applicable</v>
      </c>
      <c r="G281" s="543"/>
      <c r="H281" s="544">
        <f>Table3[[#This Row],[Hrs Rank]]</f>
        <v>0</v>
      </c>
      <c r="I281" s="534">
        <f t="shared" si="28"/>
        <v>0</v>
      </c>
      <c r="J281" s="534">
        <f t="shared" si="29"/>
        <v>0</v>
      </c>
      <c r="K281" s="551"/>
      <c r="L281" s="551"/>
      <c r="M281" s="547" t="s">
        <v>223</v>
      </c>
      <c r="N281" s="547" t="s">
        <v>223</v>
      </c>
      <c r="O281" s="548"/>
      <c r="P281" s="549"/>
      <c r="Q281" s="550"/>
      <c r="R281" s="550"/>
      <c r="S281" s="549"/>
      <c r="T281" s="550"/>
      <c r="U281" s="550"/>
      <c r="V281" s="549"/>
      <c r="W281" s="550"/>
      <c r="X281" s="550"/>
      <c r="Y281" s="549"/>
      <c r="Z281" s="550"/>
      <c r="AA281" s="550"/>
      <c r="AB281" s="549"/>
      <c r="AC281" s="550"/>
      <c r="AD281" s="550"/>
      <c r="AE281" s="549"/>
      <c r="AF281" s="550"/>
      <c r="AG281" s="550"/>
      <c r="AH281" s="549"/>
      <c r="AI281" s="550"/>
      <c r="AJ281" s="550"/>
      <c r="AK281" s="549"/>
      <c r="AL281" s="550"/>
      <c r="AM281" s="550"/>
      <c r="AN281" s="549"/>
      <c r="AO281" s="550"/>
      <c r="AP281" s="550"/>
      <c r="AQ281" s="549"/>
      <c r="AR281" s="550"/>
      <c r="AS281" s="550"/>
      <c r="AT281" s="549"/>
      <c r="AU281" s="550"/>
      <c r="AV281" s="550"/>
      <c r="AW281" s="549"/>
      <c r="AX281" s="550"/>
      <c r="AY281" s="550"/>
      <c r="AZ281" s="549"/>
      <c r="BA281" s="550"/>
      <c r="BB281" s="550"/>
      <c r="BC281" s="550"/>
    </row>
    <row r="282" spans="1:55" s="519" customFormat="1" hidden="1">
      <c r="A282" s="531" t="str">
        <f t="shared" si="26"/>
        <v>AQ</v>
      </c>
      <c r="B282" s="50" t="str">
        <f t="shared" si="27"/>
        <v>SIPPM25</v>
      </c>
      <c r="C282" s="50" t="s">
        <v>262</v>
      </c>
      <c r="D282" s="532" t="str">
        <f>'15CustomParticipants'!D$41</f>
        <v>Enter custom role 3</v>
      </c>
      <c r="E282" s="50" t="s">
        <v>53</v>
      </c>
      <c r="F282" s="535" t="str">
        <f t="shared" si="31"/>
        <v>not applicable</v>
      </c>
      <c r="G282" s="543"/>
      <c r="H282" s="544">
        <f>Table3[[#This Row],[Hrs Rank]]</f>
        <v>0</v>
      </c>
      <c r="I282" s="534">
        <f t="shared" si="28"/>
        <v>0</v>
      </c>
      <c r="J282" s="534">
        <f t="shared" si="29"/>
        <v>0</v>
      </c>
      <c r="K282" s="551"/>
      <c r="L282" s="551"/>
      <c r="M282" s="547" t="s">
        <v>223</v>
      </c>
      <c r="N282" s="547" t="s">
        <v>223</v>
      </c>
      <c r="O282" s="548"/>
      <c r="P282" s="549"/>
      <c r="Q282" s="550"/>
      <c r="R282" s="550"/>
      <c r="S282" s="549"/>
      <c r="T282" s="550"/>
      <c r="U282" s="550"/>
      <c r="V282" s="549"/>
      <c r="W282" s="550"/>
      <c r="X282" s="550"/>
      <c r="Y282" s="549"/>
      <c r="Z282" s="550"/>
      <c r="AA282" s="550"/>
      <c r="AB282" s="549"/>
      <c r="AC282" s="550"/>
      <c r="AD282" s="550"/>
      <c r="AE282" s="549"/>
      <c r="AF282" s="550"/>
      <c r="AG282" s="550"/>
      <c r="AH282" s="549"/>
      <c r="AI282" s="550"/>
      <c r="AJ282" s="550"/>
      <c r="AK282" s="549"/>
      <c r="AL282" s="550"/>
      <c r="AM282" s="550"/>
      <c r="AN282" s="549"/>
      <c r="AO282" s="550"/>
      <c r="AP282" s="550"/>
      <c r="AQ282" s="549"/>
      <c r="AR282" s="550"/>
      <c r="AS282" s="550"/>
      <c r="AT282" s="549"/>
      <c r="AU282" s="550"/>
      <c r="AV282" s="550"/>
      <c r="AW282" s="549"/>
      <c r="AX282" s="550"/>
      <c r="AY282" s="550"/>
      <c r="AZ282" s="549"/>
      <c r="BA282" s="550"/>
      <c r="BB282" s="550"/>
      <c r="BC282" s="550"/>
    </row>
    <row r="283" spans="1:55" s="519" customFormat="1" hidden="1">
      <c r="A283" s="531" t="str">
        <f t="shared" si="26"/>
        <v>AQ</v>
      </c>
      <c r="B283" s="50" t="str">
        <f t="shared" si="27"/>
        <v>SIPPM25</v>
      </c>
      <c r="C283" s="50" t="s">
        <v>262</v>
      </c>
      <c r="D283" s="532" t="str">
        <f>'15CustomParticipants'!D$41</f>
        <v>Enter custom role 3</v>
      </c>
      <c r="E283" s="50" t="s">
        <v>53</v>
      </c>
      <c r="F283" s="535" t="str">
        <f t="shared" si="31"/>
        <v>not applicable</v>
      </c>
      <c r="G283" s="543"/>
      <c r="H283" s="544">
        <f>Table3[[#This Row],[Hrs Rank]]</f>
        <v>0</v>
      </c>
      <c r="I283" s="534">
        <f t="shared" si="28"/>
        <v>0</v>
      </c>
      <c r="J283" s="534">
        <f t="shared" si="29"/>
        <v>0</v>
      </c>
      <c r="K283" s="551"/>
      <c r="L283" s="551"/>
      <c r="M283" s="547" t="s">
        <v>223</v>
      </c>
      <c r="N283" s="547" t="s">
        <v>223</v>
      </c>
      <c r="O283" s="548"/>
      <c r="P283" s="549"/>
      <c r="Q283" s="550"/>
      <c r="R283" s="550"/>
      <c r="S283" s="549"/>
      <c r="T283" s="550"/>
      <c r="U283" s="550"/>
      <c r="V283" s="549"/>
      <c r="W283" s="550"/>
      <c r="X283" s="550"/>
      <c r="Y283" s="549"/>
      <c r="Z283" s="550"/>
      <c r="AA283" s="550"/>
      <c r="AB283" s="549"/>
      <c r="AC283" s="550"/>
      <c r="AD283" s="550"/>
      <c r="AE283" s="549"/>
      <c r="AF283" s="550"/>
      <c r="AG283" s="550"/>
      <c r="AH283" s="549"/>
      <c r="AI283" s="550"/>
      <c r="AJ283" s="550"/>
      <c r="AK283" s="549"/>
      <c r="AL283" s="550"/>
      <c r="AM283" s="550"/>
      <c r="AN283" s="549"/>
      <c r="AO283" s="550"/>
      <c r="AP283" s="550"/>
      <c r="AQ283" s="549"/>
      <c r="AR283" s="550"/>
      <c r="AS283" s="550"/>
      <c r="AT283" s="549"/>
      <c r="AU283" s="550"/>
      <c r="AV283" s="550"/>
      <c r="AW283" s="549"/>
      <c r="AX283" s="550"/>
      <c r="AY283" s="550"/>
      <c r="AZ283" s="549"/>
      <c r="BA283" s="550"/>
      <c r="BB283" s="550"/>
      <c r="BC283" s="550"/>
    </row>
    <row r="284" spans="1:55" s="519" customFormat="1" hidden="1">
      <c r="A284" s="531" t="str">
        <f t="shared" si="26"/>
        <v>AQ</v>
      </c>
      <c r="B284" s="50" t="str">
        <f t="shared" si="27"/>
        <v>SIPPM25</v>
      </c>
      <c r="C284" s="50" t="s">
        <v>262</v>
      </c>
      <c r="D284" s="532" t="str">
        <f>'15CustomParticipants'!D$41</f>
        <v>Enter custom role 3</v>
      </c>
      <c r="E284" s="50" t="s">
        <v>53</v>
      </c>
      <c r="F284" s="535" t="str">
        <f t="shared" si="31"/>
        <v>not applicable</v>
      </c>
      <c r="G284" s="543"/>
      <c r="H284" s="544">
        <f>Table3[[#This Row],[Hrs Rank]]</f>
        <v>0</v>
      </c>
      <c r="I284" s="534">
        <f t="shared" si="28"/>
        <v>0</v>
      </c>
      <c r="J284" s="534">
        <f t="shared" si="29"/>
        <v>0</v>
      </c>
      <c r="K284" s="551"/>
      <c r="L284" s="551"/>
      <c r="M284" s="547" t="s">
        <v>223</v>
      </c>
      <c r="N284" s="547" t="s">
        <v>223</v>
      </c>
      <c r="O284" s="548"/>
      <c r="P284" s="549"/>
      <c r="Q284" s="550"/>
      <c r="R284" s="550"/>
      <c r="S284" s="549"/>
      <c r="T284" s="550"/>
      <c r="U284" s="550"/>
      <c r="V284" s="549"/>
      <c r="W284" s="550"/>
      <c r="X284" s="550"/>
      <c r="Y284" s="549"/>
      <c r="Z284" s="550"/>
      <c r="AA284" s="550"/>
      <c r="AB284" s="549"/>
      <c r="AC284" s="550"/>
      <c r="AD284" s="550"/>
      <c r="AE284" s="549"/>
      <c r="AF284" s="550"/>
      <c r="AG284" s="550"/>
      <c r="AH284" s="549"/>
      <c r="AI284" s="550"/>
      <c r="AJ284" s="550"/>
      <c r="AK284" s="549"/>
      <c r="AL284" s="550"/>
      <c r="AM284" s="550"/>
      <c r="AN284" s="549"/>
      <c r="AO284" s="550"/>
      <c r="AP284" s="550"/>
      <c r="AQ284" s="549"/>
      <c r="AR284" s="550"/>
      <c r="AS284" s="550"/>
      <c r="AT284" s="549"/>
      <c r="AU284" s="550"/>
      <c r="AV284" s="550"/>
      <c r="AW284" s="549"/>
      <c r="AX284" s="550"/>
      <c r="AY284" s="550"/>
      <c r="AZ284" s="549"/>
      <c r="BA284" s="550"/>
      <c r="BB284" s="550"/>
      <c r="BC284" s="550"/>
    </row>
    <row r="285" spans="1:55" s="519" customFormat="1" hidden="1">
      <c r="A285" s="531" t="str">
        <f t="shared" si="26"/>
        <v>AQ</v>
      </c>
      <c r="B285" s="50" t="str">
        <f t="shared" si="27"/>
        <v>SIPPM25</v>
      </c>
      <c r="C285" s="50" t="s">
        <v>262</v>
      </c>
      <c r="D285" s="532" t="str">
        <f>'15CustomParticipants'!D$41</f>
        <v>Enter custom role 3</v>
      </c>
      <c r="E285" s="50" t="s">
        <v>52</v>
      </c>
      <c r="F285" s="535" t="str">
        <f t="shared" si="31"/>
        <v>not applicable</v>
      </c>
      <c r="G285" s="543"/>
      <c r="H285" s="544">
        <f>Table3[[#This Row],[Hrs Rank]]</f>
        <v>0</v>
      </c>
      <c r="I285" s="534">
        <f t="shared" si="28"/>
        <v>0</v>
      </c>
      <c r="J285" s="534">
        <f t="shared" si="29"/>
        <v>0</v>
      </c>
      <c r="K285" s="551"/>
      <c r="L285" s="551"/>
      <c r="M285" s="547" t="s">
        <v>223</v>
      </c>
      <c r="N285" s="547" t="s">
        <v>223</v>
      </c>
      <c r="O285" s="548"/>
      <c r="P285" s="549"/>
      <c r="Q285" s="550"/>
      <c r="R285" s="550"/>
      <c r="S285" s="549"/>
      <c r="T285" s="550"/>
      <c r="U285" s="550"/>
      <c r="V285" s="549"/>
      <c r="W285" s="550"/>
      <c r="X285" s="550"/>
      <c r="Y285" s="549"/>
      <c r="Z285" s="550"/>
      <c r="AA285" s="550"/>
      <c r="AB285" s="549"/>
      <c r="AC285" s="550"/>
      <c r="AD285" s="550"/>
      <c r="AE285" s="549"/>
      <c r="AF285" s="550"/>
      <c r="AG285" s="550"/>
      <c r="AH285" s="549"/>
      <c r="AI285" s="550"/>
      <c r="AJ285" s="550"/>
      <c r="AK285" s="549"/>
      <c r="AL285" s="550"/>
      <c r="AM285" s="550"/>
      <c r="AN285" s="549"/>
      <c r="AO285" s="550"/>
      <c r="AP285" s="550"/>
      <c r="AQ285" s="549"/>
      <c r="AR285" s="550"/>
      <c r="AS285" s="550"/>
      <c r="AT285" s="549"/>
      <c r="AU285" s="550"/>
      <c r="AV285" s="550"/>
      <c r="AW285" s="549"/>
      <c r="AX285" s="550"/>
      <c r="AY285" s="550"/>
      <c r="AZ285" s="549"/>
      <c r="BA285" s="550"/>
      <c r="BB285" s="550"/>
      <c r="BC285" s="550"/>
    </row>
    <row r="286" spans="1:55" s="519" customFormat="1" hidden="1">
      <c r="A286" s="531" t="str">
        <f t="shared" si="26"/>
        <v>AQ</v>
      </c>
      <c r="B286" s="50" t="str">
        <f t="shared" si="27"/>
        <v>SIPPM25</v>
      </c>
      <c r="C286" s="50" t="s">
        <v>262</v>
      </c>
      <c r="D286" s="532" t="str">
        <f>'15CustomParticipants'!D$41</f>
        <v>Enter custom role 3</v>
      </c>
      <c r="E286" s="50" t="s">
        <v>52</v>
      </c>
      <c r="F286" s="535" t="str">
        <f t="shared" si="31"/>
        <v>not applicable</v>
      </c>
      <c r="G286" s="543"/>
      <c r="H286" s="544">
        <f>Table3[[#This Row],[Hrs Rank]]</f>
        <v>0</v>
      </c>
      <c r="I286" s="534">
        <f t="shared" si="28"/>
        <v>0</v>
      </c>
      <c r="J286" s="534">
        <f t="shared" si="29"/>
        <v>0</v>
      </c>
      <c r="K286" s="551"/>
      <c r="L286" s="551"/>
      <c r="M286" s="547" t="s">
        <v>223</v>
      </c>
      <c r="N286" s="547" t="s">
        <v>223</v>
      </c>
      <c r="O286" s="548"/>
      <c r="P286" s="549"/>
      <c r="Q286" s="550"/>
      <c r="R286" s="550"/>
      <c r="S286" s="549"/>
      <c r="T286" s="550"/>
      <c r="U286" s="550"/>
      <c r="V286" s="549"/>
      <c r="W286" s="550"/>
      <c r="X286" s="550"/>
      <c r="Y286" s="549"/>
      <c r="Z286" s="550"/>
      <c r="AA286" s="550"/>
      <c r="AB286" s="549"/>
      <c r="AC286" s="550"/>
      <c r="AD286" s="550"/>
      <c r="AE286" s="549"/>
      <c r="AF286" s="550"/>
      <c r="AG286" s="550"/>
      <c r="AH286" s="549"/>
      <c r="AI286" s="550"/>
      <c r="AJ286" s="550"/>
      <c r="AK286" s="549"/>
      <c r="AL286" s="550"/>
      <c r="AM286" s="550"/>
      <c r="AN286" s="549"/>
      <c r="AO286" s="550"/>
      <c r="AP286" s="550"/>
      <c r="AQ286" s="549"/>
      <c r="AR286" s="550"/>
      <c r="AS286" s="550"/>
      <c r="AT286" s="549"/>
      <c r="AU286" s="550"/>
      <c r="AV286" s="550"/>
      <c r="AW286" s="549"/>
      <c r="AX286" s="550"/>
      <c r="AY286" s="550"/>
      <c r="AZ286" s="549"/>
      <c r="BA286" s="550"/>
      <c r="BB286" s="550"/>
      <c r="BC286" s="550"/>
    </row>
    <row r="287" spans="1:55" s="519" customFormat="1" hidden="1">
      <c r="A287" s="531" t="str">
        <f t="shared" ref="A287:A296" si="32">R.1Division</f>
        <v>AQ</v>
      </c>
      <c r="B287" s="50" t="str">
        <f t="shared" ref="B287:B296" si="33">R.1CodeName</f>
        <v>SIPPM25</v>
      </c>
      <c r="C287" s="50" t="s">
        <v>262</v>
      </c>
      <c r="D287" s="532" t="str">
        <f>'15CustomParticipants'!D$41</f>
        <v>Enter custom role 3</v>
      </c>
      <c r="E287" s="50" t="s">
        <v>52</v>
      </c>
      <c r="F287" s="535" t="str">
        <f t="shared" si="31"/>
        <v>not applicable</v>
      </c>
      <c r="G287" s="543"/>
      <c r="H287" s="544">
        <f>Table3[[#This Row],[Hrs Rank]]</f>
        <v>0</v>
      </c>
      <c r="I287" s="534">
        <f t="shared" si="28"/>
        <v>0</v>
      </c>
      <c r="J287" s="534">
        <f t="shared" si="29"/>
        <v>0</v>
      </c>
      <c r="K287" s="551"/>
      <c r="L287" s="551"/>
      <c r="M287" s="547" t="s">
        <v>223</v>
      </c>
      <c r="N287" s="547" t="s">
        <v>223</v>
      </c>
      <c r="O287" s="548"/>
      <c r="P287" s="549"/>
      <c r="Q287" s="550"/>
      <c r="R287" s="550"/>
      <c r="S287" s="549"/>
      <c r="T287" s="550"/>
      <c r="U287" s="550"/>
      <c r="V287" s="549"/>
      <c r="W287" s="550"/>
      <c r="X287" s="550"/>
      <c r="Y287" s="549"/>
      <c r="Z287" s="550"/>
      <c r="AA287" s="550"/>
      <c r="AB287" s="549"/>
      <c r="AC287" s="550"/>
      <c r="AD287" s="550"/>
      <c r="AE287" s="549"/>
      <c r="AF287" s="550"/>
      <c r="AG287" s="550"/>
      <c r="AH287" s="549"/>
      <c r="AI287" s="550"/>
      <c r="AJ287" s="550"/>
      <c r="AK287" s="549"/>
      <c r="AL287" s="550"/>
      <c r="AM287" s="550"/>
      <c r="AN287" s="549"/>
      <c r="AO287" s="550"/>
      <c r="AP287" s="550"/>
      <c r="AQ287" s="549"/>
      <c r="AR287" s="550"/>
      <c r="AS287" s="550"/>
      <c r="AT287" s="549"/>
      <c r="AU287" s="550"/>
      <c r="AV287" s="550"/>
      <c r="AW287" s="549"/>
      <c r="AX287" s="550"/>
      <c r="AY287" s="550"/>
      <c r="AZ287" s="549"/>
      <c r="BA287" s="550"/>
      <c r="BB287" s="550"/>
      <c r="BC287" s="550"/>
    </row>
    <row r="288" spans="1:55" s="519" customFormat="1" hidden="1">
      <c r="A288" s="531" t="str">
        <f t="shared" si="32"/>
        <v>AQ</v>
      </c>
      <c r="B288" s="50" t="str">
        <f t="shared" si="33"/>
        <v>SIPPM25</v>
      </c>
      <c r="C288" s="50" t="s">
        <v>262</v>
      </c>
      <c r="D288" s="532" t="str">
        <f>'15CustomParticipants'!D$41</f>
        <v>Enter custom role 3</v>
      </c>
      <c r="E288" s="50" t="s">
        <v>52</v>
      </c>
      <c r="F288" s="535" t="str">
        <f t="shared" si="31"/>
        <v>not applicable</v>
      </c>
      <c r="G288" s="543"/>
      <c r="H288" s="544">
        <f>Table3[[#This Row],[Hrs Rank]]</f>
        <v>0</v>
      </c>
      <c r="I288" s="534">
        <f t="shared" si="28"/>
        <v>0</v>
      </c>
      <c r="J288" s="534">
        <f t="shared" si="29"/>
        <v>0</v>
      </c>
      <c r="K288" s="551"/>
      <c r="L288" s="551"/>
      <c r="M288" s="547" t="s">
        <v>223</v>
      </c>
      <c r="N288" s="547" t="s">
        <v>223</v>
      </c>
      <c r="O288" s="548"/>
      <c r="P288" s="549"/>
      <c r="Q288" s="550"/>
      <c r="R288" s="550"/>
      <c r="S288" s="549"/>
      <c r="T288" s="550"/>
      <c r="U288" s="550"/>
      <c r="V288" s="549"/>
      <c r="W288" s="550"/>
      <c r="X288" s="550"/>
      <c r="Y288" s="549"/>
      <c r="Z288" s="550"/>
      <c r="AA288" s="550"/>
      <c r="AB288" s="549"/>
      <c r="AC288" s="550"/>
      <c r="AD288" s="550"/>
      <c r="AE288" s="549"/>
      <c r="AF288" s="550"/>
      <c r="AG288" s="550"/>
      <c r="AH288" s="549"/>
      <c r="AI288" s="550"/>
      <c r="AJ288" s="550"/>
      <c r="AK288" s="549"/>
      <c r="AL288" s="550"/>
      <c r="AM288" s="550"/>
      <c r="AN288" s="549"/>
      <c r="AO288" s="550"/>
      <c r="AP288" s="550"/>
      <c r="AQ288" s="549"/>
      <c r="AR288" s="550"/>
      <c r="AS288" s="550"/>
      <c r="AT288" s="549"/>
      <c r="AU288" s="550"/>
      <c r="AV288" s="550"/>
      <c r="AW288" s="549"/>
      <c r="AX288" s="550"/>
      <c r="AY288" s="550"/>
      <c r="AZ288" s="549"/>
      <c r="BA288" s="550"/>
      <c r="BB288" s="550"/>
      <c r="BC288" s="550"/>
    </row>
    <row r="289" spans="1:55" s="519" customFormat="1" hidden="1">
      <c r="A289" s="531" t="str">
        <f t="shared" si="32"/>
        <v>AQ</v>
      </c>
      <c r="B289" s="50" t="str">
        <f t="shared" si="33"/>
        <v>SIPPM25</v>
      </c>
      <c r="C289" s="50" t="s">
        <v>262</v>
      </c>
      <c r="D289" s="532" t="str">
        <f>'15CustomParticipants'!D$57</f>
        <v>Enter custom role 4</v>
      </c>
      <c r="E289" s="50" t="s">
        <v>53</v>
      </c>
      <c r="F289" s="535" t="str">
        <f t="shared" si="31"/>
        <v>not applicable</v>
      </c>
      <c r="G289" s="543"/>
      <c r="H289" s="544">
        <f>Table3[[#This Row],[Hrs Rank]]</f>
        <v>0</v>
      </c>
      <c r="I289" s="534">
        <f t="shared" si="28"/>
        <v>0</v>
      </c>
      <c r="J289" s="534">
        <f t="shared" si="29"/>
        <v>0</v>
      </c>
      <c r="K289" s="551"/>
      <c r="L289" s="551"/>
      <c r="M289" s="547" t="s">
        <v>223</v>
      </c>
      <c r="N289" s="547" t="s">
        <v>223</v>
      </c>
      <c r="O289" s="548"/>
      <c r="P289" s="549"/>
      <c r="Q289" s="550"/>
      <c r="R289" s="550"/>
      <c r="S289" s="549"/>
      <c r="T289" s="550"/>
      <c r="U289" s="550"/>
      <c r="V289" s="549"/>
      <c r="W289" s="550"/>
      <c r="X289" s="550"/>
      <c r="Y289" s="549"/>
      <c r="Z289" s="550"/>
      <c r="AA289" s="550"/>
      <c r="AB289" s="549"/>
      <c r="AC289" s="550"/>
      <c r="AD289" s="550"/>
      <c r="AE289" s="549"/>
      <c r="AF289" s="550"/>
      <c r="AG289" s="550"/>
      <c r="AH289" s="549"/>
      <c r="AI289" s="550"/>
      <c r="AJ289" s="550"/>
      <c r="AK289" s="549"/>
      <c r="AL289" s="550"/>
      <c r="AM289" s="550"/>
      <c r="AN289" s="549"/>
      <c r="AO289" s="550"/>
      <c r="AP289" s="550"/>
      <c r="AQ289" s="549"/>
      <c r="AR289" s="550"/>
      <c r="AS289" s="550"/>
      <c r="AT289" s="549"/>
      <c r="AU289" s="550"/>
      <c r="AV289" s="550"/>
      <c r="AW289" s="549"/>
      <c r="AX289" s="550"/>
      <c r="AY289" s="550"/>
      <c r="AZ289" s="549"/>
      <c r="BA289" s="550"/>
      <c r="BB289" s="550"/>
      <c r="BC289" s="550"/>
    </row>
    <row r="290" spans="1:55" s="519" customFormat="1" hidden="1">
      <c r="A290" s="531" t="str">
        <f t="shared" si="32"/>
        <v>AQ</v>
      </c>
      <c r="B290" s="50" t="str">
        <f t="shared" si="33"/>
        <v>SIPPM25</v>
      </c>
      <c r="C290" s="50" t="s">
        <v>262</v>
      </c>
      <c r="D290" s="532" t="str">
        <f>'15CustomParticipants'!D$57</f>
        <v>Enter custom role 4</v>
      </c>
      <c r="E290" s="50" t="s">
        <v>53</v>
      </c>
      <c r="F290" s="535" t="str">
        <f t="shared" si="31"/>
        <v>not applicable</v>
      </c>
      <c r="G290" s="543"/>
      <c r="H290" s="544">
        <f>Table3[[#This Row],[Hrs Rank]]</f>
        <v>0</v>
      </c>
      <c r="I290" s="534">
        <f t="shared" si="28"/>
        <v>0</v>
      </c>
      <c r="J290" s="534">
        <f t="shared" si="29"/>
        <v>0</v>
      </c>
      <c r="K290" s="551"/>
      <c r="L290" s="551"/>
      <c r="M290" s="547" t="s">
        <v>223</v>
      </c>
      <c r="N290" s="547" t="s">
        <v>223</v>
      </c>
      <c r="O290" s="548"/>
      <c r="P290" s="549"/>
      <c r="Q290" s="550"/>
      <c r="R290" s="550"/>
      <c r="S290" s="549"/>
      <c r="T290" s="550"/>
      <c r="U290" s="550"/>
      <c r="V290" s="549"/>
      <c r="W290" s="550"/>
      <c r="X290" s="550"/>
      <c r="Y290" s="549"/>
      <c r="Z290" s="550"/>
      <c r="AA290" s="550"/>
      <c r="AB290" s="549"/>
      <c r="AC290" s="550"/>
      <c r="AD290" s="550"/>
      <c r="AE290" s="549"/>
      <c r="AF290" s="550"/>
      <c r="AG290" s="550"/>
      <c r="AH290" s="549"/>
      <c r="AI290" s="550"/>
      <c r="AJ290" s="550"/>
      <c r="AK290" s="549"/>
      <c r="AL290" s="550"/>
      <c r="AM290" s="550"/>
      <c r="AN290" s="549"/>
      <c r="AO290" s="550"/>
      <c r="AP290" s="550"/>
      <c r="AQ290" s="549"/>
      <c r="AR290" s="550"/>
      <c r="AS290" s="550"/>
      <c r="AT290" s="549"/>
      <c r="AU290" s="550"/>
      <c r="AV290" s="550"/>
      <c r="AW290" s="549"/>
      <c r="AX290" s="550"/>
      <c r="AY290" s="550"/>
      <c r="AZ290" s="549"/>
      <c r="BA290" s="550"/>
      <c r="BB290" s="550"/>
      <c r="BC290" s="550"/>
    </row>
    <row r="291" spans="1:55" s="519" customFormat="1" hidden="1">
      <c r="A291" s="531" t="str">
        <f t="shared" si="32"/>
        <v>AQ</v>
      </c>
      <c r="B291" s="50" t="str">
        <f t="shared" si="33"/>
        <v>SIPPM25</v>
      </c>
      <c r="C291" s="50" t="s">
        <v>262</v>
      </c>
      <c r="D291" s="532" t="str">
        <f>'15CustomParticipants'!D$57</f>
        <v>Enter custom role 4</v>
      </c>
      <c r="E291" s="50" t="s">
        <v>53</v>
      </c>
      <c r="F291" s="535" t="str">
        <f t="shared" si="31"/>
        <v>not applicable</v>
      </c>
      <c r="G291" s="543"/>
      <c r="H291" s="544">
        <f>Table3[[#This Row],[Hrs Rank]]</f>
        <v>0</v>
      </c>
      <c r="I291" s="534">
        <f t="shared" si="28"/>
        <v>0</v>
      </c>
      <c r="J291" s="534">
        <f t="shared" si="29"/>
        <v>0</v>
      </c>
      <c r="K291" s="551"/>
      <c r="L291" s="551"/>
      <c r="M291" s="547" t="s">
        <v>223</v>
      </c>
      <c r="N291" s="547" t="s">
        <v>223</v>
      </c>
      <c r="O291" s="548"/>
      <c r="P291" s="549"/>
      <c r="Q291" s="550"/>
      <c r="R291" s="550"/>
      <c r="S291" s="549"/>
      <c r="T291" s="550"/>
      <c r="U291" s="550"/>
      <c r="V291" s="549"/>
      <c r="W291" s="550"/>
      <c r="X291" s="550"/>
      <c r="Y291" s="549"/>
      <c r="Z291" s="550"/>
      <c r="AA291" s="550"/>
      <c r="AB291" s="549"/>
      <c r="AC291" s="550"/>
      <c r="AD291" s="550"/>
      <c r="AE291" s="549"/>
      <c r="AF291" s="550"/>
      <c r="AG291" s="550"/>
      <c r="AH291" s="549"/>
      <c r="AI291" s="550"/>
      <c r="AJ291" s="550"/>
      <c r="AK291" s="549"/>
      <c r="AL291" s="550"/>
      <c r="AM291" s="550"/>
      <c r="AN291" s="549"/>
      <c r="AO291" s="550"/>
      <c r="AP291" s="550"/>
      <c r="AQ291" s="549"/>
      <c r="AR291" s="550"/>
      <c r="AS291" s="550"/>
      <c r="AT291" s="549"/>
      <c r="AU291" s="550"/>
      <c r="AV291" s="550"/>
      <c r="AW291" s="549"/>
      <c r="AX291" s="550"/>
      <c r="AY291" s="550"/>
      <c r="AZ291" s="549"/>
      <c r="BA291" s="550"/>
      <c r="BB291" s="550"/>
      <c r="BC291" s="550"/>
    </row>
    <row r="292" spans="1:55" s="519" customFormat="1" hidden="1">
      <c r="A292" s="531" t="str">
        <f t="shared" si="32"/>
        <v>AQ</v>
      </c>
      <c r="B292" s="50" t="str">
        <f t="shared" si="33"/>
        <v>SIPPM25</v>
      </c>
      <c r="C292" s="50" t="s">
        <v>262</v>
      </c>
      <c r="D292" s="532" t="str">
        <f>'15CustomParticipants'!D$57</f>
        <v>Enter custom role 4</v>
      </c>
      <c r="E292" s="50" t="s">
        <v>53</v>
      </c>
      <c r="F292" s="535" t="str">
        <f t="shared" si="31"/>
        <v>not applicable</v>
      </c>
      <c r="G292" s="543"/>
      <c r="H292" s="544">
        <f>Table3[[#This Row],[Hrs Rank]]</f>
        <v>0</v>
      </c>
      <c r="I292" s="534">
        <f t="shared" si="28"/>
        <v>0</v>
      </c>
      <c r="J292" s="534">
        <f t="shared" si="29"/>
        <v>0</v>
      </c>
      <c r="K292" s="551"/>
      <c r="L292" s="551"/>
      <c r="M292" s="547" t="s">
        <v>223</v>
      </c>
      <c r="N292" s="547" t="s">
        <v>223</v>
      </c>
      <c r="O292" s="548"/>
      <c r="P292" s="549"/>
      <c r="Q292" s="550"/>
      <c r="R292" s="550"/>
      <c r="S292" s="549"/>
      <c r="T292" s="550"/>
      <c r="U292" s="550"/>
      <c r="V292" s="549"/>
      <c r="W292" s="550"/>
      <c r="X292" s="550"/>
      <c r="Y292" s="549"/>
      <c r="Z292" s="550"/>
      <c r="AA292" s="550"/>
      <c r="AB292" s="549"/>
      <c r="AC292" s="550"/>
      <c r="AD292" s="550"/>
      <c r="AE292" s="549"/>
      <c r="AF292" s="550"/>
      <c r="AG292" s="550"/>
      <c r="AH292" s="549"/>
      <c r="AI292" s="550"/>
      <c r="AJ292" s="550"/>
      <c r="AK292" s="549"/>
      <c r="AL292" s="550"/>
      <c r="AM292" s="550"/>
      <c r="AN292" s="549"/>
      <c r="AO292" s="550"/>
      <c r="AP292" s="550"/>
      <c r="AQ292" s="549"/>
      <c r="AR292" s="550"/>
      <c r="AS292" s="550"/>
      <c r="AT292" s="549"/>
      <c r="AU292" s="550"/>
      <c r="AV292" s="550"/>
      <c r="AW292" s="549"/>
      <c r="AX292" s="550"/>
      <c r="AY292" s="550"/>
      <c r="AZ292" s="549"/>
      <c r="BA292" s="550"/>
      <c r="BB292" s="550"/>
      <c r="BC292" s="550"/>
    </row>
    <row r="293" spans="1:55" s="519" customFormat="1" hidden="1">
      <c r="A293" s="531" t="str">
        <f t="shared" si="32"/>
        <v>AQ</v>
      </c>
      <c r="B293" s="50" t="str">
        <f t="shared" si="33"/>
        <v>SIPPM25</v>
      </c>
      <c r="C293" s="50" t="s">
        <v>262</v>
      </c>
      <c r="D293" s="532" t="str">
        <f>'15CustomParticipants'!D$57</f>
        <v>Enter custom role 4</v>
      </c>
      <c r="E293" s="50" t="s">
        <v>52</v>
      </c>
      <c r="F293" s="535" t="str">
        <f t="shared" si="31"/>
        <v>not applicable</v>
      </c>
      <c r="G293" s="543"/>
      <c r="H293" s="544">
        <f>Table3[[#This Row],[Hrs Rank]]</f>
        <v>0</v>
      </c>
      <c r="I293" s="534">
        <f t="shared" si="28"/>
        <v>0</v>
      </c>
      <c r="J293" s="534">
        <f t="shared" si="29"/>
        <v>0</v>
      </c>
      <c r="K293" s="551"/>
      <c r="L293" s="551"/>
      <c r="M293" s="547" t="s">
        <v>223</v>
      </c>
      <c r="N293" s="547" t="s">
        <v>223</v>
      </c>
      <c r="O293" s="548"/>
      <c r="P293" s="549"/>
      <c r="Q293" s="550"/>
      <c r="R293" s="550"/>
      <c r="S293" s="549"/>
      <c r="T293" s="550"/>
      <c r="U293" s="550"/>
      <c r="V293" s="549"/>
      <c r="W293" s="550"/>
      <c r="X293" s="550"/>
      <c r="Y293" s="549"/>
      <c r="Z293" s="550"/>
      <c r="AA293" s="550"/>
      <c r="AB293" s="549"/>
      <c r="AC293" s="550"/>
      <c r="AD293" s="550"/>
      <c r="AE293" s="549"/>
      <c r="AF293" s="550"/>
      <c r="AG293" s="550"/>
      <c r="AH293" s="549"/>
      <c r="AI293" s="550"/>
      <c r="AJ293" s="550"/>
      <c r="AK293" s="549"/>
      <c r="AL293" s="550"/>
      <c r="AM293" s="550"/>
      <c r="AN293" s="549"/>
      <c r="AO293" s="550"/>
      <c r="AP293" s="550"/>
      <c r="AQ293" s="549"/>
      <c r="AR293" s="550"/>
      <c r="AS293" s="550"/>
      <c r="AT293" s="549"/>
      <c r="AU293" s="550"/>
      <c r="AV293" s="550"/>
      <c r="AW293" s="549"/>
      <c r="AX293" s="550"/>
      <c r="AY293" s="550"/>
      <c r="AZ293" s="549"/>
      <c r="BA293" s="550"/>
      <c r="BB293" s="550"/>
      <c r="BC293" s="550"/>
    </row>
    <row r="294" spans="1:55" s="519" customFormat="1" hidden="1">
      <c r="A294" s="531" t="str">
        <f t="shared" si="32"/>
        <v>AQ</v>
      </c>
      <c r="B294" s="50" t="str">
        <f t="shared" si="33"/>
        <v>SIPPM25</v>
      </c>
      <c r="C294" s="50" t="s">
        <v>262</v>
      </c>
      <c r="D294" s="532" t="str">
        <f>'15CustomParticipants'!D$57</f>
        <v>Enter custom role 4</v>
      </c>
      <c r="E294" s="50" t="s">
        <v>52</v>
      </c>
      <c r="F294" s="535" t="str">
        <f t="shared" si="31"/>
        <v>not applicable</v>
      </c>
      <c r="G294" s="543"/>
      <c r="H294" s="544">
        <f>Table3[[#This Row],[Hrs Rank]]</f>
        <v>0</v>
      </c>
      <c r="I294" s="534">
        <f t="shared" si="28"/>
        <v>0</v>
      </c>
      <c r="J294" s="534">
        <f t="shared" si="29"/>
        <v>0</v>
      </c>
      <c r="K294" s="551"/>
      <c r="L294" s="551"/>
      <c r="M294" s="547" t="s">
        <v>223</v>
      </c>
      <c r="N294" s="547" t="s">
        <v>223</v>
      </c>
      <c r="O294" s="548"/>
      <c r="P294" s="549"/>
      <c r="Q294" s="550"/>
      <c r="R294" s="550"/>
      <c r="S294" s="549"/>
      <c r="T294" s="550"/>
      <c r="U294" s="550"/>
      <c r="V294" s="549"/>
      <c r="W294" s="550"/>
      <c r="X294" s="550"/>
      <c r="Y294" s="549"/>
      <c r="Z294" s="550"/>
      <c r="AA294" s="550"/>
      <c r="AB294" s="549"/>
      <c r="AC294" s="550"/>
      <c r="AD294" s="550"/>
      <c r="AE294" s="549"/>
      <c r="AF294" s="550"/>
      <c r="AG294" s="550"/>
      <c r="AH294" s="549"/>
      <c r="AI294" s="550"/>
      <c r="AJ294" s="550"/>
      <c r="AK294" s="549"/>
      <c r="AL294" s="550"/>
      <c r="AM294" s="550"/>
      <c r="AN294" s="549"/>
      <c r="AO294" s="550"/>
      <c r="AP294" s="550"/>
      <c r="AQ294" s="549"/>
      <c r="AR294" s="550"/>
      <c r="AS294" s="550"/>
      <c r="AT294" s="549"/>
      <c r="AU294" s="550"/>
      <c r="AV294" s="550"/>
      <c r="AW294" s="549"/>
      <c r="AX294" s="550"/>
      <c r="AY294" s="550"/>
      <c r="AZ294" s="549"/>
      <c r="BA294" s="550"/>
      <c r="BB294" s="550"/>
      <c r="BC294" s="550"/>
    </row>
    <row r="295" spans="1:55" s="519" customFormat="1" hidden="1">
      <c r="A295" s="531" t="str">
        <f t="shared" si="32"/>
        <v>AQ</v>
      </c>
      <c r="B295" s="50" t="str">
        <f t="shared" si="33"/>
        <v>SIPPM25</v>
      </c>
      <c r="C295" s="50" t="s">
        <v>262</v>
      </c>
      <c r="D295" s="532" t="str">
        <f>'15CustomParticipants'!D$57</f>
        <v>Enter custom role 4</v>
      </c>
      <c r="E295" s="50" t="s">
        <v>52</v>
      </c>
      <c r="F295" s="535" t="str">
        <f t="shared" si="31"/>
        <v>not applicable</v>
      </c>
      <c r="G295" s="543"/>
      <c r="H295" s="544">
        <f>Table3[[#This Row],[Hrs Rank]]</f>
        <v>0</v>
      </c>
      <c r="I295" s="534">
        <f t="shared" si="28"/>
        <v>0</v>
      </c>
      <c r="J295" s="534">
        <f t="shared" si="29"/>
        <v>0</v>
      </c>
      <c r="K295" s="551"/>
      <c r="L295" s="551"/>
      <c r="M295" s="547" t="s">
        <v>223</v>
      </c>
      <c r="N295" s="547" t="s">
        <v>223</v>
      </c>
      <c r="O295" s="548"/>
      <c r="P295" s="549"/>
      <c r="Q295" s="550"/>
      <c r="R295" s="550"/>
      <c r="S295" s="549"/>
      <c r="T295" s="550"/>
      <c r="U295" s="550"/>
      <c r="V295" s="549"/>
      <c r="W295" s="550"/>
      <c r="X295" s="550"/>
      <c r="Y295" s="549"/>
      <c r="Z295" s="550"/>
      <c r="AA295" s="550"/>
      <c r="AB295" s="549"/>
      <c r="AC295" s="550"/>
      <c r="AD295" s="550"/>
      <c r="AE295" s="549"/>
      <c r="AF295" s="550"/>
      <c r="AG295" s="550"/>
      <c r="AH295" s="549"/>
      <c r="AI295" s="550"/>
      <c r="AJ295" s="550"/>
      <c r="AK295" s="549"/>
      <c r="AL295" s="550"/>
      <c r="AM295" s="550"/>
      <c r="AN295" s="549"/>
      <c r="AO295" s="550"/>
      <c r="AP295" s="550"/>
      <c r="AQ295" s="549"/>
      <c r="AR295" s="550"/>
      <c r="AS295" s="550"/>
      <c r="AT295" s="549"/>
      <c r="AU295" s="550"/>
      <c r="AV295" s="550"/>
      <c r="AW295" s="549"/>
      <c r="AX295" s="550"/>
      <c r="AY295" s="550"/>
      <c r="AZ295" s="549"/>
      <c r="BA295" s="550"/>
      <c r="BB295" s="550"/>
      <c r="BC295" s="550"/>
    </row>
    <row r="296" spans="1:55" s="519" customFormat="1" hidden="1">
      <c r="A296" s="531" t="str">
        <f t="shared" si="32"/>
        <v>AQ</v>
      </c>
      <c r="B296" s="50" t="str">
        <f t="shared" si="33"/>
        <v>SIPPM25</v>
      </c>
      <c r="C296" s="50" t="s">
        <v>262</v>
      </c>
      <c r="D296" s="532" t="str">
        <f>'15CustomParticipants'!D$57</f>
        <v>Enter custom role 4</v>
      </c>
      <c r="E296" s="50" t="s">
        <v>52</v>
      </c>
      <c r="F296" s="535" t="str">
        <f t="shared" si="31"/>
        <v>not applicable</v>
      </c>
      <c r="G296" s="543"/>
      <c r="H296" s="544">
        <f>Table3[[#This Row],[Hrs Rank]]</f>
        <v>0</v>
      </c>
      <c r="I296" s="534">
        <f t="shared" si="28"/>
        <v>0</v>
      </c>
      <c r="J296" s="534">
        <f t="shared" si="29"/>
        <v>0</v>
      </c>
      <c r="K296" s="551"/>
      <c r="L296" s="551"/>
      <c r="M296" s="547" t="s">
        <v>223</v>
      </c>
      <c r="N296" s="547" t="s">
        <v>223</v>
      </c>
      <c r="O296" s="548"/>
      <c r="P296" s="549"/>
      <c r="Q296" s="550"/>
      <c r="R296" s="550"/>
      <c r="S296" s="549"/>
      <c r="T296" s="550"/>
      <c r="U296" s="550"/>
      <c r="V296" s="549"/>
      <c r="W296" s="550"/>
      <c r="X296" s="550"/>
      <c r="Y296" s="549"/>
      <c r="Z296" s="550"/>
      <c r="AA296" s="550"/>
      <c r="AB296" s="549"/>
      <c r="AC296" s="550"/>
      <c r="AD296" s="550"/>
      <c r="AE296" s="549"/>
      <c r="AF296" s="550"/>
      <c r="AG296" s="550"/>
      <c r="AH296" s="549"/>
      <c r="AI296" s="550"/>
      <c r="AJ296" s="550"/>
      <c r="AK296" s="549"/>
      <c r="AL296" s="550"/>
      <c r="AM296" s="550"/>
      <c r="AN296" s="549"/>
      <c r="AO296" s="550"/>
      <c r="AP296" s="550"/>
      <c r="AQ296" s="549"/>
      <c r="AR296" s="550"/>
      <c r="AS296" s="550"/>
      <c r="AT296" s="549"/>
      <c r="AU296" s="550"/>
      <c r="AV296" s="550"/>
      <c r="AW296" s="549"/>
      <c r="AX296" s="550"/>
      <c r="AY296" s="550"/>
      <c r="AZ296" s="549"/>
      <c r="BA296" s="550"/>
      <c r="BB296" s="550"/>
      <c r="BC296" s="550"/>
    </row>
    <row r="297" spans="1:55">
      <c r="A297" s="554"/>
      <c r="B297" s="552"/>
      <c r="C297" s="552"/>
      <c r="D297" s="553"/>
      <c r="E297" s="552"/>
      <c r="F297" s="552"/>
      <c r="G297" s="554"/>
      <c r="H297" s="554"/>
      <c r="I297" s="554"/>
      <c r="J297" s="554"/>
      <c r="K297" s="552"/>
      <c r="L297" s="552"/>
      <c r="M297" s="552"/>
      <c r="N297" s="552"/>
      <c r="O297" s="555"/>
      <c r="P297" s="555"/>
      <c r="Q297" s="555"/>
      <c r="R297" s="555"/>
      <c r="S297" s="555"/>
      <c r="T297" s="555"/>
      <c r="U297" s="555"/>
      <c r="V297" s="555"/>
      <c r="W297" s="555"/>
      <c r="X297" s="555"/>
      <c r="Y297" s="555"/>
      <c r="Z297" s="555"/>
      <c r="AA297" s="555"/>
      <c r="AB297" s="555"/>
      <c r="AC297" s="555"/>
      <c r="AD297" s="555"/>
      <c r="AE297" s="555"/>
      <c r="AF297" s="555"/>
      <c r="AG297" s="555"/>
      <c r="AH297" s="555"/>
      <c r="AI297" s="555"/>
      <c r="AJ297" s="555"/>
      <c r="AK297" s="556"/>
      <c r="AL297" s="555"/>
      <c r="AM297" s="555"/>
      <c r="AN297" s="555"/>
      <c r="AO297" s="555"/>
      <c r="AP297" s="555"/>
      <c r="AQ297" s="555"/>
      <c r="AR297" s="555"/>
      <c r="AS297" s="555"/>
      <c r="AT297" s="555"/>
      <c r="AU297" s="555"/>
      <c r="AV297" s="555"/>
      <c r="AW297" s="556"/>
      <c r="AX297" s="555"/>
      <c r="AY297" s="555"/>
      <c r="AZ297" s="555"/>
      <c r="BA297" s="555"/>
      <c r="BB297" s="555"/>
      <c r="BC297" s="555"/>
    </row>
    <row r="298" spans="1:55">
      <c r="D298" s="525"/>
    </row>
    <row r="299" spans="1:55">
      <c r="D299" s="525"/>
    </row>
    <row r="300" spans="1:55">
      <c r="D300" s="525"/>
    </row>
    <row r="301" spans="1:55">
      <c r="D301" s="525"/>
    </row>
    <row r="302" spans="1:55">
      <c r="D302" s="525"/>
    </row>
    <row r="303" spans="1:55">
      <c r="D303" s="525"/>
    </row>
    <row r="304" spans="1:55">
      <c r="D304" s="525"/>
    </row>
    <row r="305" spans="4:4">
      <c r="D305" s="525"/>
    </row>
    <row r="306" spans="4:4">
      <c r="D306" s="525"/>
    </row>
    <row r="307" spans="4:4">
      <c r="D307" s="525"/>
    </row>
    <row r="308" spans="4:4">
      <c r="D308" s="525"/>
    </row>
    <row r="309" spans="4:4">
      <c r="D309" s="525"/>
    </row>
    <row r="310" spans="4:4">
      <c r="D310" s="525"/>
    </row>
    <row r="311" spans="4:4">
      <c r="D311" s="525"/>
    </row>
    <row r="312" spans="4:4">
      <c r="D312" s="525"/>
    </row>
    <row r="313" spans="4:4">
      <c r="D313" s="525"/>
    </row>
    <row r="314" spans="4:4">
      <c r="D314" s="525"/>
    </row>
    <row r="315" spans="4:4">
      <c r="D315" s="525"/>
    </row>
    <row r="316" spans="4:4">
      <c r="D316" s="525"/>
    </row>
    <row r="317" spans="4:4">
      <c r="D317" s="525"/>
    </row>
    <row r="318" spans="4:4">
      <c r="D318" s="525"/>
    </row>
    <row r="319" spans="4:4">
      <c r="D319" s="525"/>
    </row>
    <row r="320" spans="4:4">
      <c r="D320" s="525"/>
    </row>
    <row r="321" spans="4:4">
      <c r="D321" s="525"/>
    </row>
    <row r="322" spans="4:4">
      <c r="D322" s="525"/>
    </row>
    <row r="323" spans="4:4">
      <c r="D323" s="525"/>
    </row>
    <row r="324" spans="4:4">
      <c r="D324" s="525"/>
    </row>
    <row r="325" spans="4:4">
      <c r="D325" s="525"/>
    </row>
    <row r="326" spans="4:4">
      <c r="D326" s="525"/>
    </row>
    <row r="327" spans="4:4">
      <c r="D327" s="525"/>
    </row>
    <row r="328" spans="4:4">
      <c r="D328" s="525"/>
    </row>
    <row r="329" spans="4:4">
      <c r="D329" s="525"/>
    </row>
    <row r="330" spans="4:4">
      <c r="D330" s="525"/>
    </row>
    <row r="331" spans="4:4">
      <c r="D331" s="525"/>
    </row>
    <row r="332" spans="4:4">
      <c r="D332" s="525"/>
    </row>
    <row r="333" spans="4:4">
      <c r="D333" s="525"/>
    </row>
    <row r="334" spans="4:4">
      <c r="D334" s="525"/>
    </row>
    <row r="335" spans="4:4">
      <c r="D335" s="525"/>
    </row>
    <row r="336" spans="4:4">
      <c r="D336" s="525"/>
    </row>
    <row r="337" spans="4:4">
      <c r="D337" s="525"/>
    </row>
    <row r="338" spans="4:4">
      <c r="D338" s="525"/>
    </row>
    <row r="339" spans="4:4">
      <c r="D339" s="525"/>
    </row>
    <row r="340" spans="4:4">
      <c r="D340" s="525"/>
    </row>
    <row r="341" spans="4:4">
      <c r="D341" s="525"/>
    </row>
    <row r="342" spans="4:4">
      <c r="D342" s="525"/>
    </row>
    <row r="343" spans="4:4">
      <c r="D343" s="525"/>
    </row>
    <row r="344" spans="4:4">
      <c r="D344" s="525"/>
    </row>
    <row r="345" spans="4:4">
      <c r="D345" s="525"/>
    </row>
    <row r="346" spans="4:4">
      <c r="D346" s="525"/>
    </row>
    <row r="347" spans="4:4">
      <c r="D347" s="525"/>
    </row>
    <row r="348" spans="4:4">
      <c r="D348" s="525"/>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topLeftCell="C7" zoomScaleNormal="100" workbookViewId="0">
      <selection activeCell="D2" sqref="D2"/>
    </sheetView>
  </sheetViews>
  <sheetFormatPr defaultColWidth="9" defaultRowHeight="20.399999999999999" outlineLevelRow="1" outlineLevelCol="1"/>
  <cols>
    <col min="1" max="1" width="13.69921875" style="330" customWidth="1"/>
    <col min="2" max="2" width="2.59765625" customWidth="1"/>
    <col min="3" max="3" width="2.59765625" style="44" customWidth="1"/>
    <col min="4" max="4" width="40.5" style="70" customWidth="1"/>
    <col min="5" max="5" width="15.69921875" style="70" customWidth="1"/>
    <col min="6" max="15" width="1.59765625" style="70" customWidth="1"/>
    <col min="16" max="16" width="15.69921875" style="70" customWidth="1"/>
    <col min="17" max="17" width="2.59765625" style="70" customWidth="1"/>
    <col min="18" max="18" width="2.59765625" style="64" customWidth="1"/>
    <col min="19" max="19" width="9" style="113" hidden="1" customWidth="1" outlineLevel="1"/>
    <col min="20" max="20" width="14.89843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09765625" style="64" customWidth="1"/>
    <col min="34" max="69" width="9" style="64"/>
    <col min="70" max="16384" width="9" style="70"/>
  </cols>
  <sheetData>
    <row r="1" spans="1:69" s="64" customFormat="1" ht="20.25" customHeight="1">
      <c r="A1" s="350" t="s">
        <v>104</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107</v>
      </c>
      <c r="B2" s="334"/>
      <c r="C2" s="332">
        <v>7</v>
      </c>
      <c r="D2" s="331" t="s">
        <v>61</v>
      </c>
      <c r="E2" s="710" t="str">
        <f>R.1MediaAndLongName</f>
        <v>AQ Updates to Oregon's State Implementation Plan</v>
      </c>
      <c r="F2" s="710"/>
      <c r="G2" s="710"/>
      <c r="H2" s="710"/>
      <c r="I2" s="710"/>
      <c r="J2" s="710"/>
      <c r="K2" s="710"/>
      <c r="L2" s="710"/>
      <c r="M2" s="710"/>
      <c r="N2" s="710"/>
      <c r="O2" s="710"/>
      <c r="P2" s="710"/>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689" t="s">
        <v>57</v>
      </c>
      <c r="N3" s="689"/>
      <c r="O3" s="689"/>
      <c r="P3" s="689"/>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4" t="s">
        <v>55</v>
      </c>
      <c r="E4" s="81">
        <f>S4</f>
        <v>0</v>
      </c>
      <c r="F4" s="690" t="s">
        <v>54</v>
      </c>
      <c r="G4" s="690"/>
      <c r="H4" s="690"/>
      <c r="I4" s="690"/>
      <c r="J4" s="690"/>
      <c r="K4" s="690"/>
      <c r="L4" s="690"/>
      <c r="M4" s="691" t="str">
        <f>S5</f>
        <v>0</v>
      </c>
      <c r="N4" s="691"/>
      <c r="O4" s="691"/>
      <c r="P4" s="691"/>
      <c r="Q4" s="156"/>
      <c r="R4" s="334"/>
      <c r="S4" s="354">
        <f>COUNTIFS(S13:S55,"&gt;0")</f>
        <v>0</v>
      </c>
      <c r="T4" s="355">
        <f>SUM(T13:T55)</f>
        <v>0</v>
      </c>
      <c r="U4" s="355">
        <f>SUM(U13:U55)</f>
        <v>0</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4" t="s">
        <v>56</v>
      </c>
      <c r="E5" s="98">
        <f>R.AvgHrDEQCost</f>
        <v>58</v>
      </c>
      <c r="F5" s="690" t="s">
        <v>58</v>
      </c>
      <c r="G5" s="690"/>
      <c r="H5" s="690"/>
      <c r="I5" s="690"/>
      <c r="J5" s="690"/>
      <c r="K5" s="690"/>
      <c r="L5" s="690"/>
      <c r="M5" s="692" t="str">
        <f>S6</f>
        <v>$0</v>
      </c>
      <c r="N5" s="692"/>
      <c r="O5" s="692"/>
      <c r="P5" s="692"/>
      <c r="Q5" s="156"/>
      <c r="R5" s="334"/>
      <c r="S5" s="122" t="str">
        <f>IF(R.7StaffCount=0,"0",IF(R.7LowHrs=0,"0-"&amp;TEXT(R.7HighHrs,"#,###"),TEXT(R.7LowHrs,"#,###")&amp;"-"&amp;TEXT(R.7HighHrs,"#,###")))</f>
        <v>0</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5" t="s">
        <v>0</v>
      </c>
      <c r="E6" s="100"/>
      <c r="F6" s="99"/>
      <c r="G6" s="99"/>
      <c r="H6" s="99"/>
      <c r="I6" s="99"/>
      <c r="J6" s="99"/>
      <c r="K6" s="99"/>
      <c r="L6" s="99"/>
      <c r="M6" s="99"/>
      <c r="N6" s="99"/>
      <c r="O6" s="99"/>
      <c r="P6" s="99"/>
      <c r="Q6" s="156"/>
      <c r="R6" s="334"/>
      <c r="S6" s="122" t="str">
        <f>IF(R.7StaffCount=0,"$0",IF(R.7LowDollars=0,"$0-"&amp;TEXT(R.7HighDollars,"#,###"),TEXT(R.7LowDollars,"$#,###")&amp;"-"&amp;TEXT(R.7HighDollars,"#,###")))</f>
        <v>$0</v>
      </c>
      <c r="T6" s="124">
        <f>T4*E5</f>
        <v>0</v>
      </c>
      <c r="U6" s="124">
        <f>U4*E5</f>
        <v>0</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25" t="s">
        <v>246</v>
      </c>
      <c r="E7" s="726"/>
      <c r="F7" s="726"/>
      <c r="G7" s="726"/>
      <c r="H7" s="726"/>
      <c r="I7" s="726"/>
      <c r="J7" s="726"/>
      <c r="K7" s="726"/>
      <c r="L7" s="726"/>
      <c r="M7" s="726"/>
      <c r="N7" s="726"/>
      <c r="O7" s="726"/>
      <c r="P7" s="727"/>
      <c r="Q7" s="156"/>
      <c r="R7" s="334"/>
      <c r="S7" s="496" t="e">
        <f>AVERAGEIF(S14:S56,"&gt;0")</f>
        <v>#DIV/0!</v>
      </c>
      <c r="T7" s="493"/>
      <c r="U7" s="493"/>
      <c r="V7" s="120"/>
      <c r="W7" s="436"/>
      <c r="X7" s="436"/>
      <c r="Y7" s="436"/>
      <c r="Z7" s="436"/>
      <c r="AA7" s="436"/>
      <c r="AB7" s="436"/>
      <c r="AC7" s="436"/>
      <c r="AD7" s="66"/>
      <c r="AE7" s="66"/>
      <c r="AF7" s="66"/>
    </row>
    <row r="8" spans="1:69" s="69" customFormat="1" ht="14.25" customHeight="1">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107</v>
      </c>
      <c r="B9" s="334"/>
      <c r="C9" s="483" t="s">
        <v>0</v>
      </c>
      <c r="D9" s="381" t="s">
        <v>147</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3" t="s">
        <v>53</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703"/>
      <c r="E11" s="704"/>
      <c r="F11" s="704"/>
      <c r="G11" s="704"/>
      <c r="H11" s="704"/>
      <c r="I11" s="704"/>
      <c r="J11" s="704"/>
      <c r="K11" s="704"/>
      <c r="L11" s="704"/>
      <c r="M11" s="704"/>
      <c r="N11" s="704"/>
      <c r="O11" s="704"/>
      <c r="P11" s="705"/>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7" t="s">
        <v>60</v>
      </c>
      <c r="E12" s="393" t="s">
        <v>17</v>
      </c>
      <c r="F12" s="728" t="s">
        <v>18</v>
      </c>
      <c r="G12" s="728"/>
      <c r="H12" s="728"/>
      <c r="I12" s="728"/>
      <c r="J12" s="728"/>
      <c r="K12" s="728"/>
      <c r="L12" s="728"/>
      <c r="M12" s="728"/>
      <c r="N12" s="728"/>
      <c r="O12" s="728"/>
      <c r="P12" s="393" t="s">
        <v>19</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c r="E13" s="30" t="s">
        <v>224</v>
      </c>
      <c r="F13" s="71">
        <v>1</v>
      </c>
      <c r="G13" s="72">
        <v>2</v>
      </c>
      <c r="H13" s="73">
        <v>3</v>
      </c>
      <c r="I13" s="74">
        <v>4</v>
      </c>
      <c r="J13" s="75">
        <v>5</v>
      </c>
      <c r="K13" s="76">
        <v>6</v>
      </c>
      <c r="L13" s="77">
        <v>7</v>
      </c>
      <c r="M13" s="78">
        <v>8</v>
      </c>
      <c r="N13" s="79">
        <v>9</v>
      </c>
      <c r="O13" s="80">
        <v>10</v>
      </c>
      <c r="P13" s="32" t="s">
        <v>0</v>
      </c>
      <c r="Q13" s="139"/>
      <c r="R13" s="334"/>
      <c r="S13" s="133">
        <f>VLOOKUP($E13,R.VL_DEQResourcesInvolved,2,FALSE)</f>
        <v>0</v>
      </c>
      <c r="T13" s="121">
        <f>VLOOKUP($E13,R.VL_DEQResourcesInvolved,3,FALSE)</f>
        <v>0</v>
      </c>
      <c r="U13" s="121">
        <f>IF(S13=10,T13,VLOOKUP($E13,R.VL_DEQResourcesInvolved,4,FALSE))</f>
        <v>0</v>
      </c>
      <c r="V13" s="575" t="s">
        <v>549</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224</v>
      </c>
      <c r="F14" s="71">
        <v>1</v>
      </c>
      <c r="G14" s="72">
        <v>2</v>
      </c>
      <c r="H14" s="73">
        <v>3</v>
      </c>
      <c r="I14" s="74">
        <v>4</v>
      </c>
      <c r="J14" s="75">
        <v>5</v>
      </c>
      <c r="K14" s="76">
        <v>6</v>
      </c>
      <c r="L14" s="77">
        <v>7</v>
      </c>
      <c r="M14" s="78">
        <v>8</v>
      </c>
      <c r="N14" s="79">
        <v>9</v>
      </c>
      <c r="O14" s="80">
        <v>10</v>
      </c>
      <c r="P14" s="32" t="s">
        <v>14</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224</v>
      </c>
      <c r="F15" s="71">
        <v>1</v>
      </c>
      <c r="G15" s="72">
        <v>2</v>
      </c>
      <c r="H15" s="73">
        <v>3</v>
      </c>
      <c r="I15" s="74">
        <v>4</v>
      </c>
      <c r="J15" s="75">
        <v>5</v>
      </c>
      <c r="K15" s="76">
        <v>6</v>
      </c>
      <c r="L15" s="77">
        <v>7</v>
      </c>
      <c r="M15" s="78">
        <v>8</v>
      </c>
      <c r="N15" s="79">
        <v>9</v>
      </c>
      <c r="O15" s="80">
        <v>10</v>
      </c>
      <c r="P15" s="32" t="s">
        <v>15</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224</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2" t="s">
        <v>52</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41"/>
      <c r="E18" s="742"/>
      <c r="F18" s="742"/>
      <c r="G18" s="742"/>
      <c r="H18" s="742"/>
      <c r="I18" s="742"/>
      <c r="J18" s="742"/>
      <c r="K18" s="742"/>
      <c r="L18" s="742"/>
      <c r="M18" s="742"/>
      <c r="N18" s="742"/>
      <c r="O18" s="742"/>
      <c r="P18" s="743"/>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2" t="s">
        <v>60</v>
      </c>
      <c r="E19" s="292" t="s">
        <v>17</v>
      </c>
      <c r="F19" s="292" t="s">
        <v>18</v>
      </c>
      <c r="G19" s="292"/>
      <c r="H19" s="292"/>
      <c r="I19" s="292"/>
      <c r="J19" s="292"/>
      <c r="K19" s="292"/>
      <c r="L19" s="292"/>
      <c r="M19" s="292"/>
      <c r="N19" s="292"/>
      <c r="O19" s="292"/>
      <c r="P19" s="292" t="s">
        <v>19</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c r="E20" s="30" t="s">
        <v>224</v>
      </c>
      <c r="F20" s="71">
        <v>1</v>
      </c>
      <c r="G20" s="72">
        <v>2</v>
      </c>
      <c r="H20" s="73">
        <v>3</v>
      </c>
      <c r="I20" s="74">
        <v>4</v>
      </c>
      <c r="J20" s="75">
        <v>5</v>
      </c>
      <c r="K20" s="76">
        <v>6</v>
      </c>
      <c r="L20" s="77">
        <v>7</v>
      </c>
      <c r="M20" s="78">
        <v>8</v>
      </c>
      <c r="N20" s="79">
        <v>9</v>
      </c>
      <c r="O20" s="80">
        <v>10</v>
      </c>
      <c r="P20" s="32" t="s">
        <v>0</v>
      </c>
      <c r="Q20" s="139"/>
      <c r="R20" s="334"/>
      <c r="S20" s="133">
        <f>VLOOKUP($E20,R.VL_DEQResourcesInvolved,2,FALSE)</f>
        <v>0</v>
      </c>
      <c r="T20" s="121">
        <f>VLOOKUP($E20,R.VL_DEQResourcesInvolved,3,FALSE)</f>
        <v>0</v>
      </c>
      <c r="U20" s="121">
        <f>IF(S20=10,T20,VLOOKUP($E20,R.VL_DEQResourcesInvolved,4,FALSE))</f>
        <v>0</v>
      </c>
      <c r="V20" s="575" t="s">
        <v>549</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4"/>
      <c r="E21" s="30" t="s">
        <v>224</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224</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81"/>
      <c r="E24" s="745"/>
      <c r="F24" s="745"/>
      <c r="G24" s="745"/>
      <c r="H24" s="745"/>
      <c r="I24" s="745"/>
      <c r="J24" s="745"/>
      <c r="K24" s="745"/>
      <c r="L24" s="745"/>
      <c r="M24" s="745"/>
      <c r="N24" s="745"/>
      <c r="O24" s="745"/>
      <c r="P24" s="745"/>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107</v>
      </c>
      <c r="B25" s="334"/>
      <c r="C25" s="136"/>
      <c r="D25" s="304" t="s">
        <v>148</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3" t="s">
        <v>53</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703"/>
      <c r="E27" s="704"/>
      <c r="F27" s="704"/>
      <c r="G27" s="704"/>
      <c r="H27" s="704"/>
      <c r="I27" s="704"/>
      <c r="J27" s="704"/>
      <c r="K27" s="704"/>
      <c r="L27" s="704"/>
      <c r="M27" s="704"/>
      <c r="N27" s="704"/>
      <c r="O27" s="704"/>
      <c r="P27" s="705"/>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2" t="s">
        <v>60</v>
      </c>
      <c r="E28" s="159" t="s">
        <v>17</v>
      </c>
      <c r="F28" s="159" t="s">
        <v>18</v>
      </c>
      <c r="G28" s="159"/>
      <c r="H28" s="159"/>
      <c r="I28" s="159"/>
      <c r="J28" s="159"/>
      <c r="K28" s="159"/>
      <c r="L28" s="159"/>
      <c r="M28" s="159"/>
      <c r="N28" s="159"/>
      <c r="O28" s="159"/>
      <c r="P28" s="159" t="s">
        <v>19</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c r="E29" s="30" t="s">
        <v>224</v>
      </c>
      <c r="F29" s="71">
        <v>1</v>
      </c>
      <c r="G29" s="72">
        <v>2</v>
      </c>
      <c r="H29" s="73">
        <v>3</v>
      </c>
      <c r="I29" s="74">
        <v>4</v>
      </c>
      <c r="J29" s="75">
        <v>5</v>
      </c>
      <c r="K29" s="76">
        <v>6</v>
      </c>
      <c r="L29" s="77">
        <v>7</v>
      </c>
      <c r="M29" s="78">
        <v>8</v>
      </c>
      <c r="N29" s="79">
        <v>9</v>
      </c>
      <c r="O29" s="80">
        <v>10</v>
      </c>
      <c r="P29" s="32" t="s">
        <v>0</v>
      </c>
      <c r="Q29" s="139"/>
      <c r="R29" s="334"/>
      <c r="S29" s="133">
        <f>VLOOKUP($E29,R.VL_DEQResourcesInvolved,2,FALSE)</f>
        <v>0</v>
      </c>
      <c r="T29" s="121">
        <f>VLOOKUP($E29,R.VL_DEQResourcesInvolved,3,FALSE)</f>
        <v>0</v>
      </c>
      <c r="U29" s="121">
        <f>IF(S29=10,T29,VLOOKUP($E29,R.VL_DEQResourcesInvolved,4,FALSE))</f>
        <v>0</v>
      </c>
      <c r="V29" s="575" t="s">
        <v>549</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224</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224</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3" t="s">
        <v>52</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41"/>
      <c r="E34" s="742"/>
      <c r="F34" s="742"/>
      <c r="G34" s="742"/>
      <c r="H34" s="742"/>
      <c r="I34" s="742"/>
      <c r="J34" s="742"/>
      <c r="K34" s="742"/>
      <c r="L34" s="742"/>
      <c r="M34" s="742"/>
      <c r="N34" s="742"/>
      <c r="O34" s="742"/>
      <c r="P34" s="743"/>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2" t="s">
        <v>60</v>
      </c>
      <c r="E35" s="159" t="s">
        <v>17</v>
      </c>
      <c r="F35" s="159" t="s">
        <v>18</v>
      </c>
      <c r="G35" s="159"/>
      <c r="H35" s="159"/>
      <c r="I35" s="159"/>
      <c r="J35" s="159"/>
      <c r="K35" s="159"/>
      <c r="L35" s="159"/>
      <c r="M35" s="159"/>
      <c r="N35" s="159"/>
      <c r="O35" s="159"/>
      <c r="P35" s="159" t="s">
        <v>19</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0</v>
      </c>
      <c r="E36" s="30" t="s">
        <v>224</v>
      </c>
      <c r="F36" s="71">
        <v>1</v>
      </c>
      <c r="G36" s="72">
        <v>2</v>
      </c>
      <c r="H36" s="73">
        <v>3</v>
      </c>
      <c r="I36" s="74">
        <v>4</v>
      </c>
      <c r="J36" s="75">
        <v>5</v>
      </c>
      <c r="K36" s="76">
        <v>6</v>
      </c>
      <c r="L36" s="77">
        <v>7</v>
      </c>
      <c r="M36" s="78">
        <v>8</v>
      </c>
      <c r="N36" s="79">
        <v>9</v>
      </c>
      <c r="O36" s="80">
        <v>10</v>
      </c>
      <c r="P36" s="32" t="s">
        <v>0</v>
      </c>
      <c r="Q36" s="139"/>
      <c r="R36" s="334"/>
      <c r="S36" s="133">
        <f>VLOOKUP($E36,R.VL_DEQResourcesInvolved,2,FALSE)</f>
        <v>0</v>
      </c>
      <c r="T36" s="121">
        <f>VLOOKUP($E36,R.VL_DEQResourcesInvolved,3,FALSE)</f>
        <v>0</v>
      </c>
      <c r="U36" s="121">
        <f>IF(S36=10,T36,VLOOKUP($E36,R.VL_DEQResourcesInvolved,4,FALSE))</f>
        <v>0</v>
      </c>
      <c r="V36" s="575" t="s">
        <v>549</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224</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224</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224</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81"/>
      <c r="E40" s="745"/>
      <c r="F40" s="745"/>
      <c r="G40" s="745"/>
      <c r="H40" s="745"/>
      <c r="I40" s="745"/>
      <c r="J40" s="745"/>
      <c r="K40" s="745"/>
      <c r="L40" s="745"/>
      <c r="M40" s="745"/>
      <c r="N40" s="745"/>
      <c r="O40" s="745"/>
      <c r="P40" s="745"/>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107</v>
      </c>
      <c r="B41" s="334"/>
      <c r="C41" s="480" t="s">
        <v>0</v>
      </c>
      <c r="D41" s="304" t="s">
        <v>149</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3" t="s">
        <v>53</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703" t="s">
        <v>0</v>
      </c>
      <c r="E43" s="704"/>
      <c r="F43" s="704"/>
      <c r="G43" s="704"/>
      <c r="H43" s="704"/>
      <c r="I43" s="704"/>
      <c r="J43" s="704"/>
      <c r="K43" s="704"/>
      <c r="L43" s="704"/>
      <c r="M43" s="704"/>
      <c r="N43" s="704"/>
      <c r="O43" s="704"/>
      <c r="P43" s="705"/>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7" t="s">
        <v>60</v>
      </c>
      <c r="E44" s="393" t="s">
        <v>17</v>
      </c>
      <c r="F44" s="728" t="s">
        <v>18</v>
      </c>
      <c r="G44" s="728"/>
      <c r="H44" s="728"/>
      <c r="I44" s="728"/>
      <c r="J44" s="728"/>
      <c r="K44" s="728"/>
      <c r="L44" s="728"/>
      <c r="M44" s="728"/>
      <c r="N44" s="728"/>
      <c r="O44" s="728"/>
      <c r="P44" s="393" t="s">
        <v>19</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0</v>
      </c>
      <c r="E45" s="30" t="s">
        <v>224</v>
      </c>
      <c r="F45" s="71">
        <v>1</v>
      </c>
      <c r="G45" s="72">
        <v>2</v>
      </c>
      <c r="H45" s="73">
        <v>3</v>
      </c>
      <c r="I45" s="74">
        <v>4</v>
      </c>
      <c r="J45" s="75">
        <v>5</v>
      </c>
      <c r="K45" s="76">
        <v>6</v>
      </c>
      <c r="L45" s="77">
        <v>7</v>
      </c>
      <c r="M45" s="78">
        <v>8</v>
      </c>
      <c r="N45" s="79">
        <v>9</v>
      </c>
      <c r="O45" s="80">
        <v>10</v>
      </c>
      <c r="P45" s="32" t="s">
        <v>0</v>
      </c>
      <c r="Q45" s="139"/>
      <c r="R45" s="334"/>
      <c r="S45" s="133">
        <f>VLOOKUP($E45,R.VL_DEQResourcesInvolved,2,FALSE)</f>
        <v>0</v>
      </c>
      <c r="T45" s="121">
        <f>VLOOKUP($E45,R.VL_DEQResourcesInvolved,3,FALSE)</f>
        <v>0</v>
      </c>
      <c r="U45" s="121">
        <f>IF(S45=10,T45,VLOOKUP($E45,R.VL_DEQResourcesInvolved,4,FALSE))</f>
        <v>0</v>
      </c>
      <c r="V45" s="575" t="s">
        <v>549</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224</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224</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2" t="s">
        <v>52</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41" t="s">
        <v>0</v>
      </c>
      <c r="E50" s="742"/>
      <c r="F50" s="742"/>
      <c r="G50" s="742"/>
      <c r="H50" s="742"/>
      <c r="I50" s="742"/>
      <c r="J50" s="742"/>
      <c r="K50" s="742"/>
      <c r="L50" s="742"/>
      <c r="M50" s="742"/>
      <c r="N50" s="742"/>
      <c r="O50" s="742"/>
      <c r="P50" s="743"/>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2" t="s">
        <v>60</v>
      </c>
      <c r="E51" s="292" t="s">
        <v>17</v>
      </c>
      <c r="F51" s="292" t="s">
        <v>18</v>
      </c>
      <c r="G51" s="292"/>
      <c r="H51" s="292"/>
      <c r="I51" s="292"/>
      <c r="J51" s="292"/>
      <c r="K51" s="292"/>
      <c r="L51" s="292"/>
      <c r="M51" s="292"/>
      <c r="N51" s="292"/>
      <c r="O51" s="292"/>
      <c r="P51" s="292" t="s">
        <v>19</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0</v>
      </c>
      <c r="E52" s="30" t="s">
        <v>224</v>
      </c>
      <c r="F52" s="71">
        <v>1</v>
      </c>
      <c r="G52" s="72">
        <v>2</v>
      </c>
      <c r="H52" s="73">
        <v>3</v>
      </c>
      <c r="I52" s="74">
        <v>4</v>
      </c>
      <c r="J52" s="75">
        <v>5</v>
      </c>
      <c r="K52" s="76">
        <v>6</v>
      </c>
      <c r="L52" s="77">
        <v>7</v>
      </c>
      <c r="M52" s="78">
        <v>8</v>
      </c>
      <c r="N52" s="79">
        <v>9</v>
      </c>
      <c r="O52" s="80">
        <v>10</v>
      </c>
      <c r="P52" s="32" t="s">
        <v>0</v>
      </c>
      <c r="Q52" s="139"/>
      <c r="R52" s="334"/>
      <c r="S52" s="133">
        <f>VLOOKUP($E52,R.VL_DEQResourcesInvolved,2,FALSE)</f>
        <v>0</v>
      </c>
      <c r="T52" s="121">
        <f>VLOOKUP($E52,R.VL_DEQResourcesInvolved,3,FALSE)</f>
        <v>0</v>
      </c>
      <c r="U52" s="121">
        <f>IF(S52=10,T52,VLOOKUP($E52,R.VL_DEQResourcesInvolved,4,FALSE))</f>
        <v>0</v>
      </c>
      <c r="V52" s="575" t="s">
        <v>549</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224</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224</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44"/>
      <c r="F56" s="744"/>
      <c r="G56" s="744"/>
      <c r="H56" s="744"/>
      <c r="I56" s="744"/>
      <c r="J56" s="744"/>
      <c r="K56" s="744"/>
      <c r="L56" s="744"/>
      <c r="M56" s="744"/>
      <c r="N56" s="744"/>
      <c r="O56" s="744"/>
      <c r="P56" s="744"/>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46" t="str">
        <f>"Please suggest process improvements to the "&amp;D2&amp;" worksheet."</f>
        <v>Please suggest process improvements to the Regions worksheet.</v>
      </c>
      <c r="E57" s="746"/>
      <c r="F57" s="746"/>
      <c r="G57" s="746"/>
      <c r="H57" s="746"/>
      <c r="I57" s="746"/>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50"/>
      <c r="E58" s="651"/>
      <c r="F58" s="651"/>
      <c r="G58" s="651"/>
      <c r="H58" s="651"/>
      <c r="I58" s="651"/>
      <c r="J58" s="651"/>
      <c r="K58" s="651"/>
      <c r="L58" s="651"/>
      <c r="M58" s="651"/>
      <c r="N58" s="651"/>
      <c r="O58" s="651"/>
      <c r="P58" s="652"/>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108</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56:P56"/>
    <mergeCell ref="E24:P24"/>
    <mergeCell ref="D58:P58"/>
    <mergeCell ref="D27:P27"/>
    <mergeCell ref="D34:P34"/>
    <mergeCell ref="E40:P40"/>
    <mergeCell ref="D43:P43"/>
    <mergeCell ref="F44:O44"/>
    <mergeCell ref="D50:P50"/>
    <mergeCell ref="D57:I57"/>
    <mergeCell ref="E2:P2"/>
    <mergeCell ref="D11:P11"/>
    <mergeCell ref="F12:O12"/>
    <mergeCell ref="D18:P18"/>
    <mergeCell ref="M3:P3"/>
    <mergeCell ref="F4:L4"/>
    <mergeCell ref="M4:P4"/>
    <mergeCell ref="F5:L5"/>
    <mergeCell ref="M5:P5"/>
    <mergeCell ref="D7:P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topLeftCell="A29" zoomScaleNormal="100" workbookViewId="0">
      <selection activeCell="D2" sqref="D2"/>
    </sheetView>
  </sheetViews>
  <sheetFormatPr defaultColWidth="9" defaultRowHeight="20.399999999999999" outlineLevelRow="1" outlineLevelCol="1"/>
  <cols>
    <col min="1" max="1" width="13.69921875" style="310" customWidth="1"/>
    <col min="2" max="2" width="2.59765625" customWidth="1"/>
    <col min="3" max="3" width="2.59765625" style="44" customWidth="1"/>
    <col min="4" max="4" width="40.5" style="56" customWidth="1"/>
    <col min="5" max="5" width="15.69921875" style="56" customWidth="1"/>
    <col min="6" max="15" width="1.59765625" style="56" customWidth="1"/>
    <col min="16" max="16" width="15.69921875" style="56" customWidth="1"/>
    <col min="17" max="17" width="2.59765625" style="56" customWidth="1"/>
    <col min="18" max="18" width="2.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2" width="31.09765625" style="64" customWidth="1"/>
    <col min="33" max="33" width="31.09765625" style="56" customWidth="1"/>
    <col min="34" max="16384" width="9" style="56"/>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59</v>
      </c>
      <c r="E2" s="688" t="str">
        <f>R.1MediaAndLongName</f>
        <v>AQ Updates to Oregon's State Implementation Plan</v>
      </c>
      <c r="F2" s="688"/>
      <c r="G2" s="688"/>
      <c r="H2" s="688"/>
      <c r="I2" s="688"/>
      <c r="J2" s="688"/>
      <c r="K2" s="688"/>
      <c r="L2" s="688"/>
      <c r="M2" s="688"/>
      <c r="N2" s="688"/>
      <c r="O2" s="688"/>
      <c r="P2" s="688"/>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689" t="s">
        <v>57</v>
      </c>
      <c r="N3" s="689"/>
      <c r="O3" s="689"/>
      <c r="P3" s="689"/>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4" t="s">
        <v>55</v>
      </c>
      <c r="E4" s="81">
        <f>S4</f>
        <v>0</v>
      </c>
      <c r="F4" s="690" t="s">
        <v>54</v>
      </c>
      <c r="G4" s="690"/>
      <c r="H4" s="690"/>
      <c r="I4" s="690"/>
      <c r="J4" s="690"/>
      <c r="K4" s="690"/>
      <c r="L4" s="690"/>
      <c r="M4" s="691" t="str">
        <f>S5</f>
        <v>0</v>
      </c>
      <c r="N4" s="691"/>
      <c r="O4" s="691"/>
      <c r="P4" s="691"/>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c r="A5" s="316"/>
      <c r="B5" s="334"/>
      <c r="C5" s="155"/>
      <c r="D5" s="494" t="s">
        <v>68</v>
      </c>
      <c r="E5" s="98">
        <f>R.AvgHrDEQCost</f>
        <v>58</v>
      </c>
      <c r="F5" s="690" t="s">
        <v>58</v>
      </c>
      <c r="G5" s="690"/>
      <c r="H5" s="690"/>
      <c r="I5" s="690"/>
      <c r="J5" s="690"/>
      <c r="K5" s="690"/>
      <c r="L5" s="690"/>
      <c r="M5" s="692" t="str">
        <f>S6</f>
        <v>$0</v>
      </c>
      <c r="N5" s="692"/>
      <c r="O5" s="692"/>
      <c r="P5" s="692"/>
      <c r="Q5" s="156"/>
      <c r="R5" s="334"/>
      <c r="S5" s="358" t="str">
        <f>IF(R.8StaffCount=0,"0",IF(R.8LowHrs=0,"0-"&amp;TEXT(R.8HighHrs,"#,###"),TEXT(R.8LowHrs,"#,###")&amp;"-"&amp;TEXT(R.8HighHrs,"#,###")))</f>
        <v>0</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47" t="s">
        <v>173</v>
      </c>
      <c r="E6" s="747"/>
      <c r="F6" s="747"/>
      <c r="G6" s="747"/>
      <c r="H6" s="747"/>
      <c r="I6" s="747"/>
      <c r="J6" s="747"/>
      <c r="K6" s="747"/>
      <c r="L6" s="747"/>
      <c r="M6" s="747"/>
      <c r="N6" s="747"/>
      <c r="O6" s="747"/>
      <c r="P6" s="747"/>
      <c r="Q6" s="156"/>
      <c r="R6" s="334"/>
      <c r="S6" s="495" t="str">
        <f>IF(R.8StaffCount=0,"$0",IF(R.8LowDollars=0,"$0-"&amp;TEXT(R.8HighDollars,"#,###"),TEXT(R.8LowDollars,"$#,###")&amp;"-"&amp;TEXT(R.8HighDollars,"#,###")))</f>
        <v>$0</v>
      </c>
      <c r="T6" s="356">
        <f>T4*E5</f>
        <v>0</v>
      </c>
      <c r="U6" s="356">
        <f>U4*E5</f>
        <v>0</v>
      </c>
      <c r="V6" s="120"/>
      <c r="W6" s="64"/>
      <c r="X6" s="64"/>
      <c r="Y6" s="64"/>
      <c r="Z6" s="64"/>
      <c r="AA6" s="64"/>
      <c r="AB6" s="64"/>
      <c r="AC6" s="64"/>
      <c r="AD6" s="66"/>
      <c r="AE6" s="66"/>
      <c r="AF6" s="66"/>
    </row>
    <row r="7" spans="1:33" s="6" customFormat="1" ht="105" customHeight="1">
      <c r="A7" s="316"/>
      <c r="B7" s="334"/>
      <c r="C7" s="155"/>
      <c r="D7" s="725" t="s">
        <v>240</v>
      </c>
      <c r="E7" s="726"/>
      <c r="F7" s="726"/>
      <c r="G7" s="726"/>
      <c r="H7" s="726"/>
      <c r="I7" s="726"/>
      <c r="J7" s="726"/>
      <c r="K7" s="726"/>
      <c r="L7" s="726"/>
      <c r="M7" s="726"/>
      <c r="N7" s="726"/>
      <c r="O7" s="726"/>
      <c r="P7" s="727"/>
      <c r="Q7" s="156"/>
      <c r="R7" s="334"/>
      <c r="S7" s="496" t="e">
        <f>AVERAGEIF(S15:S57,"&gt;0")</f>
        <v>#DIV/0!</v>
      </c>
      <c r="T7" s="493"/>
      <c r="U7" s="493"/>
      <c r="V7" s="120"/>
      <c r="W7" s="436"/>
      <c r="X7" s="436"/>
      <c r="Y7" s="436"/>
      <c r="Z7" s="436"/>
      <c r="AA7" s="436"/>
      <c r="AB7" s="436"/>
      <c r="AC7" s="436"/>
      <c r="AD7" s="66"/>
      <c r="AE7" s="66"/>
      <c r="AF7" s="66"/>
    </row>
    <row r="8" spans="1:33" s="6" customFormat="1" ht="20.25" customHeight="1">
      <c r="A8" s="316"/>
      <c r="B8" s="334"/>
      <c r="C8" s="155"/>
      <c r="D8" s="751" t="s">
        <v>175</v>
      </c>
      <c r="E8" s="751"/>
      <c r="F8" s="751"/>
      <c r="G8" s="751"/>
      <c r="H8" s="751"/>
      <c r="I8" s="751"/>
      <c r="J8" s="751"/>
      <c r="K8" s="751"/>
      <c r="L8" s="751"/>
      <c r="M8" s="751"/>
      <c r="N8" s="751"/>
      <c r="O8" s="751"/>
      <c r="P8" s="751"/>
      <c r="Q8" s="156"/>
      <c r="R8" s="334"/>
      <c r="T8" s="493"/>
      <c r="U8" s="493"/>
      <c r="V8" s="120"/>
      <c r="W8" s="436"/>
      <c r="X8" s="436"/>
      <c r="Y8" s="436"/>
      <c r="Z8" s="436"/>
      <c r="AA8" s="436"/>
      <c r="AB8" s="436"/>
      <c r="AC8" s="436"/>
      <c r="AD8" s="66"/>
      <c r="AE8" s="66"/>
      <c r="AF8" s="66"/>
    </row>
    <row r="9" spans="1:33" s="28" customFormat="1" ht="15.75" customHeight="1">
      <c r="A9" s="345"/>
      <c r="B9" s="440"/>
      <c r="C9" s="138"/>
      <c r="D9" s="748" t="s">
        <v>464</v>
      </c>
      <c r="E9" s="749"/>
      <c r="F9" s="749"/>
      <c r="G9" s="749"/>
      <c r="H9" s="749"/>
      <c r="I9" s="749"/>
      <c r="J9" s="749"/>
      <c r="K9" s="749"/>
      <c r="L9" s="749"/>
      <c r="M9" s="749"/>
      <c r="N9" s="749"/>
      <c r="O9" s="749"/>
      <c r="P9" s="750"/>
      <c r="Q9" s="139"/>
      <c r="R9" s="440"/>
      <c r="S9" s="463"/>
      <c r="T9"/>
      <c r="U9" s="441"/>
      <c r="V9" s="438"/>
      <c r="W9" s="438"/>
      <c r="X9" s="438"/>
      <c r="Y9" s="438"/>
      <c r="Z9" s="438"/>
      <c r="AA9" s="438"/>
      <c r="AB9" s="438"/>
      <c r="AC9" s="438"/>
      <c r="AD9" s="130"/>
      <c r="AE9" s="130"/>
      <c r="AF9" s="130"/>
      <c r="AG9" s="130"/>
    </row>
    <row r="10" spans="1:33" s="69" customFormat="1" ht="8.25" customHeight="1">
      <c r="A10" s="317"/>
      <c r="B10" s="334"/>
      <c r="C10" s="404"/>
      <c r="D10" s="405"/>
      <c r="E10" s="405"/>
      <c r="F10" s="405"/>
      <c r="G10" s="405"/>
      <c r="H10" s="405"/>
      <c r="I10" s="405"/>
      <c r="J10" s="405"/>
      <c r="K10" s="405"/>
      <c r="L10" s="405"/>
      <c r="M10" s="405"/>
      <c r="N10" s="405"/>
      <c r="O10" s="405"/>
      <c r="P10" s="405"/>
      <c r="Q10" s="406"/>
      <c r="R10" s="334"/>
      <c r="S10" s="709"/>
      <c r="T10" s="709"/>
      <c r="U10" s="709"/>
      <c r="V10" s="126"/>
      <c r="W10" s="126"/>
      <c r="X10" s="126"/>
      <c r="Y10" s="126"/>
      <c r="Z10" s="126"/>
      <c r="AA10" s="126"/>
      <c r="AB10" s="126"/>
      <c r="AC10" s="126"/>
      <c r="AD10" s="125"/>
      <c r="AE10" s="125"/>
      <c r="AF10" s="125"/>
    </row>
    <row r="11" spans="1:33" s="33" customFormat="1" ht="30" customHeight="1">
      <c r="A11" s="350" t="s">
        <v>107</v>
      </c>
      <c r="B11" s="334"/>
      <c r="C11" s="480" t="s">
        <v>0</v>
      </c>
      <c r="D11" s="304" t="s">
        <v>146</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22" t="s">
        <v>174</v>
      </c>
      <c r="E13" s="723"/>
      <c r="F13" s="723"/>
      <c r="G13" s="723"/>
      <c r="H13" s="723"/>
      <c r="I13" s="723"/>
      <c r="J13" s="723"/>
      <c r="K13" s="723"/>
      <c r="L13" s="723"/>
      <c r="M13" s="723"/>
      <c r="N13" s="723"/>
      <c r="O13" s="723"/>
      <c r="P13" s="724"/>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7" t="s">
        <v>60</v>
      </c>
      <c r="E14" s="393" t="s">
        <v>17</v>
      </c>
      <c r="F14" s="728" t="s">
        <v>18</v>
      </c>
      <c r="G14" s="728"/>
      <c r="H14" s="728"/>
      <c r="I14" s="728"/>
      <c r="J14" s="728"/>
      <c r="K14" s="728"/>
      <c r="L14" s="728"/>
      <c r="M14" s="728"/>
      <c r="N14" s="728"/>
      <c r="O14" s="728"/>
      <c r="P14" s="393" t="s">
        <v>19</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172</v>
      </c>
      <c r="E15" s="30" t="s">
        <v>224</v>
      </c>
      <c r="F15" s="71">
        <v>1</v>
      </c>
      <c r="G15" s="72">
        <v>2</v>
      </c>
      <c r="H15" s="73">
        <v>3</v>
      </c>
      <c r="I15" s="74">
        <v>4</v>
      </c>
      <c r="J15" s="75">
        <v>5</v>
      </c>
      <c r="K15" s="76">
        <v>6</v>
      </c>
      <c r="L15" s="77">
        <v>7</v>
      </c>
      <c r="M15" s="78">
        <v>8</v>
      </c>
      <c r="N15" s="79">
        <v>9</v>
      </c>
      <c r="O15" s="80">
        <v>10</v>
      </c>
      <c r="P15" s="32" t="s">
        <v>14</v>
      </c>
      <c r="Q15" s="139"/>
      <c r="R15" s="334"/>
      <c r="S15" s="133">
        <f>VLOOKUP($E15,R.VL_DEQResourcesInvolved,2,FALSE)</f>
        <v>0</v>
      </c>
      <c r="T15" s="121">
        <f>VLOOKUP($E15,R.VL_DEQResourcesInvolved,3,FALSE)</f>
        <v>0</v>
      </c>
      <c r="U15" s="121">
        <f>IF(S15=10,T15,VLOOKUP($E15,R.VL_DEQResourcesInvolved,4,FALSE))</f>
        <v>0</v>
      </c>
      <c r="V15" s="575" t="s">
        <v>549</v>
      </c>
      <c r="W15" s="64"/>
      <c r="X15" s="64"/>
      <c r="Y15" s="64"/>
      <c r="Z15" s="64"/>
      <c r="AA15" s="64"/>
      <c r="AB15" s="64"/>
      <c r="AC15" s="64"/>
      <c r="AD15" s="130"/>
      <c r="AE15" s="130"/>
      <c r="AF15" s="130"/>
    </row>
    <row r="16" spans="1:33" s="28" customFormat="1" ht="20.25" hidden="1" customHeight="1" outlineLevel="1">
      <c r="A16" s="317"/>
      <c r="B16" s="334"/>
      <c r="C16" s="138"/>
      <c r="D16" s="36" t="s">
        <v>0</v>
      </c>
      <c r="E16" s="30" t="s">
        <v>224</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hidden="1" customHeight="1" outlineLevel="1">
      <c r="A17" s="317"/>
      <c r="B17" s="334"/>
      <c r="C17" s="138"/>
      <c r="D17" s="36" t="s">
        <v>0</v>
      </c>
      <c r="E17" s="30" t="s">
        <v>224</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17"/>
      <c r="B18" s="334"/>
      <c r="C18" s="138"/>
      <c r="D18" s="36" t="s">
        <v>0</v>
      </c>
      <c r="E18" s="30" t="s">
        <v>224</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3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29"/>
      <c r="E20" s="730"/>
      <c r="F20" s="730"/>
      <c r="G20" s="730"/>
      <c r="H20" s="730"/>
      <c r="I20" s="730"/>
      <c r="J20" s="730"/>
      <c r="K20" s="730"/>
      <c r="L20" s="730"/>
      <c r="M20" s="730"/>
      <c r="N20" s="730"/>
      <c r="O20" s="730"/>
      <c r="P20" s="731"/>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t="s">
        <v>0</v>
      </c>
      <c r="E22" s="30" t="s">
        <v>224</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549</v>
      </c>
      <c r="W22" s="64"/>
      <c r="X22" s="64"/>
      <c r="Y22" s="64"/>
      <c r="Z22" s="64"/>
      <c r="AA22" s="64"/>
      <c r="AB22" s="64"/>
      <c r="AC22" s="64"/>
      <c r="AD22" s="130"/>
      <c r="AE22" s="130"/>
      <c r="AF22" s="130"/>
    </row>
    <row r="23" spans="1:32" s="28" customFormat="1" ht="20.25" hidden="1" customHeight="1" outlineLevel="1">
      <c r="A23" s="317"/>
      <c r="B23" s="334"/>
      <c r="C23" s="138"/>
      <c r="D23" s="36" t="s">
        <v>0</v>
      </c>
      <c r="E23" s="30" t="s">
        <v>224</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81"/>
      <c r="E26" s="745"/>
      <c r="F26" s="745"/>
      <c r="G26" s="745"/>
      <c r="H26" s="745"/>
      <c r="I26" s="745"/>
      <c r="J26" s="745"/>
      <c r="K26" s="745"/>
      <c r="L26" s="745"/>
      <c r="M26" s="745"/>
      <c r="N26" s="745"/>
      <c r="O26" s="745"/>
      <c r="P26" s="745"/>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4" t="s">
        <v>144</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22" t="s">
        <v>0</v>
      </c>
      <c r="E29" s="723"/>
      <c r="F29" s="723"/>
      <c r="G29" s="723"/>
      <c r="H29" s="723"/>
      <c r="I29" s="723"/>
      <c r="J29" s="723"/>
      <c r="K29" s="723"/>
      <c r="L29" s="723"/>
      <c r="M29" s="723"/>
      <c r="N29" s="723"/>
      <c r="O29" s="723"/>
      <c r="P29" s="724"/>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2" t="s">
        <v>60</v>
      </c>
      <c r="E30" s="292" t="s">
        <v>17</v>
      </c>
      <c r="F30" s="292" t="s">
        <v>18</v>
      </c>
      <c r="G30" s="292"/>
      <c r="H30" s="292"/>
      <c r="I30" s="292"/>
      <c r="J30" s="292"/>
      <c r="K30" s="292"/>
      <c r="L30" s="292"/>
      <c r="M30" s="292"/>
      <c r="N30" s="292"/>
      <c r="O30" s="292"/>
      <c r="P30" s="292" t="s">
        <v>19</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0</v>
      </c>
      <c r="E31" s="30" t="s">
        <v>224</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549</v>
      </c>
      <c r="W31" s="64"/>
      <c r="X31" s="64"/>
      <c r="Y31" s="64"/>
      <c r="Z31" s="64"/>
      <c r="AA31" s="64"/>
      <c r="AB31" s="64"/>
      <c r="AC31" s="64"/>
      <c r="AD31" s="130"/>
      <c r="AE31" s="130"/>
      <c r="AF31" s="130"/>
    </row>
    <row r="32" spans="1:32" s="28" customFormat="1" ht="20.25" hidden="1" customHeight="1" outlineLevel="1">
      <c r="A32" s="317"/>
      <c r="B32" s="334"/>
      <c r="C32" s="138"/>
      <c r="D32" s="36" t="s">
        <v>0</v>
      </c>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224</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33"/>
      <c r="E36" s="734"/>
      <c r="F36" s="734"/>
      <c r="G36" s="734"/>
      <c r="H36" s="734"/>
      <c r="I36" s="734"/>
      <c r="J36" s="734"/>
      <c r="K36" s="734"/>
      <c r="L36" s="734"/>
      <c r="M36" s="734"/>
      <c r="N36" s="734"/>
      <c r="O36" s="734"/>
      <c r="P36" s="735"/>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2" t="s">
        <v>60</v>
      </c>
      <c r="E37" s="292" t="s">
        <v>17</v>
      </c>
      <c r="F37" s="292" t="s">
        <v>18</v>
      </c>
      <c r="G37" s="292"/>
      <c r="H37" s="292"/>
      <c r="I37" s="292"/>
      <c r="J37" s="292"/>
      <c r="K37" s="292"/>
      <c r="L37" s="292"/>
      <c r="M37" s="292"/>
      <c r="N37" s="292"/>
      <c r="O37" s="292"/>
      <c r="P37" s="292" t="s">
        <v>19</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224</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549</v>
      </c>
      <c r="W38" s="64"/>
      <c r="X38" s="64"/>
      <c r="Y38" s="64"/>
      <c r="Z38" s="64"/>
      <c r="AA38" s="64"/>
      <c r="AB38" s="64"/>
      <c r="AC38" s="64"/>
      <c r="AD38" s="130"/>
      <c r="AE38" s="130"/>
      <c r="AF38" s="130"/>
    </row>
    <row r="39" spans="1:32" s="28" customFormat="1" ht="20.25" hidden="1" customHeight="1" outlineLevel="1">
      <c r="A39" s="317"/>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81"/>
      <c r="E42" s="745"/>
      <c r="F42" s="745"/>
      <c r="G42" s="745"/>
      <c r="H42" s="745"/>
      <c r="I42" s="745"/>
      <c r="J42" s="745"/>
      <c r="K42" s="745"/>
      <c r="L42" s="745"/>
      <c r="M42" s="745"/>
      <c r="N42" s="745"/>
      <c r="O42" s="745"/>
      <c r="P42" s="745"/>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304" t="s">
        <v>145</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3" t="s">
        <v>53</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22"/>
      <c r="E45" s="723"/>
      <c r="F45" s="723"/>
      <c r="G45" s="723"/>
      <c r="H45" s="723"/>
      <c r="I45" s="723"/>
      <c r="J45" s="723"/>
      <c r="K45" s="723"/>
      <c r="L45" s="723"/>
      <c r="M45" s="723"/>
      <c r="N45" s="723"/>
      <c r="O45" s="723"/>
      <c r="P45" s="724"/>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7" t="s">
        <v>60</v>
      </c>
      <c r="E46" s="393" t="s">
        <v>17</v>
      </c>
      <c r="F46" s="728" t="s">
        <v>18</v>
      </c>
      <c r="G46" s="728"/>
      <c r="H46" s="728"/>
      <c r="I46" s="728"/>
      <c r="J46" s="728"/>
      <c r="K46" s="728"/>
      <c r="L46" s="728"/>
      <c r="M46" s="728"/>
      <c r="N46" s="728"/>
      <c r="O46" s="728"/>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224</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5" t="s">
        <v>549</v>
      </c>
      <c r="W47" s="64"/>
      <c r="X47" s="64"/>
      <c r="Y47" s="64"/>
      <c r="Z47" s="64"/>
      <c r="AA47" s="64"/>
      <c r="AB47" s="64"/>
      <c r="AC47" s="64"/>
      <c r="AD47" s="130"/>
      <c r="AE47" s="130"/>
      <c r="AF47" s="130"/>
    </row>
    <row r="48" spans="1:32" s="28" customFormat="1" ht="20.25" hidden="1" customHeight="1" outlineLevel="1">
      <c r="A48" s="317"/>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29"/>
      <c r="E52" s="730"/>
      <c r="F52" s="730"/>
      <c r="G52" s="730"/>
      <c r="H52" s="730"/>
      <c r="I52" s="730"/>
      <c r="J52" s="730"/>
      <c r="K52" s="730"/>
      <c r="L52" s="730"/>
      <c r="M52" s="730"/>
      <c r="N52" s="730"/>
      <c r="O52" s="730"/>
      <c r="P52" s="731"/>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224</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5" t="s">
        <v>549</v>
      </c>
      <c r="W54" s="64"/>
      <c r="X54" s="64"/>
      <c r="Y54" s="64"/>
      <c r="Z54" s="64"/>
      <c r="AA54" s="64"/>
      <c r="AB54" s="64"/>
      <c r="AC54" s="64"/>
      <c r="AD54" s="130"/>
      <c r="AE54" s="130"/>
      <c r="AF54" s="130"/>
    </row>
    <row r="55" spans="1:32" s="28" customFormat="1" ht="20.25" hidden="1" customHeight="1" outlineLevel="1">
      <c r="A55" s="317"/>
      <c r="B55" s="334"/>
      <c r="C55" s="138"/>
      <c r="D55" s="36"/>
      <c r="E55" s="30" t="s">
        <v>224</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81"/>
      <c r="E58" s="745"/>
      <c r="F58" s="745"/>
      <c r="G58" s="745"/>
      <c r="H58" s="745"/>
      <c r="I58" s="745"/>
      <c r="J58" s="745"/>
      <c r="K58" s="745"/>
      <c r="L58" s="745"/>
      <c r="M58" s="745"/>
      <c r="N58" s="745"/>
      <c r="O58" s="745"/>
      <c r="P58" s="745"/>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53" t="str">
        <f>"Please suggest process improvements to the "&amp;D2&amp;" worksheet."</f>
        <v>Please suggest process improvements to the Financial Services worksheet.</v>
      </c>
      <c r="E59" s="653"/>
      <c r="F59" s="653"/>
      <c r="G59" s="653"/>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50"/>
      <c r="E60" s="651"/>
      <c r="F60" s="651"/>
      <c r="G60" s="651"/>
      <c r="H60" s="651"/>
      <c r="I60" s="651"/>
      <c r="J60" s="651"/>
      <c r="K60" s="651"/>
      <c r="L60" s="651"/>
      <c r="M60" s="651"/>
      <c r="N60" s="651"/>
      <c r="O60" s="651"/>
      <c r="P60" s="652"/>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 ref="E58:P58"/>
    <mergeCell ref="D36:P36"/>
    <mergeCell ref="D59:G59"/>
    <mergeCell ref="S10:U10"/>
    <mergeCell ref="D6:P6"/>
    <mergeCell ref="D9:P9"/>
    <mergeCell ref="D8:P8"/>
    <mergeCell ref="D7:P7"/>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topLeftCell="A7" zoomScaleNormal="100" workbookViewId="0">
      <selection activeCell="P15" sqref="P15"/>
    </sheetView>
  </sheetViews>
  <sheetFormatPr defaultColWidth="9" defaultRowHeight="20.399999999999999" outlineLevelRow="1" outlineLevelCol="1"/>
  <cols>
    <col min="1" max="1" width="14.3984375" style="312" customWidth="1"/>
    <col min="2" max="2" width="2.59765625" customWidth="1"/>
    <col min="3" max="3" width="2.59765625" style="44" customWidth="1"/>
    <col min="4" max="4" width="40.5" style="102" customWidth="1"/>
    <col min="5" max="5" width="15.69921875" style="102" customWidth="1"/>
    <col min="6" max="15" width="1.59765625" style="102" customWidth="1"/>
    <col min="16" max="16" width="15.69921875" style="102" customWidth="1"/>
    <col min="17" max="17" width="2.59765625" style="102" customWidth="1"/>
    <col min="18" max="18" width="2.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2" width="31.09765625" style="64" customWidth="1"/>
    <col min="33" max="33" width="31.09765625" style="102" customWidth="1"/>
    <col min="34" max="16384" width="9" style="102"/>
  </cols>
  <sheetData>
    <row r="1" spans="1:33" s="64" customFormat="1" ht="20.25" customHeight="1">
      <c r="A1" s="351"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332">
        <v>9</v>
      </c>
      <c r="D2" s="331" t="s">
        <v>78</v>
      </c>
      <c r="E2" s="710" t="str">
        <f>R.1MediaAndLongName</f>
        <v>AQ Updates to Oregon's State Implementation Plan</v>
      </c>
      <c r="F2" s="710"/>
      <c r="G2" s="710"/>
      <c r="H2" s="710"/>
      <c r="I2" s="710"/>
      <c r="J2" s="710"/>
      <c r="K2" s="710"/>
      <c r="L2" s="710"/>
      <c r="M2" s="710"/>
      <c r="N2" s="710"/>
      <c r="O2" s="710"/>
      <c r="P2" s="710"/>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689" t="s">
        <v>57</v>
      </c>
      <c r="N3" s="689"/>
      <c r="O3" s="689"/>
      <c r="P3" s="689"/>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4" t="s">
        <v>55</v>
      </c>
      <c r="E4" s="81">
        <f>R.9StaffCount</f>
        <v>1</v>
      </c>
      <c r="F4" s="690" t="s">
        <v>54</v>
      </c>
      <c r="G4" s="690"/>
      <c r="H4" s="690"/>
      <c r="I4" s="690"/>
      <c r="J4" s="690"/>
      <c r="K4" s="690"/>
      <c r="L4" s="690"/>
      <c r="M4" s="691" t="str">
        <f>S5</f>
        <v>1-8</v>
      </c>
      <c r="N4" s="691"/>
      <c r="O4" s="691"/>
      <c r="P4" s="691"/>
      <c r="Q4" s="156"/>
      <c r="R4" s="334"/>
      <c r="S4" s="354">
        <f>COUNTIFS(S15:S57,"&gt;0")</f>
        <v>1</v>
      </c>
      <c r="T4" s="355">
        <f>SUM(T15:T57)</f>
        <v>1</v>
      </c>
      <c r="U4" s="355">
        <f>SUM(U15:U57)</f>
        <v>8</v>
      </c>
      <c r="V4" s="120"/>
      <c r="W4" s="64"/>
      <c r="X4" s="64"/>
      <c r="Y4" s="64"/>
      <c r="Z4" s="64"/>
      <c r="AA4" s="64"/>
      <c r="AB4" s="64"/>
      <c r="AC4" s="64"/>
      <c r="AD4" s="66"/>
      <c r="AE4" s="66"/>
      <c r="AF4" s="66"/>
    </row>
    <row r="5" spans="1:33" s="6" customFormat="1" ht="20.25" customHeight="1">
      <c r="A5" s="319"/>
      <c r="B5" s="334"/>
      <c r="C5" s="155"/>
      <c r="D5" s="494" t="s">
        <v>68</v>
      </c>
      <c r="E5" s="98">
        <f>R.AvgHrDEQCost</f>
        <v>58</v>
      </c>
      <c r="F5" s="690" t="s">
        <v>58</v>
      </c>
      <c r="G5" s="690"/>
      <c r="H5" s="690"/>
      <c r="I5" s="690"/>
      <c r="J5" s="690"/>
      <c r="K5" s="690"/>
      <c r="L5" s="690"/>
      <c r="M5" s="692" t="str">
        <f>S6</f>
        <v>$58-464</v>
      </c>
      <c r="N5" s="692"/>
      <c r="O5" s="692"/>
      <c r="P5" s="692"/>
      <c r="Q5" s="156"/>
      <c r="R5" s="334"/>
      <c r="S5" s="122" t="str">
        <f>IF(R.9StaffCount=0,"0",IF(R.9LowHrs=0,"0-"&amp;TEXT(R.9HighHrs,"#,###"),TEXT(R.9LowHrs,"#,###")&amp;"-"&amp;TEXT(R.9HighHrs,"#,###")))</f>
        <v>1-8</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$58-464</v>
      </c>
      <c r="T6" s="355">
        <f>T4*E5</f>
        <v>58</v>
      </c>
      <c r="U6" s="355">
        <f>U4*E5</f>
        <v>464</v>
      </c>
      <c r="V6" s="120"/>
      <c r="W6" s="64"/>
      <c r="X6" s="64"/>
      <c r="Y6" s="64"/>
      <c r="Z6" s="64"/>
      <c r="AA6" s="64"/>
      <c r="AB6" s="64"/>
      <c r="AC6" s="64"/>
      <c r="AD6" s="66"/>
      <c r="AE6" s="66"/>
      <c r="AF6" s="66"/>
    </row>
    <row r="7" spans="1:33" s="6" customFormat="1" ht="105" customHeight="1">
      <c r="A7" s="316"/>
      <c r="B7" s="334"/>
      <c r="C7" s="155"/>
      <c r="D7" s="725" t="s">
        <v>241</v>
      </c>
      <c r="E7" s="726"/>
      <c r="F7" s="726"/>
      <c r="G7" s="726"/>
      <c r="H7" s="726"/>
      <c r="I7" s="726"/>
      <c r="J7" s="726"/>
      <c r="K7" s="726"/>
      <c r="L7" s="726"/>
      <c r="M7" s="726"/>
      <c r="N7" s="726"/>
      <c r="O7" s="726"/>
      <c r="P7" s="727"/>
      <c r="Q7" s="156"/>
      <c r="R7" s="334"/>
      <c r="S7" s="496">
        <f>AVERAGEIF(S14:S56,"&gt;0")</f>
        <v>1</v>
      </c>
      <c r="T7" s="493"/>
      <c r="U7" s="493"/>
      <c r="V7" s="120"/>
      <c r="W7" s="436"/>
      <c r="X7" s="436"/>
      <c r="Y7" s="436"/>
      <c r="Z7" s="436"/>
      <c r="AA7" s="436"/>
      <c r="AB7" s="436"/>
      <c r="AC7" s="436"/>
      <c r="AD7" s="66"/>
      <c r="AE7" s="66"/>
      <c r="AF7" s="66"/>
    </row>
    <row r="8" spans="1:33" s="6" customFormat="1" ht="20.25" customHeight="1">
      <c r="A8" s="316"/>
      <c r="B8" s="334"/>
      <c r="C8" s="155"/>
      <c r="D8" s="751" t="s">
        <v>520</v>
      </c>
      <c r="E8" s="751"/>
      <c r="F8" s="751"/>
      <c r="G8" s="751"/>
      <c r="H8" s="751"/>
      <c r="I8" s="751"/>
      <c r="J8" s="751"/>
      <c r="K8" s="751"/>
      <c r="L8" s="751"/>
      <c r="M8" s="751"/>
      <c r="N8" s="751"/>
      <c r="O8" s="751"/>
      <c r="P8" s="751"/>
      <c r="Q8" s="156"/>
      <c r="R8" s="334"/>
      <c r="T8" s="493"/>
      <c r="U8" s="493"/>
      <c r="V8" s="120"/>
      <c r="W8" s="436"/>
      <c r="X8" s="436"/>
      <c r="Y8" s="436"/>
      <c r="Z8" s="436"/>
      <c r="AA8" s="436"/>
      <c r="AB8" s="436"/>
      <c r="AC8" s="436"/>
      <c r="AD8" s="66"/>
      <c r="AE8" s="66"/>
      <c r="AF8" s="66"/>
    </row>
    <row r="9" spans="1:33" s="28" customFormat="1" ht="15.75" customHeight="1">
      <c r="A9" s="345"/>
      <c r="B9" s="440"/>
      <c r="C9" s="138"/>
      <c r="D9" s="748" t="s">
        <v>464</v>
      </c>
      <c r="E9" s="749"/>
      <c r="F9" s="749"/>
      <c r="G9" s="749"/>
      <c r="H9" s="749"/>
      <c r="I9" s="749"/>
      <c r="J9" s="749"/>
      <c r="K9" s="749"/>
      <c r="L9" s="749"/>
      <c r="M9" s="749"/>
      <c r="N9" s="749"/>
      <c r="O9" s="749"/>
      <c r="P9" s="750"/>
      <c r="Q9" s="139"/>
      <c r="R9" s="440"/>
      <c r="S9" s="463"/>
      <c r="T9" s="463"/>
      <c r="U9" s="441"/>
      <c r="V9" s="438"/>
      <c r="W9" s="438"/>
      <c r="X9" s="438"/>
      <c r="Y9" s="438"/>
      <c r="Z9" s="438"/>
      <c r="AA9" s="438"/>
      <c r="AB9" s="438"/>
      <c r="AC9" s="438"/>
      <c r="AD9" s="130"/>
      <c r="AE9" s="130"/>
      <c r="AF9" s="130"/>
      <c r="AG9" s="130"/>
    </row>
    <row r="10" spans="1:33" s="69" customFormat="1" ht="8.25" customHeight="1">
      <c r="A10" s="320"/>
      <c r="B10" s="334"/>
      <c r="C10" s="404"/>
      <c r="D10" s="405"/>
      <c r="E10" s="405"/>
      <c r="F10" s="405"/>
      <c r="G10" s="405"/>
      <c r="H10" s="405"/>
      <c r="I10" s="405"/>
      <c r="J10" s="405"/>
      <c r="K10" s="405"/>
      <c r="L10" s="405"/>
      <c r="M10" s="405"/>
      <c r="N10" s="405"/>
      <c r="O10" s="405"/>
      <c r="P10" s="405"/>
      <c r="Q10" s="406"/>
      <c r="R10" s="334"/>
      <c r="S10" s="709" t="s">
        <v>0</v>
      </c>
      <c r="T10" s="709"/>
      <c r="U10" s="709"/>
      <c r="V10" s="300"/>
      <c r="W10" s="126"/>
      <c r="X10" s="126"/>
      <c r="Y10" s="126"/>
      <c r="Z10" s="126"/>
      <c r="AA10" s="126"/>
      <c r="AB10" s="126"/>
      <c r="AC10" s="126"/>
      <c r="AD10" s="125"/>
      <c r="AE10" s="125"/>
      <c r="AF10" s="125"/>
    </row>
    <row r="11" spans="1:33" s="33" customFormat="1" ht="30" customHeight="1">
      <c r="A11" s="351" t="s">
        <v>107</v>
      </c>
      <c r="B11" s="334"/>
      <c r="C11" s="480" t="s">
        <v>0</v>
      </c>
      <c r="D11" s="484" t="s">
        <v>143</v>
      </c>
      <c r="E11" s="94"/>
      <c r="F11" s="94"/>
      <c r="G11" s="94"/>
      <c r="H11" s="94"/>
      <c r="I11" s="94"/>
      <c r="J11" s="94"/>
      <c r="K11" s="94"/>
      <c r="L11" s="94"/>
      <c r="M11" s="94"/>
      <c r="N11" s="94"/>
      <c r="O11" s="94"/>
      <c r="P11" s="94"/>
      <c r="Q11" s="137"/>
      <c r="R11" s="334"/>
      <c r="S11" s="128"/>
      <c r="T11" s="127"/>
      <c r="U11" s="127"/>
      <c r="V11" s="300" t="s">
        <v>103</v>
      </c>
      <c r="W11" s="129"/>
      <c r="X11" s="129"/>
      <c r="Y11" s="129"/>
      <c r="Z11" s="129"/>
      <c r="AA11" s="129"/>
      <c r="AB11" s="129"/>
      <c r="AC11" s="129"/>
      <c r="AD11" s="127"/>
      <c r="AE11" s="127"/>
      <c r="AF11" s="127"/>
    </row>
    <row r="12" spans="1:33" s="33" customFormat="1" ht="14.25" customHeight="1">
      <c r="A12" s="311"/>
      <c r="B12" s="334"/>
      <c r="C12" s="232"/>
      <c r="D12" s="443" t="s">
        <v>53</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33" t="s">
        <v>597</v>
      </c>
      <c r="E13" s="734"/>
      <c r="F13" s="734"/>
      <c r="G13" s="734"/>
      <c r="H13" s="734"/>
      <c r="I13" s="734"/>
      <c r="J13" s="734"/>
      <c r="K13" s="734"/>
      <c r="L13" s="734"/>
      <c r="M13" s="734"/>
      <c r="N13" s="734"/>
      <c r="O13" s="734"/>
      <c r="P13" s="735"/>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7" t="s">
        <v>60</v>
      </c>
      <c r="E14" s="393" t="s">
        <v>17</v>
      </c>
      <c r="F14" s="728" t="s">
        <v>18</v>
      </c>
      <c r="G14" s="728"/>
      <c r="H14" s="728"/>
      <c r="I14" s="728"/>
      <c r="J14" s="728"/>
      <c r="K14" s="728"/>
      <c r="L14" s="728"/>
      <c r="M14" s="728"/>
      <c r="N14" s="728"/>
      <c r="O14" s="728"/>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604" t="s">
        <v>603</v>
      </c>
      <c r="E15" s="30" t="s">
        <v>226</v>
      </c>
      <c r="F15" s="71">
        <v>1</v>
      </c>
      <c r="G15" s="72">
        <v>2</v>
      </c>
      <c r="H15" s="73">
        <v>3</v>
      </c>
      <c r="I15" s="74">
        <v>4</v>
      </c>
      <c r="J15" s="75">
        <v>5</v>
      </c>
      <c r="K15" s="76">
        <v>6</v>
      </c>
      <c r="L15" s="77">
        <v>7</v>
      </c>
      <c r="M15" s="78">
        <v>8</v>
      </c>
      <c r="N15" s="79">
        <v>9</v>
      </c>
      <c r="O15" s="80">
        <v>10</v>
      </c>
      <c r="P15" s="32" t="s">
        <v>14</v>
      </c>
      <c r="Q15" s="139"/>
      <c r="R15" s="334"/>
      <c r="S15" s="133">
        <f>VLOOKUP($E15,R.VL_DEQResourcesInvolved,2,FALSE)</f>
        <v>1</v>
      </c>
      <c r="T15" s="121">
        <f>VLOOKUP($E15,R.VL_DEQResourcesInvolved,3,FALSE)</f>
        <v>1</v>
      </c>
      <c r="U15" s="121">
        <f>IF(S15=10,T15,VLOOKUP($E15,R.VL_DEQResourcesInvolved,4,FALSE))</f>
        <v>8</v>
      </c>
      <c r="V15" s="575" t="s">
        <v>549</v>
      </c>
      <c r="W15" s="64"/>
      <c r="X15" s="64"/>
      <c r="Y15" s="64"/>
      <c r="Z15" s="64"/>
      <c r="AA15" s="64"/>
      <c r="AB15" s="64"/>
      <c r="AC15" s="64"/>
      <c r="AD15" s="130"/>
      <c r="AE15" s="130"/>
      <c r="AF15" s="130"/>
    </row>
    <row r="16" spans="1:33" s="28" customFormat="1" ht="15.75" customHeight="1">
      <c r="A16" s="320"/>
      <c r="B16" s="334"/>
      <c r="C16" s="138"/>
      <c r="D16" s="464"/>
      <c r="E16" s="30" t="s">
        <v>224</v>
      </c>
      <c r="F16" s="71">
        <v>1</v>
      </c>
      <c r="G16" s="72">
        <v>2</v>
      </c>
      <c r="H16" s="73">
        <v>3</v>
      </c>
      <c r="I16" s="74">
        <v>4</v>
      </c>
      <c r="J16" s="75">
        <v>5</v>
      </c>
      <c r="K16" s="76">
        <v>6</v>
      </c>
      <c r="L16" s="77">
        <v>7</v>
      </c>
      <c r="M16" s="78">
        <v>8</v>
      </c>
      <c r="N16" s="79">
        <v>9</v>
      </c>
      <c r="O16" s="80">
        <v>10</v>
      </c>
      <c r="P16" s="32" t="s">
        <v>15</v>
      </c>
      <c r="Q16" s="139"/>
      <c r="R16" s="334"/>
      <c r="S16" s="133">
        <f>VLOOKUP($E16,R.VL_DEQResourcesInvolved,2,FALSE)</f>
        <v>0</v>
      </c>
      <c r="T16" s="121">
        <f>VLOOKUP($E16,R.VL_DEQResourcesInvolved,3,FALSE)</f>
        <v>0</v>
      </c>
      <c r="U16" s="121">
        <f>IF(S16=10,T16,VLOOKUP($E16,R.VL_DEQResourcesInvolved,4,FALSE))</f>
        <v>0</v>
      </c>
      <c r="V16" s="575" t="s">
        <v>549</v>
      </c>
      <c r="W16" s="64"/>
      <c r="X16" s="64"/>
      <c r="Y16" s="64"/>
      <c r="Z16" s="64"/>
      <c r="AA16" s="64"/>
      <c r="AB16" s="64"/>
      <c r="AC16" s="64"/>
      <c r="AD16" s="130"/>
      <c r="AE16" s="130"/>
      <c r="AF16" s="130"/>
    </row>
    <row r="17" spans="1:32" s="28" customFormat="1" ht="20.25" hidden="1" customHeight="1" outlineLevel="1">
      <c r="A17" s="320"/>
      <c r="B17" s="334"/>
      <c r="C17" s="138"/>
      <c r="D17" s="36" t="s">
        <v>0</v>
      </c>
      <c r="E17" s="30" t="s">
        <v>224</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224</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29"/>
      <c r="E20" s="730"/>
      <c r="F20" s="730"/>
      <c r="G20" s="730"/>
      <c r="H20" s="730"/>
      <c r="I20" s="730"/>
      <c r="J20" s="730"/>
      <c r="K20" s="730"/>
      <c r="L20" s="730"/>
      <c r="M20" s="730"/>
      <c r="N20" s="730"/>
      <c r="O20" s="730"/>
      <c r="P20" s="731"/>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t="s">
        <v>0</v>
      </c>
      <c r="E22" s="30" t="s">
        <v>224</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549</v>
      </c>
      <c r="W22" s="64"/>
      <c r="X22" s="64"/>
      <c r="Y22" s="64"/>
      <c r="Z22" s="64"/>
      <c r="AA22" s="64"/>
      <c r="AB22" s="64"/>
      <c r="AC22" s="64"/>
      <c r="AD22" s="130"/>
      <c r="AE22" s="130"/>
      <c r="AF22" s="130"/>
    </row>
    <row r="23" spans="1:32" s="28" customFormat="1" ht="20.25" hidden="1" customHeight="1" outlineLevel="1">
      <c r="A23" s="320"/>
      <c r="B23" s="334"/>
      <c r="C23" s="138"/>
      <c r="D23" s="36"/>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224</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20"/>
      <c r="B26" s="334"/>
      <c r="C26" s="376"/>
      <c r="D26" s="481"/>
      <c r="E26" s="745"/>
      <c r="F26" s="745"/>
      <c r="G26" s="745"/>
      <c r="H26" s="745"/>
      <c r="I26" s="745"/>
      <c r="J26" s="745"/>
      <c r="K26" s="745"/>
      <c r="L26" s="745"/>
      <c r="M26" s="745"/>
      <c r="N26" s="745"/>
      <c r="O26" s="745"/>
      <c r="P26" s="745"/>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8" t="s">
        <v>105</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22"/>
      <c r="E29" s="723"/>
      <c r="F29" s="723"/>
      <c r="G29" s="723"/>
      <c r="H29" s="723"/>
      <c r="I29" s="723"/>
      <c r="J29" s="723"/>
      <c r="K29" s="723"/>
      <c r="L29" s="723"/>
      <c r="M29" s="723"/>
      <c r="N29" s="723"/>
      <c r="O29" s="723"/>
      <c r="P29" s="724"/>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2" t="s">
        <v>60</v>
      </c>
      <c r="E30" s="159" t="s">
        <v>17</v>
      </c>
      <c r="F30" s="159" t="s">
        <v>18</v>
      </c>
      <c r="G30" s="159"/>
      <c r="H30" s="159"/>
      <c r="I30" s="159"/>
      <c r="J30" s="159"/>
      <c r="K30" s="159"/>
      <c r="L30" s="159"/>
      <c r="M30" s="159"/>
      <c r="N30" s="159"/>
      <c r="O30" s="159"/>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c r="E31" s="30" t="s">
        <v>224</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549</v>
      </c>
      <c r="W31" s="64"/>
      <c r="X31" s="64"/>
      <c r="Y31" s="64"/>
      <c r="Z31" s="64"/>
      <c r="AA31" s="64"/>
      <c r="AB31" s="64"/>
      <c r="AC31" s="64"/>
      <c r="AD31" s="130"/>
      <c r="AE31" s="130"/>
      <c r="AF31" s="130"/>
    </row>
    <row r="32" spans="1:32" s="28" customFormat="1" ht="20.25" hidden="1" customHeight="1" outlineLevel="1">
      <c r="A32" s="320"/>
      <c r="B32" s="334"/>
      <c r="C32" s="138"/>
      <c r="D32" s="36" t="s">
        <v>0</v>
      </c>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224</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3" t="s">
        <v>52</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33" t="s">
        <v>171</v>
      </c>
      <c r="E36" s="734"/>
      <c r="F36" s="734"/>
      <c r="G36" s="734"/>
      <c r="H36" s="734"/>
      <c r="I36" s="734"/>
      <c r="J36" s="734"/>
      <c r="K36" s="734"/>
      <c r="L36" s="734"/>
      <c r="M36" s="734"/>
      <c r="N36" s="734"/>
      <c r="O36" s="734"/>
      <c r="P36" s="735"/>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2" t="s">
        <v>60</v>
      </c>
      <c r="E37" s="159" t="s">
        <v>17</v>
      </c>
      <c r="F37" s="159" t="s">
        <v>18</v>
      </c>
      <c r="G37" s="159"/>
      <c r="H37" s="159"/>
      <c r="I37" s="159"/>
      <c r="J37" s="159"/>
      <c r="K37" s="159"/>
      <c r="L37" s="159"/>
      <c r="M37" s="159"/>
      <c r="N37" s="159"/>
      <c r="O37" s="159"/>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36" t="s">
        <v>154</v>
      </c>
      <c r="E38" s="30" t="s">
        <v>224</v>
      </c>
      <c r="F38" s="71">
        <v>1</v>
      </c>
      <c r="G38" s="72">
        <v>2</v>
      </c>
      <c r="H38" s="73">
        <v>3</v>
      </c>
      <c r="I38" s="74">
        <v>4</v>
      </c>
      <c r="J38" s="75">
        <v>5</v>
      </c>
      <c r="K38" s="76">
        <v>6</v>
      </c>
      <c r="L38" s="77">
        <v>7</v>
      </c>
      <c r="M38" s="78">
        <v>8</v>
      </c>
      <c r="N38" s="79">
        <v>9</v>
      </c>
      <c r="O38" s="80">
        <v>10</v>
      </c>
      <c r="P38" s="32" t="s">
        <v>14</v>
      </c>
      <c r="Q38" s="139"/>
      <c r="R38" s="334"/>
      <c r="S38" s="133">
        <f>VLOOKUP($E38,R.VL_DEQResourcesInvolved,2,FALSE)</f>
        <v>0</v>
      </c>
      <c r="T38" s="121">
        <f>VLOOKUP($E38,R.VL_DEQResourcesInvolved,3,FALSE)</f>
        <v>0</v>
      </c>
      <c r="U38" s="121">
        <f>IF(S38=10,T38,VLOOKUP($E38,R.VL_DEQResourcesInvolved,4,FALSE))</f>
        <v>0</v>
      </c>
      <c r="V38" s="575" t="s">
        <v>549</v>
      </c>
      <c r="W38" s="64"/>
      <c r="X38" s="64"/>
      <c r="Y38" s="64"/>
      <c r="Z38" s="64"/>
      <c r="AA38" s="64"/>
      <c r="AB38" s="64"/>
      <c r="AC38" s="64"/>
      <c r="AD38" s="130"/>
      <c r="AE38" s="130"/>
      <c r="AF38" s="130"/>
    </row>
    <row r="39" spans="1:32" s="28" customFormat="1" ht="20.25" hidden="1" customHeight="1" outlineLevel="1">
      <c r="A39" s="320"/>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81"/>
      <c r="E42" s="745"/>
      <c r="F42" s="745"/>
      <c r="G42" s="745"/>
      <c r="H42" s="745"/>
      <c r="I42" s="745"/>
      <c r="J42" s="745"/>
      <c r="K42" s="745"/>
      <c r="L42" s="745"/>
      <c r="M42" s="745"/>
      <c r="N42" s="745"/>
      <c r="O42" s="745"/>
      <c r="P42" s="745"/>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484" t="s">
        <v>106</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33" t="s">
        <v>156</v>
      </c>
      <c r="E45" s="734"/>
      <c r="F45" s="734"/>
      <c r="G45" s="734"/>
      <c r="H45" s="734"/>
      <c r="I45" s="734"/>
      <c r="J45" s="734"/>
      <c r="K45" s="734"/>
      <c r="L45" s="734"/>
      <c r="M45" s="734"/>
      <c r="N45" s="734"/>
      <c r="O45" s="734"/>
      <c r="P45" s="735"/>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7" t="s">
        <v>60</v>
      </c>
      <c r="E46" s="393" t="s">
        <v>17</v>
      </c>
      <c r="F46" s="728" t="s">
        <v>18</v>
      </c>
      <c r="G46" s="728"/>
      <c r="H46" s="728"/>
      <c r="I46" s="728"/>
      <c r="J46" s="728"/>
      <c r="K46" s="728"/>
      <c r="L46" s="728"/>
      <c r="M46" s="728"/>
      <c r="N46" s="728"/>
      <c r="O46" s="728"/>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36" t="s">
        <v>155</v>
      </c>
      <c r="E47" s="30" t="s">
        <v>224</v>
      </c>
      <c r="F47" s="71">
        <v>1</v>
      </c>
      <c r="G47" s="72">
        <v>2</v>
      </c>
      <c r="H47" s="73">
        <v>3</v>
      </c>
      <c r="I47" s="74">
        <v>4</v>
      </c>
      <c r="J47" s="75">
        <v>5</v>
      </c>
      <c r="K47" s="76">
        <v>6</v>
      </c>
      <c r="L47" s="77">
        <v>7</v>
      </c>
      <c r="M47" s="78">
        <v>8</v>
      </c>
      <c r="N47" s="79">
        <v>9</v>
      </c>
      <c r="O47" s="80">
        <v>10</v>
      </c>
      <c r="P47" s="32" t="s">
        <v>14</v>
      </c>
      <c r="Q47" s="139"/>
      <c r="R47" s="334"/>
      <c r="S47" s="133">
        <f>VLOOKUP($E47,R.VL_DEQResourcesInvolved,2,FALSE)</f>
        <v>0</v>
      </c>
      <c r="T47" s="121">
        <f>VLOOKUP($E47,R.VL_DEQResourcesInvolved,3,FALSE)</f>
        <v>0</v>
      </c>
      <c r="U47" s="121">
        <f>IF(S47=10,T47,VLOOKUP($E47,R.VL_DEQResourcesInvolved,4,FALSE))</f>
        <v>0</v>
      </c>
      <c r="V47" s="575" t="s">
        <v>549</v>
      </c>
      <c r="W47" s="64"/>
      <c r="X47" s="64"/>
      <c r="Y47" s="64"/>
      <c r="Z47" s="64"/>
      <c r="AA47" s="64"/>
      <c r="AB47" s="64"/>
      <c r="AC47" s="64"/>
      <c r="AD47" s="130"/>
      <c r="AE47" s="130"/>
      <c r="AF47" s="130"/>
    </row>
    <row r="48" spans="1:32" s="28" customFormat="1" ht="20.25" hidden="1" customHeight="1" outlineLevel="1">
      <c r="A48" s="320"/>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29" t="s">
        <v>157</v>
      </c>
      <c r="E52" s="730"/>
      <c r="F52" s="730"/>
      <c r="G52" s="730"/>
      <c r="H52" s="730"/>
      <c r="I52" s="730"/>
      <c r="J52" s="730"/>
      <c r="K52" s="730"/>
      <c r="L52" s="730"/>
      <c r="M52" s="730"/>
      <c r="N52" s="730"/>
      <c r="O52" s="730"/>
      <c r="P52" s="731"/>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36" t="s">
        <v>155</v>
      </c>
      <c r="E54" s="30" t="s">
        <v>224</v>
      </c>
      <c r="F54" s="71">
        <v>1</v>
      </c>
      <c r="G54" s="72">
        <v>2</v>
      </c>
      <c r="H54" s="73">
        <v>3</v>
      </c>
      <c r="I54" s="74">
        <v>4</v>
      </c>
      <c r="J54" s="75">
        <v>5</v>
      </c>
      <c r="K54" s="76">
        <v>6</v>
      </c>
      <c r="L54" s="77">
        <v>7</v>
      </c>
      <c r="M54" s="78">
        <v>8</v>
      </c>
      <c r="N54" s="79">
        <v>9</v>
      </c>
      <c r="O54" s="80">
        <v>10</v>
      </c>
      <c r="P54" s="32" t="s">
        <v>14</v>
      </c>
      <c r="Q54" s="139"/>
      <c r="R54" s="334"/>
      <c r="S54" s="133">
        <f>VLOOKUP($E54,R.VL_DEQResourcesInvolved,2,FALSE)</f>
        <v>0</v>
      </c>
      <c r="T54" s="121">
        <f>VLOOKUP($E54,R.VL_DEQResourcesInvolved,3,FALSE)</f>
        <v>0</v>
      </c>
      <c r="U54" s="121">
        <f>IF(S54=10,T54,VLOOKUP($E54,R.VL_DEQResourcesInvolved,4,FALSE))</f>
        <v>0</v>
      </c>
      <c r="V54" s="575" t="s">
        <v>549</v>
      </c>
      <c r="W54" s="64"/>
      <c r="X54" s="64"/>
      <c r="Y54" s="64"/>
      <c r="Z54" s="64"/>
      <c r="AA54" s="64"/>
      <c r="AB54" s="64"/>
      <c r="AC54" s="64"/>
      <c r="AD54" s="130"/>
      <c r="AE54" s="130"/>
      <c r="AF54" s="130"/>
    </row>
    <row r="55" spans="1:32" s="28" customFormat="1" ht="20.25" hidden="1" customHeight="1" outlineLevel="1">
      <c r="A55" s="320"/>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81"/>
      <c r="E58" s="745"/>
      <c r="F58" s="745"/>
      <c r="G58" s="745"/>
      <c r="H58" s="745"/>
      <c r="I58" s="745"/>
      <c r="J58" s="745"/>
      <c r="K58" s="745"/>
      <c r="L58" s="745"/>
      <c r="M58" s="745"/>
      <c r="N58" s="745"/>
      <c r="O58" s="745"/>
      <c r="P58" s="745"/>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53" t="str">
        <f>"Please suggest process improvements to the "&amp;D2&amp;" worksheet."</f>
        <v>Please suggest process improvements to the Communications and Outreach worksheet.</v>
      </c>
      <c r="E59" s="653"/>
      <c r="F59" s="653"/>
      <c r="G59" s="653"/>
      <c r="H59" s="653"/>
      <c r="I59" s="653"/>
      <c r="J59" s="653"/>
      <c r="K59" s="653"/>
      <c r="L59" s="653"/>
      <c r="M59" s="653"/>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50"/>
      <c r="E60" s="651"/>
      <c r="F60" s="651"/>
      <c r="G60" s="651"/>
      <c r="H60" s="651"/>
      <c r="I60" s="651"/>
      <c r="J60" s="651"/>
      <c r="K60" s="651"/>
      <c r="L60" s="651"/>
      <c r="M60" s="651"/>
      <c r="N60" s="651"/>
      <c r="O60" s="651"/>
      <c r="P60" s="652"/>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3.8">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60:P60"/>
    <mergeCell ref="D29:P29"/>
    <mergeCell ref="D36:P36"/>
    <mergeCell ref="E42:P42"/>
    <mergeCell ref="D45:P45"/>
    <mergeCell ref="F46:O46"/>
    <mergeCell ref="D52:P52"/>
    <mergeCell ref="D59:M59"/>
    <mergeCell ref="S10:U10"/>
    <mergeCell ref="D13:P13"/>
    <mergeCell ref="F14:O14"/>
    <mergeCell ref="D20:P20"/>
    <mergeCell ref="E58:P58"/>
    <mergeCell ref="E26:P26"/>
    <mergeCell ref="D7:P7"/>
    <mergeCell ref="D8:P8"/>
    <mergeCell ref="D9:P9"/>
    <mergeCell ref="E2:P2"/>
    <mergeCell ref="M3:P3"/>
    <mergeCell ref="F4:L4"/>
    <mergeCell ref="M4:P4"/>
    <mergeCell ref="F5:L5"/>
    <mergeCell ref="M5:P5"/>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topLeftCell="A45" zoomScaleNormal="100" workbookViewId="0">
      <selection activeCell="P63" sqref="P63"/>
    </sheetView>
  </sheetViews>
  <sheetFormatPr defaultColWidth="9" defaultRowHeight="20.399999999999999" outlineLevelRow="1" outlineLevelCol="1"/>
  <cols>
    <col min="1" max="1" width="13.69921875" style="312" customWidth="1"/>
    <col min="2" max="2" width="3.59765625" customWidth="1"/>
    <col min="3" max="3" width="3.59765625" style="44" customWidth="1"/>
    <col min="4" max="4" width="40.5" style="104" customWidth="1"/>
    <col min="5" max="5" width="15.69921875" style="104" customWidth="1"/>
    <col min="6" max="15" width="1.59765625" style="104" customWidth="1"/>
    <col min="16" max="16" width="15.69921875" style="104" customWidth="1"/>
    <col min="17" max="17" width="3.59765625" style="104"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3" width="31.09765625" style="64" customWidth="1"/>
    <col min="34" max="16384" width="9" style="104"/>
  </cols>
  <sheetData>
    <row r="1" spans="1:33" s="64" customFormat="1" ht="20.25" customHeight="1">
      <c r="A1" s="350" t="s">
        <v>104</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81</v>
      </c>
      <c r="E2" s="710" t="str">
        <f>R.1MediaAndLongName</f>
        <v>AQ Updates to Oregon's State Implementation Plan</v>
      </c>
      <c r="F2" s="710"/>
      <c r="G2" s="710"/>
      <c r="H2" s="710"/>
      <c r="I2" s="710"/>
      <c r="J2" s="710"/>
      <c r="K2" s="710"/>
      <c r="L2" s="710"/>
      <c r="M2" s="710"/>
      <c r="N2" s="710"/>
      <c r="O2" s="710"/>
      <c r="P2" s="710"/>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689" t="s">
        <v>57</v>
      </c>
      <c r="N3" s="689"/>
      <c r="O3" s="689"/>
      <c r="P3" s="689"/>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4" t="s">
        <v>55</v>
      </c>
      <c r="E4" s="81">
        <f>S3</f>
        <v>0</v>
      </c>
      <c r="F4" s="690" t="s">
        <v>54</v>
      </c>
      <c r="G4" s="690"/>
      <c r="H4" s="690"/>
      <c r="I4" s="690"/>
      <c r="J4" s="690"/>
      <c r="K4" s="690"/>
      <c r="L4" s="690"/>
      <c r="M4" s="691" t="str">
        <f>S4</f>
        <v>0</v>
      </c>
      <c r="N4" s="691"/>
      <c r="O4" s="691"/>
      <c r="P4" s="691"/>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4" t="s">
        <v>67</v>
      </c>
      <c r="E5" s="98">
        <f>R.AvgHrDEQCost</f>
        <v>58</v>
      </c>
      <c r="F5" s="690" t="s">
        <v>58</v>
      </c>
      <c r="G5" s="690"/>
      <c r="H5" s="690"/>
      <c r="I5" s="690"/>
      <c r="J5" s="690"/>
      <c r="K5" s="690"/>
      <c r="L5" s="690"/>
      <c r="M5" s="692" t="str">
        <f>S5</f>
        <v>$0</v>
      </c>
      <c r="N5" s="692"/>
      <c r="O5" s="692"/>
      <c r="P5" s="692"/>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25" t="s">
        <v>242</v>
      </c>
      <c r="E7" s="726"/>
      <c r="F7" s="726"/>
      <c r="G7" s="726"/>
      <c r="H7" s="726"/>
      <c r="I7" s="726"/>
      <c r="J7" s="726"/>
      <c r="K7" s="726"/>
      <c r="L7" s="726"/>
      <c r="M7" s="726"/>
      <c r="N7" s="726"/>
      <c r="O7" s="726"/>
      <c r="P7" s="727"/>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51" t="s">
        <v>518</v>
      </c>
      <c r="E8" s="751"/>
      <c r="F8" s="751"/>
      <c r="G8" s="751"/>
      <c r="H8" s="751"/>
      <c r="I8" s="751"/>
      <c r="J8" s="751"/>
      <c r="K8" s="751"/>
      <c r="L8" s="751"/>
      <c r="M8" s="751"/>
      <c r="N8" s="751"/>
      <c r="O8" s="751"/>
      <c r="P8" s="751"/>
      <c r="Q8" s="156"/>
      <c r="R8" s="334"/>
      <c r="T8" s="493"/>
      <c r="U8" s="493"/>
      <c r="V8" s="120"/>
      <c r="W8" s="436"/>
      <c r="X8" s="436"/>
      <c r="Y8" s="436"/>
      <c r="Z8" s="436"/>
      <c r="AA8" s="436"/>
      <c r="AB8" s="436"/>
      <c r="AC8" s="436"/>
      <c r="AD8" s="66"/>
      <c r="AE8" s="66"/>
      <c r="AF8" s="66"/>
    </row>
    <row r="9" spans="1:33" s="28" customFormat="1" ht="15.75" customHeight="1">
      <c r="A9" s="345"/>
      <c r="B9" s="440"/>
      <c r="C9" s="138"/>
      <c r="D9" s="748" t="s">
        <v>464</v>
      </c>
      <c r="E9" s="749"/>
      <c r="F9" s="749"/>
      <c r="G9" s="749"/>
      <c r="H9" s="749"/>
      <c r="I9" s="749"/>
      <c r="J9" s="749"/>
      <c r="K9" s="749"/>
      <c r="L9" s="749"/>
      <c r="M9" s="749"/>
      <c r="N9" s="749"/>
      <c r="O9" s="749"/>
      <c r="P9" s="750"/>
      <c r="Q9" s="139"/>
      <c r="R9" s="440"/>
      <c r="S9" s="496">
        <f>IFERROR(AVERAGEIF(S17:S59,"&gt;0"),0)</f>
        <v>0</v>
      </c>
      <c r="T9" s="463"/>
      <c r="U9" s="441"/>
      <c r="V9" s="438"/>
      <c r="W9" s="438"/>
      <c r="X9" s="438"/>
      <c r="Y9" s="438"/>
      <c r="Z9" s="438"/>
      <c r="AA9" s="438"/>
      <c r="AB9" s="438"/>
      <c r="AC9" s="438"/>
      <c r="AD9" s="130"/>
      <c r="AE9" s="130"/>
      <c r="AF9" s="130"/>
      <c r="AG9" s="130"/>
    </row>
    <row r="10" spans="1:33" s="69" customFormat="1" ht="14.25" customHeight="1">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c r="A11" s="350" t="s">
        <v>107</v>
      </c>
      <c r="B11" s="334"/>
      <c r="C11" s="483" t="s">
        <v>0</v>
      </c>
      <c r="D11" s="381" t="s">
        <v>142</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22"/>
      <c r="E13" s="723"/>
      <c r="F13" s="723"/>
      <c r="G13" s="723"/>
      <c r="H13" s="723"/>
      <c r="I13" s="723"/>
      <c r="J13" s="723"/>
      <c r="K13" s="723"/>
      <c r="L13" s="723"/>
      <c r="M13" s="723"/>
      <c r="N13" s="723"/>
      <c r="O13" s="723"/>
      <c r="P13" s="724"/>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7" t="s">
        <v>60</v>
      </c>
      <c r="E14" s="467" t="s">
        <v>17</v>
      </c>
      <c r="F14" s="728" t="s">
        <v>18</v>
      </c>
      <c r="G14" s="728"/>
      <c r="H14" s="728"/>
      <c r="I14" s="728"/>
      <c r="J14" s="728"/>
      <c r="K14" s="728"/>
      <c r="L14" s="728"/>
      <c r="M14" s="728"/>
      <c r="N14" s="728"/>
      <c r="O14" s="728"/>
      <c r="P14" s="467" t="s">
        <v>19</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224</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5" t="s">
        <v>549</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224</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224</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224</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2" t="s">
        <v>52</v>
      </c>
      <c r="E19" s="31"/>
      <c r="F19" s="31"/>
      <c r="G19" s="31"/>
      <c r="H19" s="31"/>
      <c r="I19" s="31"/>
      <c r="J19" s="31"/>
      <c r="K19" s="31"/>
      <c r="L19" s="31"/>
      <c r="M19" s="31"/>
      <c r="N19" s="31"/>
      <c r="O19" s="31"/>
      <c r="P19" s="31"/>
      <c r="Q19" s="143"/>
      <c r="R19" s="334"/>
      <c r="S19" s="499"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29"/>
      <c r="E20" s="730"/>
      <c r="F20" s="730"/>
      <c r="G20" s="730"/>
      <c r="H20" s="730"/>
      <c r="I20" s="730"/>
      <c r="J20" s="730"/>
      <c r="K20" s="730"/>
      <c r="L20" s="730"/>
      <c r="M20" s="730"/>
      <c r="N20" s="730"/>
      <c r="O20" s="730"/>
      <c r="P20" s="731"/>
      <c r="Q20" s="139"/>
      <c r="R20" s="334"/>
      <c r="S20" s="499"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2" t="s">
        <v>60</v>
      </c>
      <c r="E21" s="292" t="s">
        <v>17</v>
      </c>
      <c r="F21" s="292" t="s">
        <v>18</v>
      </c>
      <c r="G21" s="292"/>
      <c r="H21" s="292"/>
      <c r="I21" s="292"/>
      <c r="J21" s="292"/>
      <c r="K21" s="292"/>
      <c r="L21" s="292"/>
      <c r="M21" s="292"/>
      <c r="N21" s="292"/>
      <c r="O21" s="292"/>
      <c r="P21" s="292" t="s">
        <v>19</v>
      </c>
      <c r="Q21" s="137"/>
      <c r="R21" s="334"/>
      <c r="S21" s="499"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224</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5" t="s">
        <v>549</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224</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81"/>
      <c r="E26" s="745"/>
      <c r="F26" s="745"/>
      <c r="G26" s="745"/>
      <c r="H26" s="745"/>
      <c r="I26" s="745"/>
      <c r="J26" s="745"/>
      <c r="K26" s="745"/>
      <c r="L26" s="745"/>
      <c r="M26" s="745"/>
      <c r="N26" s="745"/>
      <c r="O26" s="745"/>
      <c r="P26" s="745"/>
      <c r="Q26" s="379"/>
      <c r="R26" s="334"/>
      <c r="S26" s="499"/>
      <c r="T26" s="131"/>
      <c r="U26" s="131"/>
      <c r="V26" s="64"/>
      <c r="W26" s="64"/>
      <c r="X26" s="64"/>
      <c r="Y26" s="64"/>
      <c r="Z26" s="64"/>
      <c r="AA26" s="64"/>
      <c r="AB26" s="64"/>
      <c r="AC26" s="64"/>
      <c r="AD26" s="130"/>
      <c r="AE26" s="130"/>
      <c r="AF26" s="130"/>
      <c r="AG26" s="130"/>
    </row>
    <row r="27" spans="1:33" s="33" customFormat="1" ht="30" customHeight="1">
      <c r="A27" s="350" t="s">
        <v>107</v>
      </c>
      <c r="B27" s="334"/>
      <c r="C27" s="136"/>
      <c r="D27" s="304" t="s">
        <v>141</v>
      </c>
      <c r="E27" s="302"/>
      <c r="F27" s="94"/>
      <c r="G27" s="94"/>
      <c r="H27" s="94"/>
      <c r="I27" s="94"/>
      <c r="J27" s="94"/>
      <c r="K27" s="94"/>
      <c r="L27" s="94"/>
      <c r="M27" s="94"/>
      <c r="N27" s="94"/>
      <c r="O27" s="94"/>
      <c r="P27" s="94"/>
      <c r="Q27" s="137"/>
      <c r="R27" s="334"/>
      <c r="S27" s="499"/>
      <c r="T27" s="131"/>
      <c r="U27" s="131"/>
      <c r="V27" s="129"/>
      <c r="W27" s="129"/>
      <c r="X27" s="129"/>
      <c r="Y27" s="129"/>
      <c r="Z27" s="129"/>
      <c r="AA27" s="129"/>
      <c r="AB27" s="129"/>
      <c r="AC27" s="129"/>
      <c r="AD27" s="127"/>
      <c r="AE27" s="127"/>
      <c r="AF27" s="127"/>
      <c r="AG27" s="127"/>
    </row>
    <row r="28" spans="1:33" s="33" customFormat="1" ht="14.25" customHeight="1">
      <c r="A28" s="350" t="s">
        <v>112</v>
      </c>
      <c r="B28" s="334"/>
      <c r="C28" s="136"/>
      <c r="D28" s="443" t="s">
        <v>53</v>
      </c>
      <c r="E28" s="94"/>
      <c r="F28" s="94"/>
      <c r="G28" s="94"/>
      <c r="H28" s="94"/>
      <c r="I28" s="94"/>
      <c r="J28" s="94"/>
      <c r="K28" s="94"/>
      <c r="L28" s="94"/>
      <c r="M28" s="94"/>
      <c r="N28" s="94"/>
      <c r="O28" s="94"/>
      <c r="P28" s="94"/>
      <c r="Q28" s="137"/>
      <c r="R28" s="334"/>
      <c r="S28" s="499"/>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22"/>
      <c r="E29" s="723"/>
      <c r="F29" s="723"/>
      <c r="G29" s="723"/>
      <c r="H29" s="723"/>
      <c r="I29" s="723"/>
      <c r="J29" s="723"/>
      <c r="K29" s="723"/>
      <c r="L29" s="723"/>
      <c r="M29" s="723"/>
      <c r="N29" s="723"/>
      <c r="O29" s="723"/>
      <c r="P29" s="724"/>
      <c r="Q29" s="139"/>
      <c r="R29" s="334"/>
      <c r="S29" s="499"/>
      <c r="T29" s="131"/>
      <c r="U29" s="131"/>
      <c r="V29" s="64"/>
      <c r="W29" s="64"/>
      <c r="X29" s="64"/>
      <c r="Y29" s="64"/>
      <c r="Z29" s="64"/>
      <c r="AA29" s="64"/>
      <c r="AB29" s="64"/>
      <c r="AC29" s="64"/>
      <c r="AD29" s="130"/>
      <c r="AE29" s="130"/>
      <c r="AF29" s="130"/>
      <c r="AG29" s="130"/>
    </row>
    <row r="30" spans="1:33" s="33" customFormat="1" ht="14.25" customHeight="1">
      <c r="A30" s="319"/>
      <c r="B30" s="334"/>
      <c r="C30" s="136"/>
      <c r="D30" s="442" t="s">
        <v>60</v>
      </c>
      <c r="E30" s="105" t="s">
        <v>17</v>
      </c>
      <c r="F30" s="105" t="s">
        <v>18</v>
      </c>
      <c r="G30" s="105"/>
      <c r="H30" s="105"/>
      <c r="I30" s="105"/>
      <c r="J30" s="105"/>
      <c r="K30" s="105"/>
      <c r="L30" s="105"/>
      <c r="M30" s="105"/>
      <c r="N30" s="105"/>
      <c r="O30" s="105"/>
      <c r="P30" s="105" t="s">
        <v>19</v>
      </c>
      <c r="Q30" s="137"/>
      <c r="R30" s="334"/>
      <c r="S30" s="499"/>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224</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575" t="s">
        <v>549</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224</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3" t="s">
        <v>52</v>
      </c>
      <c r="E35" s="31"/>
      <c r="F35" s="31"/>
      <c r="G35" s="31"/>
      <c r="H35" s="31"/>
      <c r="I35" s="31"/>
      <c r="J35" s="31"/>
      <c r="K35" s="31"/>
      <c r="L35" s="31"/>
      <c r="M35" s="31"/>
      <c r="N35" s="31"/>
      <c r="O35" s="31"/>
      <c r="P35" s="31"/>
      <c r="Q35" s="143"/>
      <c r="R35" s="334"/>
      <c r="S35" s="499"/>
      <c r="T35" s="131"/>
      <c r="U35" s="131"/>
      <c r="V35" s="64"/>
      <c r="W35" s="64"/>
      <c r="X35" s="64"/>
      <c r="Y35" s="64"/>
      <c r="Z35" s="64"/>
      <c r="AA35" s="64"/>
      <c r="AB35" s="64"/>
      <c r="AC35" s="64"/>
      <c r="AD35" s="130"/>
      <c r="AE35" s="130"/>
      <c r="AF35" s="130"/>
      <c r="AG35" s="130"/>
    </row>
    <row r="36" spans="1:33" s="28" customFormat="1" ht="20.25" customHeight="1">
      <c r="A36" s="319"/>
      <c r="B36" s="334"/>
      <c r="C36" s="138"/>
      <c r="D36" s="733"/>
      <c r="E36" s="734"/>
      <c r="F36" s="734"/>
      <c r="G36" s="734"/>
      <c r="H36" s="734"/>
      <c r="I36" s="734"/>
      <c r="J36" s="734"/>
      <c r="K36" s="734"/>
      <c r="L36" s="734"/>
      <c r="M36" s="734"/>
      <c r="N36" s="734"/>
      <c r="O36" s="734"/>
      <c r="P36" s="735"/>
      <c r="Q36" s="139"/>
      <c r="R36" s="334"/>
      <c r="S36" s="499"/>
      <c r="T36" s="131"/>
      <c r="U36" s="131"/>
      <c r="V36" s="64"/>
      <c r="W36" s="64"/>
      <c r="X36" s="64"/>
      <c r="Y36" s="64"/>
      <c r="Z36" s="64"/>
      <c r="AA36" s="64"/>
      <c r="AB36" s="64"/>
      <c r="AC36" s="64"/>
      <c r="AD36" s="130"/>
      <c r="AE36" s="130"/>
      <c r="AF36" s="130"/>
      <c r="AG36" s="130"/>
    </row>
    <row r="37" spans="1:33" s="33" customFormat="1" ht="14.25" customHeight="1">
      <c r="A37" s="319"/>
      <c r="B37" s="334"/>
      <c r="C37" s="232"/>
      <c r="D37" s="442" t="s">
        <v>60</v>
      </c>
      <c r="E37" s="159" t="s">
        <v>17</v>
      </c>
      <c r="F37" s="159" t="s">
        <v>18</v>
      </c>
      <c r="G37" s="159"/>
      <c r="H37" s="159"/>
      <c r="I37" s="159"/>
      <c r="J37" s="159"/>
      <c r="K37" s="159"/>
      <c r="L37" s="159"/>
      <c r="M37" s="159"/>
      <c r="N37" s="159"/>
      <c r="O37" s="159"/>
      <c r="P37" s="159" t="s">
        <v>19</v>
      </c>
      <c r="Q37" s="137"/>
      <c r="R37" s="334"/>
      <c r="S37" s="499"/>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224</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549</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81"/>
      <c r="E42" s="745"/>
      <c r="F42" s="745"/>
      <c r="G42" s="745"/>
      <c r="H42" s="745"/>
      <c r="I42" s="745"/>
      <c r="J42" s="745"/>
      <c r="K42" s="745"/>
      <c r="L42" s="745"/>
      <c r="M42" s="745"/>
      <c r="N42" s="745"/>
      <c r="O42" s="745"/>
      <c r="P42" s="745"/>
      <c r="Q42" s="379"/>
      <c r="R42" s="334"/>
      <c r="S42" s="499"/>
      <c r="T42" s="131"/>
      <c r="U42" s="131"/>
      <c r="V42" s="64"/>
      <c r="W42" s="64"/>
      <c r="X42" s="64"/>
      <c r="Y42" s="64"/>
      <c r="Z42" s="64"/>
      <c r="AA42" s="64"/>
      <c r="AB42" s="64"/>
      <c r="AC42" s="64"/>
      <c r="AD42" s="130"/>
      <c r="AE42" s="130"/>
      <c r="AF42" s="130"/>
      <c r="AG42" s="130"/>
    </row>
    <row r="43" spans="1:33" s="33" customFormat="1" ht="30" customHeight="1">
      <c r="A43" s="350" t="s">
        <v>107</v>
      </c>
      <c r="B43" s="334"/>
      <c r="C43" s="483" t="s">
        <v>0</v>
      </c>
      <c r="D43" s="381" t="s">
        <v>140</v>
      </c>
      <c r="E43" s="382"/>
      <c r="F43" s="382"/>
      <c r="G43" s="382"/>
      <c r="H43" s="382"/>
      <c r="I43" s="382"/>
      <c r="J43" s="382"/>
      <c r="K43" s="382"/>
      <c r="L43" s="382"/>
      <c r="M43" s="382"/>
      <c r="N43" s="382"/>
      <c r="O43" s="382"/>
      <c r="P43" s="382"/>
      <c r="Q43" s="384"/>
      <c r="R43" s="334"/>
      <c r="S43" s="499"/>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3" t="s">
        <v>53</v>
      </c>
      <c r="E44" s="94"/>
      <c r="F44" s="94"/>
      <c r="G44" s="94"/>
      <c r="H44" s="94"/>
      <c r="I44" s="94"/>
      <c r="J44" s="94"/>
      <c r="K44" s="94"/>
      <c r="L44" s="94"/>
      <c r="M44" s="94"/>
      <c r="N44" s="94"/>
      <c r="O44" s="94"/>
      <c r="P44" s="94"/>
      <c r="Q44" s="137"/>
      <c r="R44" s="334"/>
      <c r="S44" s="499"/>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22"/>
      <c r="E45" s="723"/>
      <c r="F45" s="723"/>
      <c r="G45" s="723"/>
      <c r="H45" s="723"/>
      <c r="I45" s="723"/>
      <c r="J45" s="723"/>
      <c r="K45" s="723"/>
      <c r="L45" s="723"/>
      <c r="M45" s="723"/>
      <c r="N45" s="723"/>
      <c r="O45" s="723"/>
      <c r="P45" s="724"/>
      <c r="Q45" s="139"/>
      <c r="R45" s="334"/>
      <c r="S45" s="499"/>
      <c r="T45" s="131"/>
      <c r="U45" s="131"/>
      <c r="V45" s="64"/>
      <c r="W45" s="64"/>
      <c r="X45" s="64"/>
      <c r="Y45" s="64"/>
      <c r="Z45" s="64"/>
      <c r="AA45" s="64"/>
      <c r="AB45" s="64"/>
      <c r="AC45" s="64"/>
      <c r="AD45" s="130"/>
      <c r="AE45" s="130"/>
      <c r="AF45" s="130"/>
      <c r="AG45" s="130"/>
    </row>
    <row r="46" spans="1:33" s="33" customFormat="1" ht="14.25" customHeight="1">
      <c r="A46" s="319"/>
      <c r="B46" s="334"/>
      <c r="C46" s="233"/>
      <c r="D46" s="497" t="s">
        <v>60</v>
      </c>
      <c r="E46" s="393" t="s">
        <v>17</v>
      </c>
      <c r="F46" s="728" t="s">
        <v>18</v>
      </c>
      <c r="G46" s="728"/>
      <c r="H46" s="728"/>
      <c r="I46" s="728"/>
      <c r="J46" s="728"/>
      <c r="K46" s="728"/>
      <c r="L46" s="728"/>
      <c r="M46" s="728"/>
      <c r="N46" s="728"/>
      <c r="O46" s="728"/>
      <c r="P46" s="393" t="s">
        <v>19</v>
      </c>
      <c r="Q46" s="137"/>
      <c r="R46" s="334"/>
      <c r="S46" s="499"/>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224</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5" t="s">
        <v>549</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2" t="s">
        <v>52</v>
      </c>
      <c r="E51" s="31"/>
      <c r="F51" s="31"/>
      <c r="G51" s="31"/>
      <c r="H51" s="31"/>
      <c r="I51" s="31"/>
      <c r="J51" s="31"/>
      <c r="K51" s="31"/>
      <c r="L51" s="31"/>
      <c r="M51" s="31"/>
      <c r="N51" s="31"/>
      <c r="O51" s="31"/>
      <c r="P51" s="31"/>
      <c r="Q51" s="143"/>
      <c r="R51" s="334"/>
      <c r="S51" s="499"/>
      <c r="T51" s="131"/>
      <c r="U51" s="131"/>
      <c r="V51" s="64"/>
      <c r="W51" s="64"/>
      <c r="X51" s="64"/>
      <c r="Y51" s="64"/>
      <c r="Z51" s="64"/>
      <c r="AA51" s="64"/>
      <c r="AB51" s="64"/>
      <c r="AC51" s="64"/>
      <c r="AD51" s="130"/>
      <c r="AE51" s="130"/>
      <c r="AF51" s="130"/>
      <c r="AG51" s="130"/>
    </row>
    <row r="52" spans="1:33" s="28" customFormat="1" ht="20.25" customHeight="1">
      <c r="A52" s="319"/>
      <c r="B52" s="334"/>
      <c r="C52" s="138"/>
      <c r="D52" s="729"/>
      <c r="E52" s="730"/>
      <c r="F52" s="730"/>
      <c r="G52" s="730"/>
      <c r="H52" s="730"/>
      <c r="I52" s="730"/>
      <c r="J52" s="730"/>
      <c r="K52" s="730"/>
      <c r="L52" s="730"/>
      <c r="M52" s="730"/>
      <c r="N52" s="730"/>
      <c r="O52" s="730"/>
      <c r="P52" s="731"/>
      <c r="Q52" s="139"/>
      <c r="R52" s="334"/>
      <c r="S52" s="499"/>
      <c r="T52" s="131"/>
      <c r="U52" s="131"/>
      <c r="V52" s="64"/>
      <c r="W52" s="64"/>
      <c r="X52" s="64"/>
      <c r="Y52" s="64"/>
      <c r="Z52" s="64"/>
      <c r="AA52" s="64"/>
      <c r="AB52" s="64"/>
      <c r="AC52" s="64"/>
      <c r="AD52" s="130"/>
      <c r="AE52" s="130"/>
      <c r="AF52" s="130"/>
      <c r="AG52" s="130"/>
    </row>
    <row r="53" spans="1:33" s="33" customFormat="1" ht="14.25" customHeight="1">
      <c r="A53" s="319"/>
      <c r="B53" s="334"/>
      <c r="C53" s="232"/>
      <c r="D53" s="442" t="s">
        <v>60</v>
      </c>
      <c r="E53" s="292" t="s">
        <v>17</v>
      </c>
      <c r="F53" s="292" t="s">
        <v>18</v>
      </c>
      <c r="G53" s="292"/>
      <c r="H53" s="292"/>
      <c r="I53" s="292"/>
      <c r="J53" s="292"/>
      <c r="K53" s="292"/>
      <c r="L53" s="292"/>
      <c r="M53" s="292"/>
      <c r="N53" s="292"/>
      <c r="O53" s="292"/>
      <c r="P53" s="292" t="s">
        <v>19</v>
      </c>
      <c r="Q53" s="137"/>
      <c r="R53" s="334"/>
      <c r="S53" s="499"/>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224</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5" t="s">
        <v>549</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224</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81"/>
      <c r="E58" s="745"/>
      <c r="F58" s="745"/>
      <c r="G58" s="745"/>
      <c r="H58" s="745"/>
      <c r="I58" s="745"/>
      <c r="J58" s="745"/>
      <c r="K58" s="745"/>
      <c r="L58" s="745"/>
      <c r="M58" s="745"/>
      <c r="N58" s="745"/>
      <c r="O58" s="745"/>
      <c r="P58" s="745"/>
      <c r="Q58" s="379"/>
      <c r="R58" s="334"/>
      <c r="S58" s="499"/>
      <c r="T58" s="131"/>
      <c r="U58" s="131"/>
      <c r="V58" s="64"/>
      <c r="W58" s="64"/>
      <c r="X58" s="64"/>
      <c r="Y58" s="64"/>
      <c r="Z58" s="64"/>
      <c r="AA58" s="64"/>
      <c r="AB58" s="64"/>
      <c r="AC58" s="64"/>
      <c r="AD58" s="130"/>
      <c r="AE58" s="130"/>
      <c r="AF58" s="130"/>
      <c r="AG58" s="130"/>
    </row>
    <row r="59" spans="1:33" s="33" customFormat="1" ht="30" customHeight="1">
      <c r="A59" s="350" t="s">
        <v>107</v>
      </c>
      <c r="B59" s="334"/>
      <c r="C59" s="136"/>
      <c r="D59" s="304" t="s">
        <v>139</v>
      </c>
      <c r="E59" s="302"/>
      <c r="F59" s="94"/>
      <c r="G59" s="94"/>
      <c r="H59" s="94"/>
      <c r="I59" s="94"/>
      <c r="J59" s="94"/>
      <c r="K59" s="94"/>
      <c r="L59" s="94"/>
      <c r="M59" s="94"/>
      <c r="N59" s="94"/>
      <c r="O59" s="94"/>
      <c r="P59" s="94"/>
      <c r="Q59" s="137"/>
      <c r="R59" s="334"/>
      <c r="S59" s="499"/>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3" t="s">
        <v>53</v>
      </c>
      <c r="E60" s="94"/>
      <c r="F60" s="94"/>
      <c r="G60" s="94"/>
      <c r="H60" s="94"/>
      <c r="I60" s="94"/>
      <c r="J60" s="94"/>
      <c r="K60" s="94"/>
      <c r="L60" s="94"/>
      <c r="M60" s="94"/>
      <c r="N60" s="94"/>
      <c r="O60" s="94"/>
      <c r="P60" s="94"/>
      <c r="Q60" s="137"/>
      <c r="R60" s="334"/>
      <c r="S60" s="499"/>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22"/>
      <c r="E61" s="723"/>
      <c r="F61" s="723"/>
      <c r="G61" s="723"/>
      <c r="H61" s="723"/>
      <c r="I61" s="723"/>
      <c r="J61" s="723"/>
      <c r="K61" s="723"/>
      <c r="L61" s="723"/>
      <c r="M61" s="723"/>
      <c r="N61" s="723"/>
      <c r="O61" s="723"/>
      <c r="P61" s="724"/>
      <c r="Q61" s="139"/>
      <c r="R61" s="334"/>
      <c r="S61" s="499"/>
      <c r="T61" s="131"/>
      <c r="U61" s="131"/>
      <c r="V61" s="64"/>
      <c r="W61" s="64"/>
      <c r="X61" s="64"/>
      <c r="Y61" s="64"/>
      <c r="Z61" s="64"/>
      <c r="AA61" s="64"/>
      <c r="AB61" s="64"/>
      <c r="AC61" s="64"/>
      <c r="AD61" s="130"/>
      <c r="AE61" s="130"/>
      <c r="AF61" s="130"/>
      <c r="AG61" s="130"/>
    </row>
    <row r="62" spans="1:33" s="33" customFormat="1" ht="14.25" customHeight="1">
      <c r="A62" s="319"/>
      <c r="B62" s="334"/>
      <c r="C62" s="136"/>
      <c r="D62" s="442" t="s">
        <v>60</v>
      </c>
      <c r="E62" s="105" t="s">
        <v>17</v>
      </c>
      <c r="F62" s="752" t="s">
        <v>18</v>
      </c>
      <c r="G62" s="752"/>
      <c r="H62" s="752"/>
      <c r="I62" s="752"/>
      <c r="J62" s="752"/>
      <c r="K62" s="752"/>
      <c r="L62" s="752"/>
      <c r="M62" s="752"/>
      <c r="N62" s="752"/>
      <c r="O62" s="752"/>
      <c r="P62" s="105" t="s">
        <v>19</v>
      </c>
      <c r="Q62" s="137"/>
      <c r="R62" s="334"/>
      <c r="S62" s="499"/>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224</v>
      </c>
      <c r="F63" s="71">
        <v>1</v>
      </c>
      <c r="G63" s="72">
        <v>2</v>
      </c>
      <c r="H63" s="73">
        <v>3</v>
      </c>
      <c r="I63" s="74">
        <v>4</v>
      </c>
      <c r="J63" s="75">
        <v>5</v>
      </c>
      <c r="K63" s="76">
        <v>6</v>
      </c>
      <c r="L63" s="77">
        <v>7</v>
      </c>
      <c r="M63" s="78">
        <v>8</v>
      </c>
      <c r="N63" s="79">
        <v>9</v>
      </c>
      <c r="O63" s="80">
        <v>10</v>
      </c>
      <c r="P63" s="32" t="s">
        <v>0</v>
      </c>
      <c r="Q63" s="139"/>
      <c r="R63" s="334"/>
      <c r="S63" s="133">
        <f>VLOOKUP($E63,R.VL_DEQResourcesInvolved,2,FALSE)</f>
        <v>0</v>
      </c>
      <c r="T63" s="121">
        <f>VLOOKUP($E63,R.VL_DEQResourcesInvolved,3,FALSE)</f>
        <v>0</v>
      </c>
      <c r="U63" s="121">
        <f>IF(S63=10,T63,VLOOKUP($E63,R.VL_DEQResourcesInvolved,4,FALSE))</f>
        <v>0</v>
      </c>
      <c r="V63" s="575" t="s">
        <v>549</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224</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224</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224</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3" t="s">
        <v>52</v>
      </c>
      <c r="E67" s="31"/>
      <c r="F67" s="31"/>
      <c r="G67" s="31"/>
      <c r="H67" s="31"/>
      <c r="I67" s="31"/>
      <c r="J67" s="31"/>
      <c r="K67" s="31"/>
      <c r="L67" s="31"/>
      <c r="M67" s="31"/>
      <c r="N67" s="31"/>
      <c r="O67" s="31"/>
      <c r="P67" s="31"/>
      <c r="Q67" s="143"/>
      <c r="R67" s="334"/>
      <c r="S67" s="499"/>
      <c r="T67" s="131"/>
      <c r="U67" s="131"/>
      <c r="V67" s="64"/>
      <c r="W67" s="64"/>
      <c r="X67" s="64"/>
      <c r="Y67" s="64"/>
      <c r="Z67" s="64"/>
      <c r="AA67" s="64"/>
      <c r="AB67" s="64"/>
      <c r="AC67" s="64"/>
      <c r="AD67" s="130"/>
      <c r="AE67" s="130"/>
      <c r="AF67" s="130"/>
      <c r="AG67" s="130"/>
    </row>
    <row r="68" spans="1:33" s="28" customFormat="1" ht="20.25" customHeight="1">
      <c r="A68" s="319"/>
      <c r="B68" s="334"/>
      <c r="C68" s="138"/>
      <c r="D68" s="733" t="s">
        <v>0</v>
      </c>
      <c r="E68" s="734"/>
      <c r="F68" s="734"/>
      <c r="G68" s="734"/>
      <c r="H68" s="734"/>
      <c r="I68" s="734"/>
      <c r="J68" s="734"/>
      <c r="K68" s="734"/>
      <c r="L68" s="734"/>
      <c r="M68" s="734"/>
      <c r="N68" s="734"/>
      <c r="O68" s="734"/>
      <c r="P68" s="735"/>
      <c r="Q68" s="139"/>
      <c r="R68" s="334"/>
      <c r="S68" s="499"/>
      <c r="T68" s="131"/>
      <c r="U68" s="131"/>
      <c r="V68" s="64"/>
      <c r="W68" s="64"/>
      <c r="X68" s="64"/>
      <c r="Y68" s="64"/>
      <c r="Z68" s="64"/>
      <c r="AA68" s="64"/>
      <c r="AB68" s="64"/>
      <c r="AC68" s="64"/>
      <c r="AD68" s="130"/>
      <c r="AE68" s="130"/>
      <c r="AF68" s="130"/>
      <c r="AG68" s="130"/>
    </row>
    <row r="69" spans="1:33" s="33" customFormat="1" ht="14.25" customHeight="1">
      <c r="A69" s="319"/>
      <c r="B69" s="334"/>
      <c r="C69" s="136"/>
      <c r="D69" s="442" t="s">
        <v>60</v>
      </c>
      <c r="E69" s="105" t="s">
        <v>17</v>
      </c>
      <c r="F69" s="752" t="s">
        <v>18</v>
      </c>
      <c r="G69" s="752"/>
      <c r="H69" s="752"/>
      <c r="I69" s="752"/>
      <c r="J69" s="752"/>
      <c r="K69" s="752"/>
      <c r="L69" s="752"/>
      <c r="M69" s="752"/>
      <c r="N69" s="752"/>
      <c r="O69" s="752"/>
      <c r="P69" s="105" t="s">
        <v>19</v>
      </c>
      <c r="Q69" s="137"/>
      <c r="R69" s="334"/>
      <c r="S69" s="499"/>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224</v>
      </c>
      <c r="F70" s="71">
        <v>1</v>
      </c>
      <c r="G70" s="72">
        <v>2</v>
      </c>
      <c r="H70" s="73">
        <v>3</v>
      </c>
      <c r="I70" s="74">
        <v>4</v>
      </c>
      <c r="J70" s="75">
        <v>5</v>
      </c>
      <c r="K70" s="76">
        <v>6</v>
      </c>
      <c r="L70" s="77">
        <v>7</v>
      </c>
      <c r="M70" s="78">
        <v>8</v>
      </c>
      <c r="N70" s="79">
        <v>9</v>
      </c>
      <c r="O70" s="80">
        <v>10</v>
      </c>
      <c r="P70" s="32" t="s">
        <v>0</v>
      </c>
      <c r="Q70" s="139"/>
      <c r="R70" s="334"/>
      <c r="S70" s="133">
        <f>VLOOKUP($E70,R.VL_DEQResourcesInvolved,2,FALSE)</f>
        <v>0</v>
      </c>
      <c r="T70" s="121">
        <f>VLOOKUP($E70,R.VL_DEQResourcesInvolved,3,FALSE)</f>
        <v>0</v>
      </c>
      <c r="U70" s="121">
        <f>IF(S70=10,T70,VLOOKUP($E70,R.VL_DEQResourcesInvolved,4,FALSE))</f>
        <v>0</v>
      </c>
      <c r="V70" s="575" t="s">
        <v>549</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224</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224</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224</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44"/>
      <c r="F74" s="744"/>
      <c r="G74" s="744"/>
      <c r="H74" s="744"/>
      <c r="I74" s="744"/>
      <c r="J74" s="744"/>
      <c r="K74" s="744"/>
      <c r="L74" s="744"/>
      <c r="M74" s="744"/>
      <c r="N74" s="744"/>
      <c r="O74" s="744"/>
      <c r="P74" s="744"/>
      <c r="Q74" s="145"/>
      <c r="R74" s="334"/>
      <c r="S74" s="499"/>
      <c r="T74" s="128"/>
      <c r="U74" s="128"/>
      <c r="V74" s="64"/>
      <c r="W74" s="64"/>
      <c r="X74" s="64"/>
      <c r="Y74" s="64"/>
      <c r="Z74" s="64"/>
      <c r="AA74" s="64"/>
      <c r="AB74" s="64"/>
      <c r="AC74" s="64"/>
      <c r="AD74" s="130"/>
      <c r="AE74" s="130"/>
      <c r="AF74" s="130"/>
      <c r="AG74" s="130"/>
    </row>
    <row r="75" spans="1:33" s="29" customFormat="1" ht="30" customHeight="1">
      <c r="A75" s="319"/>
      <c r="B75" s="334"/>
      <c r="C75" s="146"/>
      <c r="D75" s="653" t="str">
        <f>"Please suggest process improvements to the "&amp;D2&amp;" worksheet."</f>
        <v>Please suggest process improvements to the Organizational Services worksheet.</v>
      </c>
      <c r="E75" s="653"/>
      <c r="F75" s="653"/>
      <c r="G75" s="653"/>
      <c r="H75" s="653"/>
      <c r="I75" s="653"/>
      <c r="J75" s="653"/>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650"/>
      <c r="E76" s="651"/>
      <c r="F76" s="651"/>
      <c r="G76" s="651"/>
      <c r="H76" s="651"/>
      <c r="I76" s="651"/>
      <c r="J76" s="651"/>
      <c r="K76" s="651"/>
      <c r="L76" s="651"/>
      <c r="M76" s="651"/>
      <c r="N76" s="651"/>
      <c r="O76" s="651"/>
      <c r="P76" s="652"/>
      <c r="Q76" s="148"/>
      <c r="R76" s="334"/>
      <c r="S76"/>
      <c r="T76" s="131"/>
      <c r="U76" s="131"/>
      <c r="V76" s="64"/>
      <c r="W76" s="64"/>
      <c r="X76" s="64"/>
      <c r="Y76" s="64"/>
      <c r="Z76" s="64"/>
      <c r="AA76" s="64"/>
      <c r="AB76" s="64"/>
      <c r="AC76" s="64"/>
      <c r="AD76" s="66"/>
      <c r="AE76" s="66"/>
      <c r="AF76" s="66"/>
      <c r="AG76" s="66"/>
    </row>
    <row r="77" spans="1:33" ht="18" customHeight="1">
      <c r="A77" s="350" t="s">
        <v>108</v>
      </c>
      <c r="B77" s="334"/>
      <c r="C77" s="149"/>
      <c r="D77" s="150"/>
      <c r="E77" s="150"/>
      <c r="F77" s="150"/>
      <c r="G77" s="150"/>
      <c r="H77" s="150"/>
      <c r="I77" s="150"/>
      <c r="J77" s="150"/>
      <c r="K77" s="150"/>
      <c r="L77" s="150"/>
      <c r="M77" s="150"/>
      <c r="N77" s="150"/>
      <c r="O77" s="150"/>
      <c r="P77" s="150"/>
      <c r="Q77" s="151"/>
      <c r="R77" s="334"/>
      <c r="S77"/>
    </row>
    <row r="78" spans="1:33" s="64" customFormat="1" ht="13.8">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13:P13"/>
    <mergeCell ref="F14:O14"/>
    <mergeCell ref="D20:P20"/>
    <mergeCell ref="E58:P58"/>
    <mergeCell ref="F46:O46"/>
    <mergeCell ref="E26:P26"/>
    <mergeCell ref="D29:P29"/>
    <mergeCell ref="D36:P36"/>
    <mergeCell ref="E42:P42"/>
    <mergeCell ref="D45:P45"/>
    <mergeCell ref="D61:P61"/>
    <mergeCell ref="D68:P68"/>
    <mergeCell ref="D76:P76"/>
    <mergeCell ref="D52:P52"/>
    <mergeCell ref="F62:O62"/>
    <mergeCell ref="F69:O69"/>
    <mergeCell ref="D75:J75"/>
    <mergeCell ref="E74:P74"/>
    <mergeCell ref="D7:P7"/>
    <mergeCell ref="D8:P8"/>
    <mergeCell ref="D9:P9"/>
    <mergeCell ref="E2:P2"/>
    <mergeCell ref="M3:P3"/>
    <mergeCell ref="F4:L4"/>
    <mergeCell ref="M4:P4"/>
    <mergeCell ref="F5:L5"/>
    <mergeCell ref="M5:P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zoomScaleNormal="100" workbookViewId="0">
      <selection activeCell="D2" sqref="D2"/>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104" customWidth="1"/>
    <col min="5" max="5" width="15.69921875" style="104" customWidth="1"/>
    <col min="6" max="15" width="1.59765625" style="104" customWidth="1"/>
    <col min="16" max="16" width="15.69921875" style="104" customWidth="1"/>
    <col min="17" max="17" width="3.59765625" style="104"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2" width="31.09765625" style="64" customWidth="1"/>
    <col min="33" max="33" width="31.09765625" style="104" customWidth="1"/>
    <col min="34" max="16384" width="9" style="104"/>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11</v>
      </c>
      <c r="D2" s="153" t="s">
        <v>83</v>
      </c>
      <c r="E2" s="710" t="str">
        <f>R.1MediaAndLongName</f>
        <v>AQ Updates to Oregon's State Implementation Plan</v>
      </c>
      <c r="F2" s="710"/>
      <c r="G2" s="710"/>
      <c r="H2" s="710"/>
      <c r="I2" s="710"/>
      <c r="J2" s="710"/>
      <c r="K2" s="710"/>
      <c r="L2" s="710"/>
      <c r="M2" s="710"/>
      <c r="N2" s="710"/>
      <c r="O2" s="710"/>
      <c r="P2" s="710"/>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689" t="s">
        <v>57</v>
      </c>
      <c r="N3" s="689"/>
      <c r="O3" s="689"/>
      <c r="P3" s="689"/>
      <c r="Q3" s="156"/>
      <c r="R3" s="334"/>
      <c r="S3" s="121">
        <f>COUNTIFS(S15:S57,"&gt;0")</f>
        <v>0</v>
      </c>
      <c r="T3" s="124">
        <f>SUM(T15:T57)</f>
        <v>0</v>
      </c>
      <c r="U3" s="124">
        <f>SUM(U15:U57)</f>
        <v>0</v>
      </c>
      <c r="V3" s="120"/>
      <c r="W3" s="64"/>
      <c r="X3" s="64"/>
      <c r="Y3" s="64"/>
      <c r="Z3" s="64"/>
      <c r="AA3" s="64"/>
      <c r="AB3" s="64"/>
      <c r="AC3" s="64"/>
      <c r="AD3" s="66"/>
      <c r="AE3" s="66"/>
      <c r="AF3" s="66"/>
    </row>
    <row r="4" spans="1:33" s="6" customFormat="1" ht="20.25" customHeight="1">
      <c r="A4" s="114"/>
      <c r="B4" s="334"/>
      <c r="C4" s="155"/>
      <c r="D4" s="494" t="s">
        <v>55</v>
      </c>
      <c r="E4" s="81">
        <f>S3</f>
        <v>0</v>
      </c>
      <c r="F4" s="690" t="s">
        <v>54</v>
      </c>
      <c r="G4" s="690"/>
      <c r="H4" s="690"/>
      <c r="I4" s="690"/>
      <c r="J4" s="690"/>
      <c r="K4" s="690"/>
      <c r="L4" s="690"/>
      <c r="M4" s="691" t="str">
        <f>S4</f>
        <v>0</v>
      </c>
      <c r="N4" s="691"/>
      <c r="O4" s="691"/>
      <c r="P4" s="691"/>
      <c r="Q4" s="156"/>
      <c r="R4" s="334"/>
      <c r="S4" s="122" t="str">
        <f>IF(R.11StaffCount=0,"0",IF(R.11LowHrs=0,"0-"&amp;TEXT(R.11HighHrs,"#,###"),TEXT(R.11LowHrs,"#,###")&amp;"-"&amp;TEXT(R.11HighHrs,"#,###")))</f>
        <v>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4" t="s">
        <v>68</v>
      </c>
      <c r="E5" s="98">
        <f>R.AvgHrDEQCost</f>
        <v>58</v>
      </c>
      <c r="F5" s="690" t="s">
        <v>58</v>
      </c>
      <c r="G5" s="690"/>
      <c r="H5" s="690"/>
      <c r="I5" s="690"/>
      <c r="J5" s="690"/>
      <c r="K5" s="690"/>
      <c r="L5" s="690"/>
      <c r="M5" s="692" t="str">
        <f>S5</f>
        <v>$0</v>
      </c>
      <c r="N5" s="692"/>
      <c r="O5" s="692"/>
      <c r="P5" s="692"/>
      <c r="Q5" s="156"/>
      <c r="R5" s="334"/>
      <c r="S5" s="122" t="str">
        <f>IF(R.11StaffCount=0,"$0",IF(R.11LowDollars=0,"$0-"&amp;TEXT(R.11HighDollars,"#,###"),TEXT(R.11LowDollars,"$#,###")&amp;"-"&amp;TEXT(R.11HighDollars,"#,###")))</f>
        <v>$0</v>
      </c>
      <c r="T5" s="124">
        <f>T3*E5</f>
        <v>0</v>
      </c>
      <c r="U5" s="124">
        <f>U3*E5</f>
        <v>0</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25" t="s">
        <v>243</v>
      </c>
      <c r="E7" s="726"/>
      <c r="F7" s="726"/>
      <c r="G7" s="726"/>
      <c r="H7" s="726"/>
      <c r="I7" s="726"/>
      <c r="J7" s="726"/>
      <c r="K7" s="726"/>
      <c r="L7" s="726"/>
      <c r="M7" s="726"/>
      <c r="N7" s="726"/>
      <c r="O7" s="726"/>
      <c r="P7" s="727"/>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51" t="s">
        <v>512</v>
      </c>
      <c r="E8" s="751"/>
      <c r="F8" s="751"/>
      <c r="G8" s="751"/>
      <c r="H8" s="751"/>
      <c r="I8" s="751"/>
      <c r="J8" s="751"/>
      <c r="K8" s="751"/>
      <c r="L8" s="751"/>
      <c r="M8" s="751"/>
      <c r="N8" s="751"/>
      <c r="O8" s="751"/>
      <c r="P8" s="751"/>
      <c r="Q8" s="156"/>
      <c r="R8" s="334"/>
      <c r="T8" s="493"/>
      <c r="U8" s="493"/>
      <c r="V8" s="120"/>
      <c r="W8" s="436"/>
      <c r="X8" s="436"/>
      <c r="Y8" s="436"/>
      <c r="Z8" s="436"/>
      <c r="AA8" s="436"/>
      <c r="AB8" s="436"/>
      <c r="AC8" s="436"/>
      <c r="AD8" s="66"/>
      <c r="AE8" s="66"/>
      <c r="AF8" s="66"/>
    </row>
    <row r="9" spans="1:33" s="28" customFormat="1" ht="15.75" customHeight="1">
      <c r="A9" s="345"/>
      <c r="B9" s="440"/>
      <c r="C9" s="138"/>
      <c r="D9" s="748" t="s">
        <v>464</v>
      </c>
      <c r="E9" s="749"/>
      <c r="F9" s="749"/>
      <c r="G9" s="749"/>
      <c r="H9" s="749"/>
      <c r="I9" s="749"/>
      <c r="J9" s="749"/>
      <c r="K9" s="749"/>
      <c r="L9" s="749"/>
      <c r="M9" s="749"/>
      <c r="N9" s="749"/>
      <c r="O9" s="749"/>
      <c r="P9" s="750"/>
      <c r="Q9" s="139"/>
      <c r="R9" s="440"/>
      <c r="S9"/>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0" t="s">
        <v>0</v>
      </c>
      <c r="D11" s="304" t="s">
        <v>136</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22" t="s">
        <v>0</v>
      </c>
      <c r="E13" s="723"/>
      <c r="F13" s="723"/>
      <c r="G13" s="723"/>
      <c r="H13" s="723"/>
      <c r="I13" s="723"/>
      <c r="J13" s="723"/>
      <c r="K13" s="723"/>
      <c r="L13" s="723"/>
      <c r="M13" s="723"/>
      <c r="N13" s="723"/>
      <c r="O13" s="723"/>
      <c r="P13" s="724"/>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7" t="s">
        <v>60</v>
      </c>
      <c r="E14" s="393" t="s">
        <v>17</v>
      </c>
      <c r="F14" s="728" t="s">
        <v>18</v>
      </c>
      <c r="G14" s="728"/>
      <c r="H14" s="728"/>
      <c r="I14" s="728"/>
      <c r="J14" s="728"/>
      <c r="K14" s="728"/>
      <c r="L14" s="728"/>
      <c r="M14" s="728"/>
      <c r="N14" s="728"/>
      <c r="O14" s="728"/>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0</v>
      </c>
      <c r="E15" s="30" t="s">
        <v>224</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5" t="s">
        <v>549</v>
      </c>
      <c r="W15" s="64"/>
      <c r="X15" s="64"/>
      <c r="Y15" s="64"/>
      <c r="Z15" s="64"/>
      <c r="AA15" s="64"/>
      <c r="AB15" s="64"/>
      <c r="AC15" s="64"/>
      <c r="AD15" s="130"/>
      <c r="AE15" s="130"/>
      <c r="AF15" s="130"/>
    </row>
    <row r="16" spans="1:33" s="28" customFormat="1" ht="15.75" hidden="1" customHeight="1" outlineLevel="1">
      <c r="A16" s="117"/>
      <c r="B16" s="334"/>
      <c r="C16" s="138"/>
      <c r="D16" s="36" t="s">
        <v>0</v>
      </c>
      <c r="E16" s="30" t="s">
        <v>224</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224</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224</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29"/>
      <c r="E20" s="730"/>
      <c r="F20" s="730"/>
      <c r="G20" s="730"/>
      <c r="H20" s="730"/>
      <c r="I20" s="730"/>
      <c r="J20" s="730"/>
      <c r="K20" s="730"/>
      <c r="L20" s="730"/>
      <c r="M20" s="730"/>
      <c r="N20" s="730"/>
      <c r="O20" s="730"/>
      <c r="P20" s="731"/>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2" t="s">
        <v>60</v>
      </c>
      <c r="E21" s="292" t="s">
        <v>17</v>
      </c>
      <c r="F21" s="752" t="s">
        <v>18</v>
      </c>
      <c r="G21" s="752"/>
      <c r="H21" s="752"/>
      <c r="I21" s="752"/>
      <c r="J21" s="752"/>
      <c r="K21" s="752"/>
      <c r="L21" s="752"/>
      <c r="M21" s="752"/>
      <c r="N21" s="752"/>
      <c r="O21" s="752"/>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0</v>
      </c>
      <c r="E22" s="30" t="s">
        <v>224</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549</v>
      </c>
      <c r="W22" s="64"/>
      <c r="X22" s="64"/>
      <c r="Y22" s="64"/>
      <c r="Z22" s="64"/>
      <c r="AA22" s="64"/>
      <c r="AB22" s="64"/>
      <c r="AC22" s="64"/>
      <c r="AD22" s="130"/>
      <c r="AE22" s="130"/>
      <c r="AF22" s="130"/>
    </row>
    <row r="23" spans="1:32" s="28" customFormat="1" ht="15.75" hidden="1" customHeight="1" outlineLevel="1">
      <c r="A23" s="117"/>
      <c r="B23" s="334"/>
      <c r="C23" s="138"/>
      <c r="D23" s="36"/>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44"/>
      <c r="F26" s="744"/>
      <c r="G26" s="744"/>
      <c r="H26" s="744"/>
      <c r="I26" s="744"/>
      <c r="J26" s="744"/>
      <c r="K26" s="744"/>
      <c r="L26" s="744"/>
      <c r="M26" s="744"/>
      <c r="N26" s="744"/>
      <c r="O26" s="744"/>
      <c r="P26" s="744"/>
      <c r="Q26" s="145"/>
      <c r="R26" s="334"/>
      <c r="S26" s="132"/>
      <c r="T26" s="131"/>
      <c r="U26" s="131"/>
      <c r="V26" s="575"/>
      <c r="W26" s="64"/>
      <c r="X26" s="64"/>
      <c r="Y26" s="64"/>
      <c r="Z26" s="64"/>
      <c r="AA26" s="64"/>
      <c r="AB26" s="64"/>
      <c r="AC26" s="64"/>
      <c r="AD26" s="130"/>
      <c r="AE26" s="130"/>
      <c r="AF26" s="130"/>
    </row>
    <row r="27" spans="1:32" s="33" customFormat="1" ht="30" customHeight="1">
      <c r="A27" s="350" t="s">
        <v>107</v>
      </c>
      <c r="B27" s="334"/>
      <c r="C27" s="136"/>
      <c r="D27" s="306" t="s">
        <v>137</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22" t="s">
        <v>0</v>
      </c>
      <c r="E29" s="723"/>
      <c r="F29" s="723"/>
      <c r="G29" s="723"/>
      <c r="H29" s="723"/>
      <c r="I29" s="723"/>
      <c r="J29" s="723"/>
      <c r="K29" s="723"/>
      <c r="L29" s="723"/>
      <c r="M29" s="723"/>
      <c r="N29" s="723"/>
      <c r="O29" s="723"/>
      <c r="P29" s="724"/>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2" t="s">
        <v>60</v>
      </c>
      <c r="E30" s="159" t="s">
        <v>17</v>
      </c>
      <c r="F30" s="752" t="s">
        <v>18</v>
      </c>
      <c r="G30" s="752"/>
      <c r="H30" s="752"/>
      <c r="I30" s="752"/>
      <c r="J30" s="752"/>
      <c r="K30" s="752"/>
      <c r="L30" s="752"/>
      <c r="M30" s="752"/>
      <c r="N30" s="752"/>
      <c r="O30" s="752"/>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t="s">
        <v>0</v>
      </c>
      <c r="E31" s="30" t="s">
        <v>224</v>
      </c>
      <c r="F31" s="71">
        <v>1</v>
      </c>
      <c r="G31" s="72">
        <v>2</v>
      </c>
      <c r="H31" s="73">
        <v>3</v>
      </c>
      <c r="I31" s="74">
        <v>4</v>
      </c>
      <c r="J31" s="75">
        <v>5</v>
      </c>
      <c r="K31" s="76">
        <v>6</v>
      </c>
      <c r="L31" s="77">
        <v>7</v>
      </c>
      <c r="M31" s="78">
        <v>8</v>
      </c>
      <c r="N31" s="79">
        <v>9</v>
      </c>
      <c r="O31" s="80">
        <v>10</v>
      </c>
      <c r="P31" s="32" t="s">
        <v>14</v>
      </c>
      <c r="Q31" s="139"/>
      <c r="R31" s="334"/>
      <c r="S31" s="133">
        <f>VLOOKUP($E31,R.VL_DEQResourcesInvolved,2,FALSE)</f>
        <v>0</v>
      </c>
      <c r="T31" s="121">
        <f>VLOOKUP($E31,R.VL_DEQResourcesInvolved,3,FALSE)</f>
        <v>0</v>
      </c>
      <c r="U31" s="121">
        <f>IF(S31=10,T31,VLOOKUP($E31,R.VL_DEQResourcesInvolved,4,FALSE))</f>
        <v>0</v>
      </c>
      <c r="V31" s="575" t="s">
        <v>549</v>
      </c>
      <c r="W31" s="64"/>
      <c r="X31" s="64"/>
      <c r="Y31" s="64"/>
      <c r="Z31" s="64"/>
      <c r="AA31" s="64"/>
      <c r="AB31" s="64"/>
      <c r="AC31" s="64"/>
      <c r="AD31" s="130"/>
      <c r="AE31" s="130"/>
      <c r="AF31" s="130"/>
    </row>
    <row r="32" spans="1:32" s="28" customFormat="1" ht="15.75" hidden="1" customHeight="1" outlineLevel="1">
      <c r="A32" s="117"/>
      <c r="B32" s="334"/>
      <c r="C32" s="138"/>
      <c r="D32" s="36" t="s">
        <v>0</v>
      </c>
      <c r="E32" s="30" t="s">
        <v>224</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224</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224</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33"/>
      <c r="E36" s="734"/>
      <c r="F36" s="734"/>
      <c r="G36" s="734"/>
      <c r="H36" s="734"/>
      <c r="I36" s="734"/>
      <c r="J36" s="734"/>
      <c r="K36" s="734"/>
      <c r="L36" s="734"/>
      <c r="M36" s="734"/>
      <c r="N36" s="734"/>
      <c r="O36" s="734"/>
      <c r="P36" s="735"/>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2" t="s">
        <v>60</v>
      </c>
      <c r="E37" s="159" t="s">
        <v>17</v>
      </c>
      <c r="F37" s="752" t="s">
        <v>18</v>
      </c>
      <c r="G37" s="752"/>
      <c r="H37" s="752"/>
      <c r="I37" s="752"/>
      <c r="J37" s="752"/>
      <c r="K37" s="752"/>
      <c r="L37" s="752"/>
      <c r="M37" s="752"/>
      <c r="N37" s="752"/>
      <c r="O37" s="752"/>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224</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549</v>
      </c>
      <c r="W38" s="64"/>
      <c r="X38" s="64"/>
      <c r="Y38" s="64"/>
      <c r="Z38" s="64"/>
      <c r="AA38" s="64"/>
      <c r="AB38" s="64"/>
      <c r="AC38" s="64"/>
      <c r="AD38" s="130"/>
      <c r="AE38" s="130"/>
      <c r="AF38" s="130"/>
    </row>
    <row r="39" spans="1:32" s="28" customFormat="1" ht="15.75" hidden="1" customHeight="1" outlineLevel="1">
      <c r="A39" s="117"/>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81"/>
      <c r="E42" s="745"/>
      <c r="F42" s="745"/>
      <c r="G42" s="745"/>
      <c r="H42" s="745"/>
      <c r="I42" s="745"/>
      <c r="J42" s="745"/>
      <c r="K42" s="745"/>
      <c r="L42" s="745"/>
      <c r="M42" s="745"/>
      <c r="N42" s="745"/>
      <c r="O42" s="745"/>
      <c r="P42" s="745"/>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3" t="s">
        <v>0</v>
      </c>
      <c r="D43" s="381" t="s">
        <v>138</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22"/>
      <c r="E45" s="723"/>
      <c r="F45" s="723"/>
      <c r="G45" s="723"/>
      <c r="H45" s="723"/>
      <c r="I45" s="723"/>
      <c r="J45" s="723"/>
      <c r="K45" s="723"/>
      <c r="L45" s="723"/>
      <c r="M45" s="723"/>
      <c r="N45" s="723"/>
      <c r="O45" s="723"/>
      <c r="P45" s="724"/>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7" t="s">
        <v>60</v>
      </c>
      <c r="E46" s="393" t="s">
        <v>17</v>
      </c>
      <c r="F46" s="728" t="s">
        <v>18</v>
      </c>
      <c r="G46" s="728"/>
      <c r="H46" s="728"/>
      <c r="I46" s="728"/>
      <c r="J46" s="728"/>
      <c r="K46" s="728"/>
      <c r="L46" s="728"/>
      <c r="M46" s="728"/>
      <c r="N46" s="728"/>
      <c r="O46" s="728"/>
      <c r="P46" s="393" t="s">
        <v>19</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36"/>
      <c r="E47" s="30" t="s">
        <v>224</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5" t="s">
        <v>549</v>
      </c>
      <c r="W47" s="64"/>
      <c r="X47" s="64"/>
      <c r="Y47" s="64"/>
      <c r="Z47" s="64"/>
      <c r="AA47" s="64"/>
      <c r="AB47" s="64"/>
      <c r="AC47" s="64"/>
      <c r="AD47" s="130"/>
      <c r="AE47" s="130"/>
      <c r="AF47" s="130"/>
    </row>
    <row r="48" spans="1:32" s="28" customFormat="1" ht="15.75" hidden="1" customHeight="1" outlineLevel="1">
      <c r="A48" s="117"/>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29"/>
      <c r="E52" s="730"/>
      <c r="F52" s="730"/>
      <c r="G52" s="730"/>
      <c r="H52" s="730"/>
      <c r="I52" s="730"/>
      <c r="J52" s="730"/>
      <c r="K52" s="730"/>
      <c r="L52" s="730"/>
      <c r="M52" s="730"/>
      <c r="N52" s="730"/>
      <c r="O52" s="730"/>
      <c r="P52" s="731"/>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2" t="s">
        <v>60</v>
      </c>
      <c r="E53" s="292" t="s">
        <v>17</v>
      </c>
      <c r="F53" s="752" t="s">
        <v>18</v>
      </c>
      <c r="G53" s="752"/>
      <c r="H53" s="752"/>
      <c r="I53" s="752"/>
      <c r="J53" s="752"/>
      <c r="K53" s="752"/>
      <c r="L53" s="752"/>
      <c r="M53" s="752"/>
      <c r="N53" s="752"/>
      <c r="O53" s="752"/>
      <c r="P53" s="292" t="s">
        <v>19</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c r="E54" s="30" t="s">
        <v>224</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5" t="s">
        <v>549</v>
      </c>
      <c r="W54" s="64"/>
      <c r="X54" s="64"/>
      <c r="Y54" s="64"/>
      <c r="Z54" s="64"/>
      <c r="AA54" s="64"/>
      <c r="AB54" s="64"/>
      <c r="AC54" s="64"/>
      <c r="AD54" s="130"/>
      <c r="AE54" s="130"/>
      <c r="AF54" s="130"/>
    </row>
    <row r="55" spans="1:32" s="28" customFormat="1" ht="15.75" hidden="1" customHeight="1" outlineLevel="1">
      <c r="A55" s="117"/>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81"/>
      <c r="E58" s="745"/>
      <c r="F58" s="745"/>
      <c r="G58" s="745"/>
      <c r="H58" s="745"/>
      <c r="I58" s="745"/>
      <c r="J58" s="745"/>
      <c r="K58" s="745"/>
      <c r="L58" s="745"/>
      <c r="M58" s="745"/>
      <c r="N58" s="745"/>
      <c r="O58" s="745"/>
      <c r="P58" s="745"/>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53" t="str">
        <f>"Please suggest process improvements to the "&amp;D2&amp;" worksheet."</f>
        <v>Please suggest process improvements to the Technical Services worksheet.</v>
      </c>
      <c r="E59" s="653"/>
      <c r="F59" s="653"/>
      <c r="G59" s="653"/>
      <c r="H59" s="653"/>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50"/>
      <c r="E60" s="651"/>
      <c r="F60" s="651"/>
      <c r="G60" s="651"/>
      <c r="H60" s="651"/>
      <c r="I60" s="651"/>
      <c r="J60" s="651"/>
      <c r="K60" s="651"/>
      <c r="L60" s="651"/>
      <c r="M60" s="651"/>
      <c r="N60" s="651"/>
      <c r="O60" s="651"/>
      <c r="P60" s="652"/>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3.8">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E26:P26"/>
    <mergeCell ref="F21:O21"/>
    <mergeCell ref="D20:P20"/>
    <mergeCell ref="F5:L5"/>
    <mergeCell ref="M5:P5"/>
    <mergeCell ref="D8:P8"/>
    <mergeCell ref="D9:P9"/>
    <mergeCell ref="D13:P13"/>
    <mergeCell ref="F14:O14"/>
    <mergeCell ref="E2:P2"/>
    <mergeCell ref="M3:P3"/>
    <mergeCell ref="F4:L4"/>
    <mergeCell ref="M4:P4"/>
    <mergeCell ref="D7:P7"/>
    <mergeCell ref="D60:P60"/>
    <mergeCell ref="D29:P29"/>
    <mergeCell ref="D36:P36"/>
    <mergeCell ref="E42:P42"/>
    <mergeCell ref="D45:P45"/>
    <mergeCell ref="F46:O46"/>
    <mergeCell ref="D52:P52"/>
    <mergeCell ref="F30:O30"/>
    <mergeCell ref="F37:O37"/>
    <mergeCell ref="F53:O53"/>
    <mergeCell ref="D59:H59"/>
    <mergeCell ref="E58:P58"/>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 sqref="D2"/>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302" customWidth="1"/>
    <col min="5" max="5" width="15.69921875" style="302" customWidth="1"/>
    <col min="6" max="15" width="1.59765625" style="302" customWidth="1"/>
    <col min="16" max="16" width="15.69921875" style="302" customWidth="1"/>
    <col min="17" max="17" width="3.59765625" style="302"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2" width="31.09765625" style="64" customWidth="1"/>
    <col min="33" max="33" width="31.09765625" style="302" customWidth="1"/>
    <col min="34" max="16384" width="9" style="3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12</v>
      </c>
      <c r="D2" s="153" t="s">
        <v>150</v>
      </c>
      <c r="E2" s="710" t="str">
        <f>R.1MediaAndLongName</f>
        <v>AQ Updates to Oregon's State Implementation Plan</v>
      </c>
      <c r="F2" s="710"/>
      <c r="G2" s="710"/>
      <c r="H2" s="710"/>
      <c r="I2" s="710"/>
      <c r="J2" s="710"/>
      <c r="K2" s="710"/>
      <c r="L2" s="710"/>
      <c r="M2" s="710"/>
      <c r="N2" s="710"/>
      <c r="O2" s="710"/>
      <c r="P2" s="710"/>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689" t="s">
        <v>57</v>
      </c>
      <c r="N3" s="689"/>
      <c r="O3" s="689"/>
      <c r="P3" s="689"/>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4" t="s">
        <v>55</v>
      </c>
      <c r="E4" s="81">
        <f>S4</f>
        <v>0</v>
      </c>
      <c r="F4" s="690" t="s">
        <v>54</v>
      </c>
      <c r="G4" s="690"/>
      <c r="H4" s="690"/>
      <c r="I4" s="690"/>
      <c r="J4" s="690"/>
      <c r="K4" s="690"/>
      <c r="L4" s="690"/>
      <c r="M4" s="691" t="str">
        <f>S5</f>
        <v>0</v>
      </c>
      <c r="N4" s="691"/>
      <c r="O4" s="691"/>
      <c r="P4" s="691"/>
      <c r="Q4" s="156"/>
      <c r="R4" s="334"/>
      <c r="S4" s="121">
        <f>COUNTIFS(S15:S25,"&gt;0")</f>
        <v>0</v>
      </c>
      <c r="T4" s="124">
        <f>SUM(T15:T25)</f>
        <v>0</v>
      </c>
      <c r="U4" s="124">
        <f>SUM(U15:U25)</f>
        <v>0</v>
      </c>
      <c r="V4" s="120"/>
      <c r="W4" s="64"/>
      <c r="X4" s="64"/>
      <c r="Y4" s="64"/>
      <c r="Z4" s="64"/>
      <c r="AA4" s="64"/>
      <c r="AB4" s="64"/>
      <c r="AC4" s="64"/>
      <c r="AD4" s="66"/>
      <c r="AE4" s="66"/>
      <c r="AF4" s="66"/>
    </row>
    <row r="5" spans="1:33" s="6" customFormat="1" ht="20.25" customHeight="1">
      <c r="A5" s="114"/>
      <c r="B5" s="334"/>
      <c r="C5" s="155"/>
      <c r="D5" s="494" t="s">
        <v>68</v>
      </c>
      <c r="E5" s="98">
        <f>R.AvgHrDEQCost</f>
        <v>58</v>
      </c>
      <c r="F5" s="690" t="s">
        <v>58</v>
      </c>
      <c r="G5" s="690"/>
      <c r="H5" s="690"/>
      <c r="I5" s="690"/>
      <c r="J5" s="690"/>
      <c r="K5" s="690"/>
      <c r="L5" s="690"/>
      <c r="M5" s="692" t="str">
        <f>S6</f>
        <v>$0</v>
      </c>
      <c r="N5" s="692"/>
      <c r="O5" s="692"/>
      <c r="P5" s="692"/>
      <c r="Q5" s="156"/>
      <c r="R5" s="334"/>
      <c r="S5" s="122" t="str">
        <f>IF(R.12StaffCount=0,"0",IF(R.12LowHrs=0,"0-"&amp;TEXT(R.12HighHrs,"#,###"),TEXT(R.12LowHrs,"#,###")&amp;"-"&amp;TEXT(R.12HighHrs,"#,###")))</f>
        <v>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$0</v>
      </c>
      <c r="T6" s="124">
        <f>T4*E5</f>
        <v>0</v>
      </c>
      <c r="U6" s="124">
        <f>U4*E5</f>
        <v>0</v>
      </c>
      <c r="V6" s="120"/>
      <c r="W6" s="64"/>
      <c r="X6" s="64"/>
      <c r="Y6" s="64"/>
      <c r="Z6" s="64"/>
      <c r="AA6" s="64"/>
      <c r="AB6" s="64"/>
      <c r="AC6" s="64"/>
      <c r="AD6" s="66"/>
      <c r="AE6" s="66"/>
      <c r="AF6" s="66"/>
    </row>
    <row r="7" spans="1:33" s="6" customFormat="1" ht="105" customHeight="1">
      <c r="A7" s="316"/>
      <c r="B7" s="334"/>
      <c r="C7" s="155"/>
      <c r="D7" s="725" t="s">
        <v>244</v>
      </c>
      <c r="E7" s="726"/>
      <c r="F7" s="726"/>
      <c r="G7" s="726"/>
      <c r="H7" s="726"/>
      <c r="I7" s="726"/>
      <c r="J7" s="726"/>
      <c r="K7" s="726"/>
      <c r="L7" s="726"/>
      <c r="M7" s="726"/>
      <c r="N7" s="726"/>
      <c r="O7" s="726"/>
      <c r="P7" s="727"/>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51" t="s">
        <v>509</v>
      </c>
      <c r="E8" s="751"/>
      <c r="F8" s="751"/>
      <c r="G8" s="751"/>
      <c r="H8" s="751"/>
      <c r="I8" s="751"/>
      <c r="J8" s="751"/>
      <c r="K8" s="751"/>
      <c r="L8" s="751"/>
      <c r="M8" s="751"/>
      <c r="N8" s="751"/>
      <c r="O8" s="751"/>
      <c r="P8" s="751"/>
      <c r="Q8" s="156"/>
      <c r="R8" s="334"/>
      <c r="T8" s="493"/>
      <c r="U8" s="493"/>
      <c r="V8" s="120"/>
      <c r="W8" s="436"/>
      <c r="X8" s="436"/>
      <c r="Y8" s="436"/>
      <c r="Z8" s="436"/>
      <c r="AA8" s="436"/>
      <c r="AB8" s="436"/>
      <c r="AC8" s="436"/>
      <c r="AD8" s="66"/>
      <c r="AE8" s="66"/>
      <c r="AF8" s="66"/>
    </row>
    <row r="9" spans="1:33" s="28" customFormat="1" ht="15.75" customHeight="1">
      <c r="A9" s="345"/>
      <c r="B9" s="440"/>
      <c r="C9" s="138"/>
      <c r="D9" s="748" t="s">
        <v>464</v>
      </c>
      <c r="E9" s="749"/>
      <c r="F9" s="749"/>
      <c r="G9" s="749"/>
      <c r="H9" s="749"/>
      <c r="I9" s="749"/>
      <c r="J9" s="749"/>
      <c r="K9" s="749"/>
      <c r="L9" s="749"/>
      <c r="M9" s="749"/>
      <c r="N9" s="749"/>
      <c r="O9" s="749"/>
      <c r="P9" s="750"/>
      <c r="Q9" s="139"/>
      <c r="R9" s="440"/>
      <c r="S9" s="463"/>
      <c r="T9" s="463"/>
      <c r="U9" s="441"/>
      <c r="V9" s="438"/>
      <c r="W9" s="438"/>
      <c r="X9" s="438"/>
      <c r="Y9" s="438"/>
      <c r="Z9" s="438"/>
      <c r="AA9" s="438"/>
      <c r="AB9" s="438"/>
      <c r="AC9" s="438"/>
      <c r="AD9" s="130"/>
      <c r="AE9" s="130"/>
      <c r="AF9" s="130"/>
      <c r="AG9" s="130"/>
    </row>
    <row r="10" spans="1:33" s="69" customFormat="1" ht="8.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3" t="s">
        <v>0</v>
      </c>
      <c r="D11" s="381" t="s">
        <v>176</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3.8">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22"/>
      <c r="E13" s="723"/>
      <c r="F13" s="723"/>
      <c r="G13" s="723"/>
      <c r="H13" s="723"/>
      <c r="I13" s="723"/>
      <c r="J13" s="723"/>
      <c r="K13" s="723"/>
      <c r="L13" s="723"/>
      <c r="M13" s="723"/>
      <c r="N13" s="723"/>
      <c r="O13" s="723"/>
      <c r="P13" s="724"/>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2" t="s">
        <v>60</v>
      </c>
      <c r="E14" s="292" t="s">
        <v>17</v>
      </c>
      <c r="F14" s="739" t="s">
        <v>18</v>
      </c>
      <c r="G14" s="739"/>
      <c r="H14" s="739"/>
      <c r="I14" s="739"/>
      <c r="J14" s="739"/>
      <c r="K14" s="739"/>
      <c r="L14" s="739"/>
      <c r="M14" s="739"/>
      <c r="N14" s="739"/>
      <c r="O14" s="739"/>
      <c r="P14" s="292"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c r="E15" s="30" t="s">
        <v>224</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5" t="s">
        <v>549</v>
      </c>
      <c r="W15" s="64"/>
      <c r="X15" s="64"/>
      <c r="Y15" s="64"/>
      <c r="Z15" s="64"/>
      <c r="AA15" s="64"/>
      <c r="AB15" s="64"/>
      <c r="AC15" s="64"/>
      <c r="AD15" s="130"/>
      <c r="AE15" s="130"/>
      <c r="AF15" s="130"/>
    </row>
    <row r="16" spans="1:33" s="28" customFormat="1" ht="15.75" hidden="1" customHeight="1" outlineLevel="1">
      <c r="A16" s="117"/>
      <c r="B16" s="334"/>
      <c r="C16" s="138"/>
      <c r="D16" s="36" t="s">
        <v>0</v>
      </c>
      <c r="E16" s="30" t="s">
        <v>224</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224</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224</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3.8"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22"/>
      <c r="E20" s="723"/>
      <c r="F20" s="723"/>
      <c r="G20" s="723"/>
      <c r="H20" s="723"/>
      <c r="I20" s="723"/>
      <c r="J20" s="723"/>
      <c r="K20" s="723"/>
      <c r="L20" s="723"/>
      <c r="M20" s="723"/>
      <c r="N20" s="723"/>
      <c r="O20" s="723"/>
      <c r="P20" s="724"/>
      <c r="Q20" s="139"/>
      <c r="R20" s="334"/>
      <c r="S20" s="132" t="s">
        <v>0</v>
      </c>
      <c r="T20" s="131"/>
      <c r="U20" s="131"/>
      <c r="V20" s="64"/>
      <c r="W20" s="64"/>
      <c r="X20" s="64"/>
      <c r="Y20" s="64"/>
      <c r="Z20" s="64"/>
      <c r="AA20" s="64"/>
      <c r="AB20" s="64"/>
      <c r="AC20" s="64"/>
      <c r="AD20" s="130"/>
      <c r="AE20" s="130"/>
      <c r="AF20" s="130"/>
    </row>
    <row r="21" spans="1:32" s="33" customFormat="1" ht="13.8">
      <c r="A21" s="116"/>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224</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5" t="s">
        <v>549</v>
      </c>
      <c r="W22" s="64"/>
      <c r="X22" s="64"/>
      <c r="Y22" s="64"/>
      <c r="Z22" s="64"/>
      <c r="AA22" s="64"/>
      <c r="AB22" s="64"/>
      <c r="AC22" s="64"/>
      <c r="AD22" s="130"/>
      <c r="AE22" s="130"/>
      <c r="AF22" s="130"/>
    </row>
    <row r="23" spans="1:32" s="28" customFormat="1" ht="15.75" hidden="1" customHeight="1" outlineLevel="1">
      <c r="A23" s="117"/>
      <c r="B23" s="334"/>
      <c r="C23" s="138"/>
      <c r="D23" s="36"/>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81"/>
      <c r="E26" s="745"/>
      <c r="F26" s="745"/>
      <c r="G26" s="745"/>
      <c r="H26" s="745"/>
      <c r="I26" s="745"/>
      <c r="J26" s="745"/>
      <c r="K26" s="745"/>
      <c r="L26" s="745"/>
      <c r="M26" s="745"/>
      <c r="N26" s="745"/>
      <c r="O26" s="745"/>
      <c r="P26" s="745"/>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53" t="str">
        <f>"Please suggest process improvements to the "&amp;D2&amp;" worksheet."</f>
        <v>Please suggest process improvements to the Compliance &amp; Enforcement worksheet.</v>
      </c>
      <c r="E27" s="653"/>
      <c r="F27" s="653"/>
      <c r="G27" s="653"/>
      <c r="H27" s="653"/>
      <c r="I27" s="653"/>
      <c r="J27" s="653"/>
      <c r="K27" s="653"/>
      <c r="L27" s="653"/>
      <c r="M27" s="653"/>
      <c r="N27" s="653"/>
      <c r="O27" s="653"/>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50"/>
      <c r="E28" s="651"/>
      <c r="F28" s="651"/>
      <c r="G28" s="651"/>
      <c r="H28" s="651"/>
      <c r="I28" s="651"/>
      <c r="J28" s="651"/>
      <c r="K28" s="651"/>
      <c r="L28" s="651"/>
      <c r="M28" s="651"/>
      <c r="N28" s="651"/>
      <c r="O28" s="651"/>
      <c r="P28" s="652"/>
      <c r="Q28" s="148"/>
      <c r="R28" s="334"/>
      <c r="S28" s="132"/>
      <c r="T28" s="131"/>
      <c r="U28" s="131"/>
      <c r="V28" s="64"/>
      <c r="W28" s="64"/>
      <c r="X28" s="64"/>
      <c r="Y28" s="64"/>
      <c r="Z28" s="64"/>
      <c r="AA28" s="64"/>
      <c r="AB28" s="64"/>
      <c r="AC28" s="64"/>
      <c r="AD28" s="66"/>
      <c r="AE28" s="66"/>
      <c r="AF28" s="66"/>
    </row>
    <row r="29" spans="1:32" ht="18" customHeight="1">
      <c r="A29" s="350" t="s">
        <v>108</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F5:L5"/>
    <mergeCell ref="M5:P5"/>
    <mergeCell ref="E2:P2"/>
    <mergeCell ref="M3:P3"/>
    <mergeCell ref="F4:L4"/>
    <mergeCell ref="M4:P4"/>
    <mergeCell ref="D7:P7"/>
    <mergeCell ref="D8:P8"/>
    <mergeCell ref="D9:P9"/>
    <mergeCell ref="D28:P28"/>
    <mergeCell ref="D27:O27"/>
    <mergeCell ref="E26:P26"/>
    <mergeCell ref="D13:P13"/>
    <mergeCell ref="F14:O14"/>
    <mergeCell ref="D20:P20"/>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161" customWidth="1"/>
    <col min="5" max="5" width="15.69921875" style="161" customWidth="1"/>
    <col min="6" max="15" width="1.59765625" style="161" customWidth="1"/>
    <col min="16" max="16" width="15.69921875" style="161" customWidth="1"/>
    <col min="17" max="17" width="3.59765625" style="161"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2" width="31.09765625" style="64" customWidth="1"/>
    <col min="33" max="33" width="31.09765625" style="161"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13</v>
      </c>
      <c r="D2" s="153" t="s">
        <v>77</v>
      </c>
      <c r="E2" s="710" t="str">
        <f>R.1MediaAndLongName</f>
        <v>AQ Updates to Oregon's State Implementation Plan</v>
      </c>
      <c r="F2" s="710"/>
      <c r="G2" s="710"/>
      <c r="H2" s="710"/>
      <c r="I2" s="710"/>
      <c r="J2" s="710"/>
      <c r="K2" s="710"/>
      <c r="L2" s="710"/>
      <c r="M2" s="710"/>
      <c r="N2" s="710"/>
      <c r="O2" s="710"/>
      <c r="P2" s="710"/>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53" t="s">
        <v>84</v>
      </c>
      <c r="E3" s="753"/>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689" t="s">
        <v>57</v>
      </c>
      <c r="N4" s="689"/>
      <c r="O4" s="689"/>
      <c r="P4" s="689"/>
      <c r="Q4" s="156"/>
      <c r="R4" s="334"/>
      <c r="S4" s="121">
        <f>COUNTIFS(S16:S58,"&gt;0")</f>
        <v>0</v>
      </c>
      <c r="T4" s="124">
        <f>SUM(T16:T58)</f>
        <v>0</v>
      </c>
      <c r="U4" s="124">
        <f>SUM(U16:U58)</f>
        <v>0</v>
      </c>
      <c r="V4" s="120"/>
      <c r="W4" s="64"/>
      <c r="X4" s="64"/>
      <c r="Y4" s="64"/>
      <c r="Z4" s="64"/>
      <c r="AA4" s="64"/>
      <c r="AB4" s="64"/>
      <c r="AC4" s="64"/>
      <c r="AD4" s="66"/>
      <c r="AE4" s="66"/>
      <c r="AF4" s="66"/>
    </row>
    <row r="5" spans="1:33" s="6" customFormat="1" ht="20.25" customHeight="1">
      <c r="A5" s="114"/>
      <c r="B5" s="334"/>
      <c r="C5" s="155"/>
      <c r="D5" s="494" t="s">
        <v>55</v>
      </c>
      <c r="E5" s="81">
        <f>S4</f>
        <v>0</v>
      </c>
      <c r="F5" s="690" t="s">
        <v>54</v>
      </c>
      <c r="G5" s="690"/>
      <c r="H5" s="690"/>
      <c r="I5" s="690"/>
      <c r="J5" s="690"/>
      <c r="K5" s="690"/>
      <c r="L5" s="690"/>
      <c r="M5" s="691" t="str">
        <f>S5</f>
        <v>0</v>
      </c>
      <c r="N5" s="691"/>
      <c r="O5" s="691"/>
      <c r="P5" s="691"/>
      <c r="Q5" s="156"/>
      <c r="R5" s="334"/>
      <c r="S5" s="122" t="str">
        <f>IF(R.13StaffCount=0,"0",IF(R.13LowHrs=0,"0-"&amp;TEXT(R.13HighHrs,"#,###"),TEXT(R.13LowHrs,"#,###")&amp;"-"&amp;TEXT(R.13HighHrs,"#,###")))</f>
        <v>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4" t="s">
        <v>68</v>
      </c>
      <c r="E6" s="98">
        <f>R.AvgHrDEQCost</f>
        <v>58</v>
      </c>
      <c r="F6" s="690" t="s">
        <v>58</v>
      </c>
      <c r="G6" s="690"/>
      <c r="H6" s="690"/>
      <c r="I6" s="690"/>
      <c r="J6" s="690"/>
      <c r="K6" s="690"/>
      <c r="L6" s="690"/>
      <c r="M6" s="692" t="str">
        <f>S6</f>
        <v>$0</v>
      </c>
      <c r="N6" s="692"/>
      <c r="O6" s="692"/>
      <c r="P6" s="692"/>
      <c r="Q6" s="156"/>
      <c r="R6" s="334"/>
      <c r="S6" s="122" t="str">
        <f>IF(R.13StaffCount=0,"$0",IF(R.13LowDollars=0,"$0-"&amp;TEXT(R.13HighDollars,"#,###"),TEXT(R.13LowDollars,"$#,###")&amp;"-"&amp;TEXT(R.13HighDollars,"#,###")))</f>
        <v>$0</v>
      </c>
      <c r="T6" s="124">
        <f>T4*E6</f>
        <v>0</v>
      </c>
      <c r="U6" s="124">
        <f>U4*E6</f>
        <v>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25" t="s">
        <v>245</v>
      </c>
      <c r="E8" s="726"/>
      <c r="F8" s="726"/>
      <c r="G8" s="726"/>
      <c r="H8" s="726"/>
      <c r="I8" s="726"/>
      <c r="J8" s="726"/>
      <c r="K8" s="726"/>
      <c r="L8" s="726"/>
      <c r="M8" s="726"/>
      <c r="N8" s="726"/>
      <c r="O8" s="726"/>
      <c r="P8" s="727"/>
      <c r="Q8" s="156"/>
      <c r="R8" s="334"/>
      <c r="S8"/>
      <c r="T8" s="493"/>
      <c r="U8" s="493"/>
      <c r="V8" s="120"/>
      <c r="W8" s="436"/>
      <c r="X8" s="436"/>
      <c r="Y8" s="436"/>
      <c r="Z8" s="436"/>
      <c r="AA8" s="436"/>
      <c r="AB8" s="436"/>
      <c r="AC8" s="436"/>
      <c r="AD8" s="66"/>
      <c r="AE8" s="66"/>
      <c r="AF8" s="66"/>
    </row>
    <row r="9" spans="1:33" s="6" customFormat="1" ht="20.25" customHeight="1">
      <c r="A9" s="316"/>
      <c r="B9" s="334"/>
      <c r="C9" s="155"/>
      <c r="D9" s="751" t="s">
        <v>501</v>
      </c>
      <c r="E9" s="751"/>
      <c r="F9" s="751"/>
      <c r="G9" s="751"/>
      <c r="H9" s="751"/>
      <c r="I9" s="751"/>
      <c r="J9" s="751"/>
      <c r="K9" s="751"/>
      <c r="L9" s="751"/>
      <c r="M9" s="751"/>
      <c r="N9" s="751"/>
      <c r="O9" s="751"/>
      <c r="P9" s="751"/>
      <c r="Q9" s="156"/>
      <c r="R9" s="334"/>
      <c r="T9" s="493"/>
      <c r="U9" s="493"/>
      <c r="V9" s="120"/>
      <c r="W9" s="436"/>
      <c r="X9" s="436"/>
      <c r="Y9" s="436"/>
      <c r="Z9" s="436"/>
      <c r="AA9" s="436"/>
      <c r="AB9" s="436"/>
      <c r="AC9" s="436"/>
      <c r="AD9" s="66"/>
      <c r="AE9" s="66"/>
      <c r="AF9" s="66"/>
    </row>
    <row r="10" spans="1:33" s="28" customFormat="1" ht="15.75" customHeight="1">
      <c r="A10" s="345"/>
      <c r="B10" s="440"/>
      <c r="C10" s="138"/>
      <c r="D10" s="748" t="s">
        <v>464</v>
      </c>
      <c r="E10" s="749"/>
      <c r="F10" s="749"/>
      <c r="G10" s="749"/>
      <c r="H10" s="749"/>
      <c r="I10" s="749"/>
      <c r="J10" s="749"/>
      <c r="K10" s="749"/>
      <c r="L10" s="749"/>
      <c r="M10" s="749"/>
      <c r="N10" s="749"/>
      <c r="O10" s="749"/>
      <c r="P10" s="750"/>
      <c r="Q10" s="139"/>
      <c r="R10" s="440"/>
      <c r="S10" s="463"/>
      <c r="T10" s="463"/>
      <c r="U10" s="441"/>
      <c r="V10" s="438"/>
      <c r="W10" s="438"/>
      <c r="X10" s="438"/>
      <c r="Y10" s="438"/>
      <c r="Z10" s="438"/>
      <c r="AA10" s="438"/>
      <c r="AB10" s="438"/>
      <c r="AC10" s="438"/>
      <c r="AD10" s="130"/>
      <c r="AE10" s="130"/>
      <c r="AF10" s="130"/>
      <c r="AG10" s="130"/>
    </row>
    <row r="11" spans="1:33" s="69" customFormat="1" ht="8.25" customHeight="1">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c r="A12" s="350" t="s">
        <v>107</v>
      </c>
      <c r="B12" s="334"/>
      <c r="C12" s="480" t="s">
        <v>0</v>
      </c>
      <c r="D12" s="304" t="s">
        <v>128</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3" t="s">
        <v>53</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22"/>
      <c r="E14" s="723"/>
      <c r="F14" s="723"/>
      <c r="G14" s="723"/>
      <c r="H14" s="723"/>
      <c r="I14" s="723"/>
      <c r="J14" s="723"/>
      <c r="K14" s="723"/>
      <c r="L14" s="723"/>
      <c r="M14" s="723"/>
      <c r="N14" s="723"/>
      <c r="O14" s="723"/>
      <c r="P14" s="724"/>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7" t="s">
        <v>60</v>
      </c>
      <c r="E15" s="393" t="s">
        <v>17</v>
      </c>
      <c r="F15" s="728" t="s">
        <v>18</v>
      </c>
      <c r="G15" s="728"/>
      <c r="H15" s="728"/>
      <c r="I15" s="728"/>
      <c r="J15" s="728"/>
      <c r="K15" s="728"/>
      <c r="L15" s="728"/>
      <c r="M15" s="728"/>
      <c r="N15" s="728"/>
      <c r="O15" s="728"/>
      <c r="P15" s="393" t="s">
        <v>19</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42"/>
      <c r="E16" s="30" t="s">
        <v>224</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575" t="s">
        <v>549</v>
      </c>
      <c r="W16" s="64"/>
      <c r="X16" s="64"/>
      <c r="Y16" s="64"/>
      <c r="Z16" s="64"/>
      <c r="AA16" s="64"/>
      <c r="AB16" s="64"/>
      <c r="AC16" s="64"/>
      <c r="AD16" s="130"/>
      <c r="AE16" s="130"/>
      <c r="AF16" s="130"/>
    </row>
    <row r="17" spans="1:32" s="28" customFormat="1" ht="15.75" hidden="1" customHeight="1" outlineLevel="1">
      <c r="A17" s="117"/>
      <c r="B17" s="334"/>
      <c r="C17" s="138"/>
      <c r="D17" s="542"/>
      <c r="E17" s="30" t="s">
        <v>224</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42"/>
      <c r="E18" s="30" t="s">
        <v>224</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42" t="s">
        <v>0</v>
      </c>
      <c r="E19" s="30" t="s">
        <v>224</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2" t="s">
        <v>52</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29"/>
      <c r="E21" s="730"/>
      <c r="F21" s="730"/>
      <c r="G21" s="730"/>
      <c r="H21" s="730"/>
      <c r="I21" s="730"/>
      <c r="J21" s="730"/>
      <c r="K21" s="730"/>
      <c r="L21" s="730"/>
      <c r="M21" s="730"/>
      <c r="N21" s="730"/>
      <c r="O21" s="730"/>
      <c r="P21" s="731"/>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2" t="s">
        <v>60</v>
      </c>
      <c r="E22" s="292" t="s">
        <v>17</v>
      </c>
      <c r="F22" s="752" t="s">
        <v>18</v>
      </c>
      <c r="G22" s="752"/>
      <c r="H22" s="752"/>
      <c r="I22" s="752"/>
      <c r="J22" s="752"/>
      <c r="K22" s="752"/>
      <c r="L22" s="752"/>
      <c r="M22" s="752"/>
      <c r="N22" s="752"/>
      <c r="O22" s="752"/>
      <c r="P22" s="292" t="s">
        <v>19</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42"/>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75" t="s">
        <v>549</v>
      </c>
      <c r="W23" s="64"/>
      <c r="X23" s="64"/>
      <c r="Y23" s="64"/>
      <c r="Z23" s="64"/>
      <c r="AA23" s="64"/>
      <c r="AB23" s="64"/>
      <c r="AC23" s="64"/>
      <c r="AD23" s="130"/>
      <c r="AE23" s="130"/>
      <c r="AF23" s="130"/>
    </row>
    <row r="24" spans="1:32" s="28" customFormat="1" ht="15.75" hidden="1" customHeight="1" outlineLevel="1">
      <c r="A24" s="117"/>
      <c r="B24" s="334"/>
      <c r="C24" s="138"/>
      <c r="D24" s="542"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42"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42" t="s">
        <v>0</v>
      </c>
      <c r="E26" s="30" t="s">
        <v>224</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81"/>
      <c r="E27" s="745"/>
      <c r="F27" s="745"/>
      <c r="G27" s="745"/>
      <c r="H27" s="745"/>
      <c r="I27" s="745"/>
      <c r="J27" s="745"/>
      <c r="K27" s="745"/>
      <c r="L27" s="745"/>
      <c r="M27" s="745"/>
      <c r="N27" s="745"/>
      <c r="O27" s="745"/>
      <c r="P27" s="745"/>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129</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3" t="s">
        <v>53</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22"/>
      <c r="E30" s="723"/>
      <c r="F30" s="723"/>
      <c r="G30" s="723"/>
      <c r="H30" s="723"/>
      <c r="I30" s="723"/>
      <c r="J30" s="723"/>
      <c r="K30" s="723"/>
      <c r="L30" s="723"/>
      <c r="M30" s="723"/>
      <c r="N30" s="723"/>
      <c r="O30" s="723"/>
      <c r="P30" s="724"/>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2" t="s">
        <v>60</v>
      </c>
      <c r="E31" s="159" t="s">
        <v>17</v>
      </c>
      <c r="F31" s="752" t="s">
        <v>18</v>
      </c>
      <c r="G31" s="752"/>
      <c r="H31" s="752"/>
      <c r="I31" s="752"/>
      <c r="J31" s="752"/>
      <c r="K31" s="752"/>
      <c r="L31" s="752"/>
      <c r="M31" s="752"/>
      <c r="N31" s="752"/>
      <c r="O31" s="752"/>
      <c r="P31" s="159" t="s">
        <v>19</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42"/>
      <c r="E32" s="30" t="s">
        <v>224</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575" t="s">
        <v>549</v>
      </c>
      <c r="W32" s="64"/>
      <c r="X32" s="64"/>
      <c r="Y32" s="64"/>
      <c r="Z32" s="64"/>
      <c r="AA32" s="64"/>
      <c r="AB32" s="64"/>
      <c r="AC32" s="64"/>
      <c r="AD32" s="130"/>
      <c r="AE32" s="130"/>
      <c r="AF32" s="130"/>
    </row>
    <row r="33" spans="1:32" s="28" customFormat="1" ht="15.75" hidden="1" customHeight="1" outlineLevel="1">
      <c r="A33" s="117"/>
      <c r="B33" s="334"/>
      <c r="C33" s="138"/>
      <c r="D33" s="542" t="s">
        <v>0</v>
      </c>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42" t="s">
        <v>0</v>
      </c>
      <c r="E34" s="30" t="s">
        <v>224</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42" t="s">
        <v>0</v>
      </c>
      <c r="E35" s="30" t="s">
        <v>224</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3" t="s">
        <v>52</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33"/>
      <c r="E37" s="734"/>
      <c r="F37" s="734"/>
      <c r="G37" s="734"/>
      <c r="H37" s="734"/>
      <c r="I37" s="734"/>
      <c r="J37" s="734"/>
      <c r="K37" s="734"/>
      <c r="L37" s="734"/>
      <c r="M37" s="734"/>
      <c r="N37" s="734"/>
      <c r="O37" s="734"/>
      <c r="P37" s="735"/>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2" t="s">
        <v>60</v>
      </c>
      <c r="E38" s="159" t="s">
        <v>17</v>
      </c>
      <c r="F38" s="752" t="s">
        <v>18</v>
      </c>
      <c r="G38" s="752"/>
      <c r="H38" s="752"/>
      <c r="I38" s="752"/>
      <c r="J38" s="752"/>
      <c r="K38" s="752"/>
      <c r="L38" s="752"/>
      <c r="M38" s="752"/>
      <c r="N38" s="752"/>
      <c r="O38" s="752"/>
      <c r="P38" s="159" t="s">
        <v>19</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42"/>
      <c r="E39" s="30" t="s">
        <v>224</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575" t="s">
        <v>549</v>
      </c>
      <c r="W39" s="64"/>
      <c r="X39" s="64"/>
      <c r="Y39" s="64"/>
      <c r="Z39" s="64"/>
      <c r="AA39" s="64"/>
      <c r="AB39" s="64"/>
      <c r="AC39" s="64"/>
      <c r="AD39" s="130"/>
      <c r="AE39" s="130"/>
      <c r="AF39" s="130"/>
    </row>
    <row r="40" spans="1:32" s="28" customFormat="1" ht="15.75" hidden="1" customHeight="1" outlineLevel="1">
      <c r="A40" s="117"/>
      <c r="B40" s="334"/>
      <c r="C40" s="138"/>
      <c r="D40" s="542"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42"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42" t="s">
        <v>0</v>
      </c>
      <c r="E42" s="30" t="s">
        <v>224</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81"/>
      <c r="E43" s="745"/>
      <c r="F43" s="745"/>
      <c r="G43" s="745"/>
      <c r="H43" s="745"/>
      <c r="I43" s="745"/>
      <c r="J43" s="745"/>
      <c r="K43" s="745"/>
      <c r="L43" s="745"/>
      <c r="M43" s="745"/>
      <c r="N43" s="745"/>
      <c r="O43" s="745"/>
      <c r="P43" s="745"/>
      <c r="Q43" s="379"/>
      <c r="R43" s="334"/>
      <c r="S43" s="132"/>
      <c r="T43" s="131"/>
      <c r="U43" s="131"/>
      <c r="V43" s="64"/>
      <c r="W43" s="64"/>
      <c r="X43" s="64"/>
      <c r="Y43" s="64"/>
      <c r="Z43" s="64"/>
      <c r="AA43" s="64"/>
      <c r="AB43" s="64"/>
      <c r="AC43" s="64"/>
      <c r="AD43" s="130"/>
      <c r="AE43" s="130"/>
      <c r="AF43" s="130"/>
    </row>
    <row r="44" spans="1:32" s="33" customFormat="1" ht="30" customHeight="1">
      <c r="A44" s="350" t="s">
        <v>107</v>
      </c>
      <c r="B44" s="334"/>
      <c r="C44" s="483" t="s">
        <v>0</v>
      </c>
      <c r="D44" s="381" t="s">
        <v>135</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3" t="s">
        <v>53</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22"/>
      <c r="E46" s="723"/>
      <c r="F46" s="723"/>
      <c r="G46" s="723"/>
      <c r="H46" s="723"/>
      <c r="I46" s="723"/>
      <c r="J46" s="723"/>
      <c r="K46" s="723"/>
      <c r="L46" s="723"/>
      <c r="M46" s="723"/>
      <c r="N46" s="723"/>
      <c r="O46" s="723"/>
      <c r="P46" s="724"/>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7" t="s">
        <v>60</v>
      </c>
      <c r="E47" s="393" t="s">
        <v>17</v>
      </c>
      <c r="F47" s="728" t="s">
        <v>18</v>
      </c>
      <c r="G47" s="728"/>
      <c r="H47" s="728"/>
      <c r="I47" s="728"/>
      <c r="J47" s="728"/>
      <c r="K47" s="728"/>
      <c r="L47" s="728"/>
      <c r="M47" s="728"/>
      <c r="N47" s="728"/>
      <c r="O47" s="728"/>
      <c r="P47" s="393" t="s">
        <v>19</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41"/>
      <c r="E48" s="30" t="s">
        <v>224</v>
      </c>
      <c r="F48" s="71">
        <v>1</v>
      </c>
      <c r="G48" s="72">
        <v>2</v>
      </c>
      <c r="H48" s="73">
        <v>3</v>
      </c>
      <c r="I48" s="74">
        <v>4</v>
      </c>
      <c r="J48" s="75">
        <v>5</v>
      </c>
      <c r="K48" s="76">
        <v>6</v>
      </c>
      <c r="L48" s="77">
        <v>7</v>
      </c>
      <c r="M48" s="78">
        <v>8</v>
      </c>
      <c r="N48" s="79">
        <v>9</v>
      </c>
      <c r="O48" s="80">
        <v>10</v>
      </c>
      <c r="P48" s="32"/>
      <c r="Q48" s="139"/>
      <c r="R48" s="334"/>
      <c r="S48" s="133">
        <f>VLOOKUP($E48,R.VL_DEQResourcesInvolved,2,FALSE)</f>
        <v>0</v>
      </c>
      <c r="T48" s="121">
        <f>VLOOKUP($E48,R.VL_DEQResourcesInvolved,3,FALSE)</f>
        <v>0</v>
      </c>
      <c r="U48" s="121">
        <f>IF(S48=10,T48,VLOOKUP($E48,R.VL_DEQResourcesInvolved,4,FALSE))</f>
        <v>0</v>
      </c>
      <c r="V48" s="575" t="s">
        <v>549</v>
      </c>
      <c r="W48" s="64"/>
      <c r="X48" s="64"/>
      <c r="Y48" s="64"/>
      <c r="Z48" s="64"/>
      <c r="AA48" s="64"/>
      <c r="AB48" s="64"/>
      <c r="AC48" s="64"/>
      <c r="AD48" s="130"/>
      <c r="AE48" s="130"/>
      <c r="AF48" s="130"/>
    </row>
    <row r="49" spans="1:32" s="28" customFormat="1" ht="15.75" hidden="1" customHeight="1" outlineLevel="1">
      <c r="A49" s="117"/>
      <c r="B49" s="334"/>
      <c r="C49" s="138"/>
      <c r="D49" s="541"/>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41"/>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41"/>
      <c r="E51" s="30" t="s">
        <v>224</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2" t="s">
        <v>52</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29"/>
      <c r="E53" s="730"/>
      <c r="F53" s="730"/>
      <c r="G53" s="730"/>
      <c r="H53" s="730"/>
      <c r="I53" s="730"/>
      <c r="J53" s="730"/>
      <c r="K53" s="730"/>
      <c r="L53" s="730"/>
      <c r="M53" s="730"/>
      <c r="N53" s="730"/>
      <c r="O53" s="730"/>
      <c r="P53" s="731"/>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2" t="s">
        <v>60</v>
      </c>
      <c r="E54" s="292" t="s">
        <v>17</v>
      </c>
      <c r="F54" s="752" t="s">
        <v>18</v>
      </c>
      <c r="G54" s="752"/>
      <c r="H54" s="752"/>
      <c r="I54" s="752"/>
      <c r="J54" s="752"/>
      <c r="K54" s="752"/>
      <c r="L54" s="752"/>
      <c r="M54" s="752"/>
      <c r="N54" s="752"/>
      <c r="O54" s="752"/>
      <c r="P54" s="292" t="s">
        <v>19</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41"/>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575" t="s">
        <v>549</v>
      </c>
      <c r="W55" s="64"/>
      <c r="X55" s="64"/>
      <c r="Y55" s="64"/>
      <c r="Z55" s="64"/>
      <c r="AA55" s="64"/>
      <c r="AB55" s="64"/>
      <c r="AC55" s="64"/>
      <c r="AD55" s="130"/>
      <c r="AE55" s="130"/>
      <c r="AF55" s="130"/>
    </row>
    <row r="56" spans="1:32" s="28" customFormat="1" ht="15.75" hidden="1" customHeight="1" outlineLevel="1">
      <c r="A56" s="117"/>
      <c r="B56" s="334"/>
      <c r="C56" s="138"/>
      <c r="D56" s="541"/>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41"/>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41"/>
      <c r="E58" s="30" t="s">
        <v>224</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81"/>
      <c r="E59" s="745"/>
      <c r="F59" s="745"/>
      <c r="G59" s="745"/>
      <c r="H59" s="745"/>
      <c r="I59" s="745"/>
      <c r="J59" s="745"/>
      <c r="K59" s="745"/>
      <c r="L59" s="745"/>
      <c r="M59" s="745"/>
      <c r="N59" s="745"/>
      <c r="O59" s="745"/>
      <c r="P59" s="745"/>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53" t="str">
        <f>"Please suggest process improvements to the "&amp;D2&amp;" worksheet."</f>
        <v>Please suggest process improvements to the LEAD worksheet.</v>
      </c>
      <c r="E60" s="653"/>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50"/>
      <c r="E61" s="651"/>
      <c r="F61" s="651"/>
      <c r="G61" s="651"/>
      <c r="H61" s="651"/>
      <c r="I61" s="651"/>
      <c r="J61" s="651"/>
      <c r="K61" s="651"/>
      <c r="L61" s="651"/>
      <c r="M61" s="651"/>
      <c r="N61" s="651"/>
      <c r="O61" s="651"/>
      <c r="P61" s="652"/>
      <c r="Q61" s="148"/>
      <c r="R61" s="334"/>
      <c r="S61" s="132"/>
      <c r="T61" s="131"/>
      <c r="U61" s="131"/>
      <c r="V61" s="64"/>
      <c r="W61" s="64"/>
      <c r="X61" s="64"/>
      <c r="Y61" s="64"/>
      <c r="Z61" s="64"/>
      <c r="AA61" s="64"/>
      <c r="AB61" s="64"/>
      <c r="AC61" s="64"/>
      <c r="AD61" s="66"/>
      <c r="AE61" s="66"/>
      <c r="AF61" s="66"/>
    </row>
    <row r="62" spans="1:32" ht="18" customHeight="1">
      <c r="A62" s="350" t="s">
        <v>108</v>
      </c>
      <c r="B62" s="334"/>
      <c r="C62" s="149"/>
      <c r="D62" s="150"/>
      <c r="E62" s="150"/>
      <c r="F62" s="150"/>
      <c r="G62" s="150"/>
      <c r="H62" s="150"/>
      <c r="I62" s="150"/>
      <c r="J62" s="150"/>
      <c r="K62" s="150"/>
      <c r="L62" s="150"/>
      <c r="M62" s="150"/>
      <c r="N62" s="150"/>
      <c r="O62" s="150"/>
      <c r="P62" s="150"/>
      <c r="Q62" s="151"/>
      <c r="R62" s="334"/>
    </row>
    <row r="63" spans="1:32" s="64" customFormat="1" ht="13.8">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 ref="F6:L6"/>
    <mergeCell ref="M6:P6"/>
    <mergeCell ref="D14:P14"/>
    <mergeCell ref="F15:O15"/>
    <mergeCell ref="D8:P8"/>
    <mergeCell ref="D9:P9"/>
    <mergeCell ref="D10:P10"/>
    <mergeCell ref="E2:P2"/>
    <mergeCell ref="M4:P4"/>
    <mergeCell ref="F5:L5"/>
    <mergeCell ref="M5:P5"/>
    <mergeCell ref="D3:E3"/>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topLeftCell="A4" zoomScaleNormal="100" workbookViewId="0">
      <selection activeCell="D35" sqref="D35"/>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161" customWidth="1"/>
    <col min="5" max="5" width="15.69921875" style="161" customWidth="1"/>
    <col min="6" max="15" width="1.59765625" style="161" customWidth="1"/>
    <col min="16" max="16" width="15.69921875" style="161" customWidth="1"/>
    <col min="17" max="17" width="3.59765625" style="161"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5.09765625" style="64" customWidth="1" collapsed="1"/>
    <col min="23" max="23" width="30.59765625" style="64" customWidth="1"/>
    <col min="24" max="24" width="18" style="64" customWidth="1"/>
    <col min="25" max="33" width="31.09765625" style="64"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86</v>
      </c>
      <c r="E2" s="710" t="str">
        <f>R.1MediaAndLongName</f>
        <v>AQ Updates to Oregon's State Implementation Plan</v>
      </c>
      <c r="F2" s="710"/>
      <c r="G2" s="710"/>
      <c r="H2" s="710"/>
      <c r="I2" s="710"/>
      <c r="J2" s="710"/>
      <c r="K2" s="710"/>
      <c r="L2" s="710"/>
      <c r="M2" s="710"/>
      <c r="N2" s="710"/>
      <c r="O2" s="710"/>
      <c r="P2" s="710"/>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689" t="s">
        <v>57</v>
      </c>
      <c r="N3" s="689"/>
      <c r="O3" s="689"/>
      <c r="P3" s="689"/>
      <c r="Q3" s="156"/>
      <c r="R3" s="334"/>
      <c r="S3" s="121">
        <f>COUNTIFS(S15:S105,"&gt;0")</f>
        <v>1</v>
      </c>
      <c r="T3" s="124">
        <f>SUM(T15:T105)</f>
        <v>8</v>
      </c>
      <c r="U3" s="124">
        <f>SUM(U15:U105)</f>
        <v>40</v>
      </c>
      <c r="V3" s="120"/>
      <c r="W3" s="64"/>
      <c r="X3" s="64"/>
      <c r="Y3" s="64"/>
      <c r="Z3" s="64"/>
      <c r="AA3" s="64"/>
      <c r="AB3" s="64"/>
      <c r="AC3" s="64"/>
      <c r="AD3" s="66"/>
      <c r="AE3" s="66"/>
      <c r="AF3" s="66"/>
      <c r="AG3" s="66"/>
    </row>
    <row r="4" spans="1:33" s="6" customFormat="1" ht="20.25" customHeight="1">
      <c r="A4" s="114"/>
      <c r="B4" s="334"/>
      <c r="C4" s="155"/>
      <c r="D4" s="494" t="s">
        <v>55</v>
      </c>
      <c r="E4" s="81">
        <f>S3</f>
        <v>1</v>
      </c>
      <c r="F4" s="690" t="s">
        <v>54</v>
      </c>
      <c r="G4" s="690"/>
      <c r="H4" s="690"/>
      <c r="I4" s="690"/>
      <c r="J4" s="690"/>
      <c r="K4" s="690"/>
      <c r="L4" s="690"/>
      <c r="M4" s="691" t="str">
        <f>S4</f>
        <v>8-40</v>
      </c>
      <c r="N4" s="691"/>
      <c r="O4" s="691"/>
      <c r="P4" s="691"/>
      <c r="Q4" s="156"/>
      <c r="R4" s="334"/>
      <c r="S4" s="122" t="str">
        <f>IF(R.14StaffCount=0,"0",IF(R.14LowHrs=0,"0-"&amp;TEXT(R.14HighHrs,"#,###"),TEXT(R.14LowHrs,"#,###")&amp;"-"&amp;TEXT(R.14HighHrs,"#,###")))</f>
        <v>8-40</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4" t="s">
        <v>67</v>
      </c>
      <c r="E5" s="98">
        <f>R.AvgHrDEQCost</f>
        <v>58</v>
      </c>
      <c r="F5" s="690" t="s">
        <v>58</v>
      </c>
      <c r="G5" s="690"/>
      <c r="H5" s="690"/>
      <c r="I5" s="690"/>
      <c r="J5" s="690"/>
      <c r="K5" s="690"/>
      <c r="L5" s="690"/>
      <c r="M5" s="692" t="str">
        <f>S5</f>
        <v>$464-2,320</v>
      </c>
      <c r="N5" s="692"/>
      <c r="O5" s="692"/>
      <c r="P5" s="692"/>
      <c r="Q5" s="156"/>
      <c r="R5" s="334"/>
      <c r="S5" s="122" t="str">
        <f>IF(R.14StaffCount=0,"$0",IF(R.14LowDollars=0,"$0-"&amp;TEXT(R.14HighDollars,"#,###"),TEXT(R.14LowDollars,"$#,###")&amp;"-"&amp;TEXT(R.14HighDollars,"#,###")))</f>
        <v>$464-2,320</v>
      </c>
      <c r="T5" s="124">
        <f>T3*E5</f>
        <v>464</v>
      </c>
      <c r="U5" s="124">
        <f>U3*E5</f>
        <v>2320</v>
      </c>
      <c r="V5" s="120"/>
      <c r="W5" s="64"/>
      <c r="X5" s="64"/>
      <c r="Y5" s="64"/>
      <c r="Z5" s="64"/>
      <c r="AA5" s="64"/>
      <c r="AB5" s="64"/>
      <c r="AC5" s="64"/>
      <c r="AD5" s="66"/>
      <c r="AE5" s="66"/>
      <c r="AF5" s="66"/>
      <c r="AG5" s="66"/>
    </row>
    <row r="6" spans="1:33" s="6" customFormat="1" ht="24.75" customHeight="1">
      <c r="A6" s="114"/>
      <c r="B6" s="334"/>
      <c r="C6" s="155"/>
      <c r="D6" s="443" t="s">
        <v>28</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25" t="s">
        <v>587</v>
      </c>
      <c r="E7" s="726"/>
      <c r="F7" s="726"/>
      <c r="G7" s="726"/>
      <c r="H7" s="726"/>
      <c r="I7" s="726"/>
      <c r="J7" s="726"/>
      <c r="K7" s="726"/>
      <c r="L7" s="726"/>
      <c r="M7" s="726"/>
      <c r="N7" s="726"/>
      <c r="O7" s="726"/>
      <c r="P7" s="727"/>
      <c r="Q7" s="156"/>
      <c r="R7" s="334"/>
      <c r="S7" s="496">
        <f>AVERAGEIF(S14:S56,"&gt;0")</f>
        <v>2</v>
      </c>
      <c r="T7" s="493"/>
      <c r="U7" s="493"/>
      <c r="V7" s="120"/>
      <c r="W7" s="436"/>
      <c r="X7" s="436"/>
      <c r="Y7" s="436"/>
      <c r="Z7" s="436"/>
      <c r="AA7" s="436"/>
      <c r="AB7" s="436"/>
      <c r="AC7" s="436"/>
      <c r="AD7" s="66"/>
      <c r="AE7" s="66"/>
      <c r="AF7" s="66"/>
    </row>
    <row r="8" spans="1:33" s="6" customFormat="1" ht="20.25" customHeight="1">
      <c r="A8" s="316"/>
      <c r="B8" s="334"/>
      <c r="C8" s="155"/>
      <c r="D8" s="751" t="s">
        <v>496</v>
      </c>
      <c r="E8" s="751"/>
      <c r="F8" s="751"/>
      <c r="G8" s="751"/>
      <c r="H8" s="751"/>
      <c r="I8" s="751"/>
      <c r="J8" s="751"/>
      <c r="K8" s="751"/>
      <c r="L8" s="751"/>
      <c r="M8" s="751"/>
      <c r="N8" s="751"/>
      <c r="O8" s="751"/>
      <c r="P8" s="751"/>
      <c r="Q8" s="156"/>
      <c r="R8" s="334"/>
      <c r="T8" s="493"/>
      <c r="U8" s="493"/>
      <c r="V8" s="120"/>
      <c r="W8" s="436"/>
      <c r="X8" s="436"/>
      <c r="Y8" s="436"/>
      <c r="Z8" s="436"/>
      <c r="AA8" s="436"/>
      <c r="AB8" s="436"/>
      <c r="AC8" s="436"/>
      <c r="AD8" s="66"/>
      <c r="AE8" s="66"/>
      <c r="AF8" s="66"/>
    </row>
    <row r="9" spans="1:33" s="28" customFormat="1" ht="15.75" customHeight="1">
      <c r="A9" s="345"/>
      <c r="B9" s="440"/>
      <c r="C9" s="138"/>
      <c r="D9" s="748" t="s">
        <v>0</v>
      </c>
      <c r="E9" s="749"/>
      <c r="F9" s="749"/>
      <c r="G9" s="749"/>
      <c r="H9" s="749"/>
      <c r="I9" s="749"/>
      <c r="J9" s="749"/>
      <c r="K9" s="749"/>
      <c r="L9" s="749"/>
      <c r="M9" s="749"/>
      <c r="N9" s="749"/>
      <c r="O9" s="749"/>
      <c r="P9" s="750"/>
      <c r="Q9" s="139"/>
      <c r="R9" s="440"/>
      <c r="S9" s="463"/>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c r="A11" s="350" t="s">
        <v>113</v>
      </c>
      <c r="B11" s="334"/>
      <c r="C11" s="485" t="s">
        <v>0</v>
      </c>
      <c r="D11" s="304" t="s">
        <v>130</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22" t="s">
        <v>0</v>
      </c>
      <c r="E13" s="723"/>
      <c r="F13" s="723"/>
      <c r="G13" s="723"/>
      <c r="H13" s="723"/>
      <c r="I13" s="723"/>
      <c r="J13" s="723"/>
      <c r="K13" s="723"/>
      <c r="L13" s="723"/>
      <c r="M13" s="723"/>
      <c r="N13" s="723"/>
      <c r="O13" s="723"/>
      <c r="P13" s="724"/>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7" t="s">
        <v>60</v>
      </c>
      <c r="E14" s="393" t="s">
        <v>17</v>
      </c>
      <c r="F14" s="728" t="s">
        <v>18</v>
      </c>
      <c r="G14" s="728"/>
      <c r="H14" s="728"/>
      <c r="I14" s="728"/>
      <c r="J14" s="728"/>
      <c r="K14" s="728"/>
      <c r="L14" s="728"/>
      <c r="M14" s="728"/>
      <c r="N14" s="728"/>
      <c r="O14" s="728"/>
      <c r="P14" s="393" t="s">
        <v>19</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c r="E15" s="30" t="s">
        <v>224</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5" t="s">
        <v>549</v>
      </c>
      <c r="W15" s="64"/>
      <c r="Y15" s="64"/>
      <c r="Z15" s="64"/>
      <c r="AA15" s="64"/>
      <c r="AB15" s="64"/>
      <c r="AC15" s="64"/>
      <c r="AD15" s="130"/>
      <c r="AE15" s="130"/>
      <c r="AF15" s="130"/>
      <c r="AG15" s="130"/>
    </row>
    <row r="16" spans="1:33" s="28" customFormat="1" ht="15.75" hidden="1" customHeight="1" outlineLevel="1">
      <c r="A16" s="117"/>
      <c r="B16" s="334"/>
      <c r="C16" s="138"/>
      <c r="D16" s="36" t="s">
        <v>0</v>
      </c>
      <c r="E16" s="30" t="s">
        <v>224</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224</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224</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29"/>
      <c r="E20" s="730"/>
      <c r="F20" s="730"/>
      <c r="G20" s="730"/>
      <c r="H20" s="730"/>
      <c r="I20" s="730"/>
      <c r="J20" s="730"/>
      <c r="K20" s="730"/>
      <c r="L20" s="730"/>
      <c r="M20" s="730"/>
      <c r="N20" s="730"/>
      <c r="O20" s="730"/>
      <c r="P20" s="731"/>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2" t="s">
        <v>60</v>
      </c>
      <c r="E21" s="292" t="s">
        <v>17</v>
      </c>
      <c r="F21" s="752" t="s">
        <v>18</v>
      </c>
      <c r="G21" s="752"/>
      <c r="H21" s="752"/>
      <c r="I21" s="752"/>
      <c r="J21" s="752"/>
      <c r="K21" s="752"/>
      <c r="L21" s="752"/>
      <c r="M21" s="752"/>
      <c r="N21" s="752"/>
      <c r="O21" s="752"/>
      <c r="P21" s="292" t="s">
        <v>19</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224</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549</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224</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44"/>
      <c r="F26" s="744"/>
      <c r="G26" s="744"/>
      <c r="H26" s="744"/>
      <c r="I26" s="744"/>
      <c r="J26" s="744"/>
      <c r="K26" s="744"/>
      <c r="L26" s="744"/>
      <c r="M26" s="744"/>
      <c r="N26" s="744"/>
      <c r="O26" s="744"/>
      <c r="P26" s="744"/>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114</v>
      </c>
      <c r="B27" s="334"/>
      <c r="C27" s="136"/>
      <c r="D27" s="306" t="s">
        <v>131</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22" t="s">
        <v>598</v>
      </c>
      <c r="E29" s="723"/>
      <c r="F29" s="723"/>
      <c r="G29" s="723"/>
      <c r="H29" s="723"/>
      <c r="I29" s="723"/>
      <c r="J29" s="723"/>
      <c r="K29" s="723"/>
      <c r="L29" s="723"/>
      <c r="M29" s="723"/>
      <c r="N29" s="723"/>
      <c r="O29" s="723"/>
      <c r="P29" s="724"/>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2" t="s">
        <v>60</v>
      </c>
      <c r="E30" s="292" t="s">
        <v>17</v>
      </c>
      <c r="F30" s="752" t="s">
        <v>18</v>
      </c>
      <c r="G30" s="752"/>
      <c r="H30" s="752"/>
      <c r="I30" s="752"/>
      <c r="J30" s="752"/>
      <c r="K30" s="752"/>
      <c r="L30" s="752"/>
      <c r="M30" s="752"/>
      <c r="N30" s="752"/>
      <c r="O30" s="752"/>
      <c r="P30" s="292" t="s">
        <v>19</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600</v>
      </c>
      <c r="E31" s="30" t="s">
        <v>227</v>
      </c>
      <c r="F31" s="71">
        <v>1</v>
      </c>
      <c r="G31" s="72">
        <v>2</v>
      </c>
      <c r="H31" s="73">
        <v>3</v>
      </c>
      <c r="I31" s="74">
        <v>4</v>
      </c>
      <c r="J31" s="75">
        <v>5</v>
      </c>
      <c r="K31" s="76">
        <v>6</v>
      </c>
      <c r="L31" s="77">
        <v>7</v>
      </c>
      <c r="M31" s="78">
        <v>8</v>
      </c>
      <c r="N31" s="79">
        <v>9</v>
      </c>
      <c r="O31" s="80">
        <v>10</v>
      </c>
      <c r="P31" s="32" t="s">
        <v>0</v>
      </c>
      <c r="Q31" s="139"/>
      <c r="R31" s="334"/>
      <c r="S31" s="133">
        <f>VLOOKUP($E31,R.VL_DEQResourcesInvolved,2,FALSE)</f>
        <v>2</v>
      </c>
      <c r="T31" s="121">
        <f>VLOOKUP($E31,R.VL_DEQResourcesInvolved,3,FALSE)</f>
        <v>8</v>
      </c>
      <c r="U31" s="121">
        <f>IF(S31=10,T31,VLOOKUP($E31,R.VL_DEQResourcesInvolved,4,FALSE))</f>
        <v>40</v>
      </c>
      <c r="V31" s="575" t="s">
        <v>549</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224</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33"/>
      <c r="E36" s="734"/>
      <c r="F36" s="734"/>
      <c r="G36" s="734"/>
      <c r="H36" s="734"/>
      <c r="I36" s="734"/>
      <c r="J36" s="734"/>
      <c r="K36" s="734"/>
      <c r="L36" s="734"/>
      <c r="M36" s="734"/>
      <c r="N36" s="734"/>
      <c r="O36" s="734"/>
      <c r="P36" s="735"/>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17</v>
      </c>
      <c r="F37" s="752" t="s">
        <v>18</v>
      </c>
      <c r="G37" s="752"/>
      <c r="H37" s="752"/>
      <c r="I37" s="752"/>
      <c r="J37" s="752"/>
      <c r="K37" s="752"/>
      <c r="L37" s="752"/>
      <c r="M37" s="752"/>
      <c r="N37" s="752"/>
      <c r="O37" s="752"/>
      <c r="P37" s="292" t="s">
        <v>19</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0</v>
      </c>
      <c r="E38" s="30" t="s">
        <v>224</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5" t="s">
        <v>549</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81"/>
      <c r="E42" s="745"/>
      <c r="F42" s="745"/>
      <c r="G42" s="745"/>
      <c r="H42" s="745"/>
      <c r="I42" s="745"/>
      <c r="J42" s="745"/>
      <c r="K42" s="745"/>
      <c r="L42" s="745"/>
      <c r="M42" s="745"/>
      <c r="N42" s="745"/>
      <c r="O42" s="745"/>
      <c r="P42" s="745"/>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132</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3" t="s">
        <v>53</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22"/>
      <c r="E45" s="723"/>
      <c r="F45" s="723"/>
      <c r="G45" s="723"/>
      <c r="H45" s="723"/>
      <c r="I45" s="723"/>
      <c r="J45" s="723"/>
      <c r="K45" s="723"/>
      <c r="L45" s="723"/>
      <c r="M45" s="723"/>
      <c r="N45" s="723"/>
      <c r="O45" s="723"/>
      <c r="P45" s="724"/>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7" t="s">
        <v>60</v>
      </c>
      <c r="E46" s="393" t="s">
        <v>17</v>
      </c>
      <c r="F46" s="728" t="s">
        <v>18</v>
      </c>
      <c r="G46" s="728"/>
      <c r="H46" s="728"/>
      <c r="I46" s="728"/>
      <c r="J46" s="728"/>
      <c r="K46" s="728"/>
      <c r="L46" s="728"/>
      <c r="M46" s="728"/>
      <c r="N46" s="728"/>
      <c r="O46" s="728"/>
      <c r="P46" s="393" t="s">
        <v>19</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224</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5" t="s">
        <v>549</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29"/>
      <c r="E52" s="730"/>
      <c r="F52" s="730"/>
      <c r="G52" s="730"/>
      <c r="H52" s="730"/>
      <c r="I52" s="730"/>
      <c r="J52" s="730"/>
      <c r="K52" s="730"/>
      <c r="L52" s="730"/>
      <c r="M52" s="730"/>
      <c r="N52" s="730"/>
      <c r="O52" s="730"/>
      <c r="P52" s="731"/>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2" t="s">
        <v>60</v>
      </c>
      <c r="E53" s="292" t="s">
        <v>17</v>
      </c>
      <c r="F53" s="752" t="s">
        <v>18</v>
      </c>
      <c r="G53" s="752"/>
      <c r="H53" s="752"/>
      <c r="I53" s="752"/>
      <c r="J53" s="752"/>
      <c r="K53" s="752"/>
      <c r="L53" s="752"/>
      <c r="M53" s="752"/>
      <c r="N53" s="752"/>
      <c r="O53" s="752"/>
      <c r="P53" s="292" t="s">
        <v>19</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224</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5" t="s">
        <v>549</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81"/>
      <c r="E58" s="745"/>
      <c r="F58" s="745"/>
      <c r="G58" s="745"/>
      <c r="H58" s="745"/>
      <c r="I58" s="745"/>
      <c r="J58" s="745"/>
      <c r="K58" s="745"/>
      <c r="L58" s="745"/>
      <c r="M58" s="745"/>
      <c r="N58" s="745"/>
      <c r="O58" s="745"/>
      <c r="P58" s="745"/>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115</v>
      </c>
      <c r="B59" s="334"/>
      <c r="C59" s="136"/>
      <c r="D59" s="304" t="s">
        <v>133</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3" t="s">
        <v>53</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54"/>
      <c r="E61" s="755"/>
      <c r="F61" s="755"/>
      <c r="G61" s="755"/>
      <c r="H61" s="755"/>
      <c r="I61" s="755"/>
      <c r="J61" s="755"/>
      <c r="K61" s="755"/>
      <c r="L61" s="755"/>
      <c r="M61" s="755"/>
      <c r="N61" s="755"/>
      <c r="O61" s="755"/>
      <c r="P61" s="756"/>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2" t="s">
        <v>60</v>
      </c>
      <c r="E62" s="292" t="s">
        <v>17</v>
      </c>
      <c r="F62" s="752" t="s">
        <v>18</v>
      </c>
      <c r="G62" s="752"/>
      <c r="H62" s="752"/>
      <c r="I62" s="752"/>
      <c r="J62" s="752"/>
      <c r="K62" s="752"/>
      <c r="L62" s="752"/>
      <c r="M62" s="752"/>
      <c r="N62" s="752"/>
      <c r="O62" s="752"/>
      <c r="P62" s="292" t="s">
        <v>19</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224</v>
      </c>
      <c r="F63" s="71">
        <v>1</v>
      </c>
      <c r="G63" s="72">
        <v>2</v>
      </c>
      <c r="H63" s="73">
        <v>3</v>
      </c>
      <c r="I63" s="74">
        <v>4</v>
      </c>
      <c r="J63" s="75">
        <v>5</v>
      </c>
      <c r="K63" s="76">
        <v>6</v>
      </c>
      <c r="L63" s="77">
        <v>7</v>
      </c>
      <c r="M63" s="78">
        <v>8</v>
      </c>
      <c r="N63" s="79">
        <v>9</v>
      </c>
      <c r="O63" s="80">
        <v>10</v>
      </c>
      <c r="P63" s="32"/>
      <c r="Q63" s="139"/>
      <c r="R63" s="334"/>
      <c r="S63" s="133">
        <f>VLOOKUP($E63,R.VL_DEQResourcesInvolved,2,FALSE)</f>
        <v>0</v>
      </c>
      <c r="T63" s="121">
        <f>VLOOKUP($E63,R.VL_DEQResourcesInvolved,3,FALSE)</f>
        <v>0</v>
      </c>
      <c r="U63" s="121">
        <f>IF(S63=10,T63,VLOOKUP($E63,R.VL_DEQResourcesInvolved,4,FALSE))</f>
        <v>0</v>
      </c>
      <c r="V63" s="575" t="s">
        <v>549</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224</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224</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224</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3" t="s">
        <v>52</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33"/>
      <c r="E68" s="734"/>
      <c r="F68" s="734"/>
      <c r="G68" s="734"/>
      <c r="H68" s="734"/>
      <c r="I68" s="734"/>
      <c r="J68" s="734"/>
      <c r="K68" s="734"/>
      <c r="L68" s="734"/>
      <c r="M68" s="734"/>
      <c r="N68" s="734"/>
      <c r="O68" s="734"/>
      <c r="P68" s="735"/>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2" t="s">
        <v>60</v>
      </c>
      <c r="E69" s="292" t="s">
        <v>17</v>
      </c>
      <c r="F69" s="752" t="s">
        <v>18</v>
      </c>
      <c r="G69" s="752"/>
      <c r="H69" s="752"/>
      <c r="I69" s="752"/>
      <c r="J69" s="752"/>
      <c r="K69" s="752"/>
      <c r="L69" s="752"/>
      <c r="M69" s="752"/>
      <c r="N69" s="752"/>
      <c r="O69" s="752"/>
      <c r="P69" s="292" t="s">
        <v>19</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224</v>
      </c>
      <c r="F70" s="71">
        <v>1</v>
      </c>
      <c r="G70" s="72">
        <v>2</v>
      </c>
      <c r="H70" s="73">
        <v>3</v>
      </c>
      <c r="I70" s="74">
        <v>4</v>
      </c>
      <c r="J70" s="75">
        <v>5</v>
      </c>
      <c r="K70" s="76">
        <v>6</v>
      </c>
      <c r="L70" s="77">
        <v>7</v>
      </c>
      <c r="M70" s="78">
        <v>8</v>
      </c>
      <c r="N70" s="79">
        <v>9</v>
      </c>
      <c r="O70" s="80">
        <v>10</v>
      </c>
      <c r="P70" s="32"/>
      <c r="Q70" s="139"/>
      <c r="R70" s="334"/>
      <c r="S70" s="133">
        <f>VLOOKUP($E70,R.VL_DEQResourcesInvolved,2,FALSE)</f>
        <v>0</v>
      </c>
      <c r="T70" s="121">
        <f>VLOOKUP($E70,R.VL_DEQResourcesInvolved,3,FALSE)</f>
        <v>0</v>
      </c>
      <c r="U70" s="121">
        <f>IF(S70=10,T70,VLOOKUP($E70,R.VL_DEQResourcesInvolved,4,FALSE))</f>
        <v>0</v>
      </c>
      <c r="V70" s="575" t="s">
        <v>549</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224</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224</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224</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81"/>
      <c r="E74" s="745"/>
      <c r="F74" s="745"/>
      <c r="G74" s="745"/>
      <c r="H74" s="745"/>
      <c r="I74" s="745"/>
      <c r="J74" s="745"/>
      <c r="K74" s="745"/>
      <c r="L74" s="745"/>
      <c r="M74" s="745"/>
      <c r="N74" s="745"/>
      <c r="O74" s="745"/>
      <c r="P74" s="745"/>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116</v>
      </c>
      <c r="B75" s="334"/>
      <c r="C75" s="392" t="s">
        <v>0</v>
      </c>
      <c r="D75" s="381" t="s">
        <v>134</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3" t="s">
        <v>53</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22"/>
      <c r="E77" s="723"/>
      <c r="F77" s="723"/>
      <c r="G77" s="723"/>
      <c r="H77" s="723"/>
      <c r="I77" s="723"/>
      <c r="J77" s="723"/>
      <c r="K77" s="723"/>
      <c r="L77" s="723"/>
      <c r="M77" s="723"/>
      <c r="N77" s="723"/>
      <c r="O77" s="723"/>
      <c r="P77" s="724"/>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7" t="s">
        <v>60</v>
      </c>
      <c r="E78" s="393" t="s">
        <v>17</v>
      </c>
      <c r="F78" s="728" t="s">
        <v>18</v>
      </c>
      <c r="G78" s="728"/>
      <c r="H78" s="728"/>
      <c r="I78" s="728"/>
      <c r="J78" s="728"/>
      <c r="K78" s="728"/>
      <c r="L78" s="728"/>
      <c r="M78" s="728"/>
      <c r="N78" s="728"/>
      <c r="O78" s="728"/>
      <c r="P78" s="393" t="s">
        <v>19</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224</v>
      </c>
      <c r="F79" s="71">
        <v>1</v>
      </c>
      <c r="G79" s="72">
        <v>2</v>
      </c>
      <c r="H79" s="73">
        <v>3</v>
      </c>
      <c r="I79" s="74">
        <v>4</v>
      </c>
      <c r="J79" s="75">
        <v>5</v>
      </c>
      <c r="K79" s="76">
        <v>6</v>
      </c>
      <c r="L79" s="77">
        <v>7</v>
      </c>
      <c r="M79" s="78">
        <v>8</v>
      </c>
      <c r="N79" s="79">
        <v>9</v>
      </c>
      <c r="O79" s="80">
        <v>10</v>
      </c>
      <c r="P79" s="32"/>
      <c r="Q79" s="139"/>
      <c r="R79" s="334"/>
      <c r="S79" s="133">
        <f>VLOOKUP($E79,R.VL_DEQResourcesInvolved,2,FALSE)</f>
        <v>0</v>
      </c>
      <c r="T79" s="121">
        <f>VLOOKUP($E79,R.VL_DEQResourcesInvolved,3,FALSE)</f>
        <v>0</v>
      </c>
      <c r="U79" s="121">
        <f>IF(S79=10,T79,VLOOKUP($E79,R.VL_DEQResourcesInvolved,4,FALSE))</f>
        <v>0</v>
      </c>
      <c r="V79" s="575" t="s">
        <v>549</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224</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224</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224</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2" t="s">
        <v>52</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29"/>
      <c r="E84" s="730"/>
      <c r="F84" s="730"/>
      <c r="G84" s="730"/>
      <c r="H84" s="730"/>
      <c r="I84" s="730"/>
      <c r="J84" s="730"/>
      <c r="K84" s="730"/>
      <c r="L84" s="730"/>
      <c r="M84" s="730"/>
      <c r="N84" s="730"/>
      <c r="O84" s="730"/>
      <c r="P84" s="731"/>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2" t="s">
        <v>60</v>
      </c>
      <c r="E85" s="292" t="s">
        <v>17</v>
      </c>
      <c r="F85" s="752" t="s">
        <v>18</v>
      </c>
      <c r="G85" s="752"/>
      <c r="H85" s="752"/>
      <c r="I85" s="752"/>
      <c r="J85" s="752"/>
      <c r="K85" s="752"/>
      <c r="L85" s="752"/>
      <c r="M85" s="752"/>
      <c r="N85" s="752"/>
      <c r="O85" s="752"/>
      <c r="P85" s="292" t="s">
        <v>19</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224</v>
      </c>
      <c r="F86" s="71">
        <v>1</v>
      </c>
      <c r="G86" s="72">
        <v>2</v>
      </c>
      <c r="H86" s="73">
        <v>3</v>
      </c>
      <c r="I86" s="74">
        <v>4</v>
      </c>
      <c r="J86" s="75">
        <v>5</v>
      </c>
      <c r="K86" s="76">
        <v>6</v>
      </c>
      <c r="L86" s="77">
        <v>7</v>
      </c>
      <c r="M86" s="78">
        <v>8</v>
      </c>
      <c r="N86" s="79">
        <v>9</v>
      </c>
      <c r="O86" s="80">
        <v>10</v>
      </c>
      <c r="P86" s="32"/>
      <c r="Q86" s="139"/>
      <c r="R86" s="334"/>
      <c r="S86" s="133">
        <f>VLOOKUP($E86,R.VL_DEQResourcesInvolved,2,FALSE)</f>
        <v>0</v>
      </c>
      <c r="T86" s="121">
        <f>VLOOKUP($E86,R.VL_DEQResourcesInvolved,3,FALSE)</f>
        <v>0</v>
      </c>
      <c r="U86" s="121">
        <f>IF(S86=10,T86,VLOOKUP($E86,R.VL_DEQResourcesInvolved,4,FALSE))</f>
        <v>0</v>
      </c>
      <c r="V86" s="575" t="s">
        <v>549</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224</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224</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224</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81"/>
      <c r="E90" s="745"/>
      <c r="F90" s="745"/>
      <c r="G90" s="745"/>
      <c r="H90" s="745"/>
      <c r="I90" s="745"/>
      <c r="J90" s="745"/>
      <c r="K90" s="745"/>
      <c r="L90" s="745"/>
      <c r="M90" s="745"/>
      <c r="N90" s="745"/>
      <c r="O90" s="745"/>
      <c r="P90" s="745"/>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107</v>
      </c>
      <c r="B91" s="334"/>
      <c r="C91" s="136"/>
      <c r="D91" s="304" t="s">
        <v>153</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3" t="s">
        <v>53</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22"/>
      <c r="E93" s="723"/>
      <c r="F93" s="723"/>
      <c r="G93" s="723"/>
      <c r="H93" s="723"/>
      <c r="I93" s="723"/>
      <c r="J93" s="723"/>
      <c r="K93" s="723"/>
      <c r="L93" s="723"/>
      <c r="M93" s="723"/>
      <c r="N93" s="723"/>
      <c r="O93" s="723"/>
      <c r="P93" s="724"/>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2" t="s">
        <v>60</v>
      </c>
      <c r="E94" s="292" t="s">
        <v>17</v>
      </c>
      <c r="F94" s="752" t="s">
        <v>18</v>
      </c>
      <c r="G94" s="752"/>
      <c r="H94" s="752"/>
      <c r="I94" s="752"/>
      <c r="J94" s="752"/>
      <c r="K94" s="752"/>
      <c r="L94" s="752"/>
      <c r="M94" s="752"/>
      <c r="N94" s="752"/>
      <c r="O94" s="752"/>
      <c r="P94" s="292" t="s">
        <v>19</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t="s">
        <v>588</v>
      </c>
      <c r="E95" s="30" t="s">
        <v>224</v>
      </c>
      <c r="F95" s="71">
        <v>1</v>
      </c>
      <c r="G95" s="72">
        <v>2</v>
      </c>
      <c r="H95" s="73">
        <v>3</v>
      </c>
      <c r="I95" s="74">
        <v>4</v>
      </c>
      <c r="J95" s="75">
        <v>5</v>
      </c>
      <c r="K95" s="76">
        <v>6</v>
      </c>
      <c r="L95" s="77">
        <v>7</v>
      </c>
      <c r="M95" s="78">
        <v>8</v>
      </c>
      <c r="N95" s="79">
        <v>9</v>
      </c>
      <c r="O95" s="80">
        <v>10</v>
      </c>
      <c r="P95" s="32"/>
      <c r="Q95" s="139"/>
      <c r="R95" s="334"/>
      <c r="S95" s="133">
        <f>VLOOKUP($E95,R.VL_DEQResourcesInvolved,2,FALSE)</f>
        <v>0</v>
      </c>
      <c r="T95" s="121">
        <f>VLOOKUP($E95,R.VL_DEQResourcesInvolved,3,FALSE)</f>
        <v>0</v>
      </c>
      <c r="U95" s="121">
        <f>IF(S95=10,T95,VLOOKUP($E95,R.VL_DEQResourcesInvolved,4,FALSE))</f>
        <v>0</v>
      </c>
      <c r="V95" s="575" t="s">
        <v>549</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224</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224</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224</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3" t="s">
        <v>52</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33"/>
      <c r="E100" s="734"/>
      <c r="F100" s="734"/>
      <c r="G100" s="734"/>
      <c r="H100" s="734"/>
      <c r="I100" s="734"/>
      <c r="J100" s="734"/>
      <c r="K100" s="734"/>
      <c r="L100" s="734"/>
      <c r="M100" s="734"/>
      <c r="N100" s="734"/>
      <c r="O100" s="734"/>
      <c r="P100" s="735"/>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2" t="s">
        <v>60</v>
      </c>
      <c r="E101" s="292" t="s">
        <v>17</v>
      </c>
      <c r="F101" s="752" t="s">
        <v>18</v>
      </c>
      <c r="G101" s="752"/>
      <c r="H101" s="752"/>
      <c r="I101" s="752"/>
      <c r="J101" s="752"/>
      <c r="K101" s="752"/>
      <c r="L101" s="752"/>
      <c r="M101" s="752"/>
      <c r="N101" s="752"/>
      <c r="O101" s="752"/>
      <c r="P101" s="292" t="s">
        <v>19</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224</v>
      </c>
      <c r="F102" s="71">
        <v>1</v>
      </c>
      <c r="G102" s="72">
        <v>2</v>
      </c>
      <c r="H102" s="73">
        <v>3</v>
      </c>
      <c r="I102" s="74">
        <v>4</v>
      </c>
      <c r="J102" s="75">
        <v>5</v>
      </c>
      <c r="K102" s="76">
        <v>6</v>
      </c>
      <c r="L102" s="77">
        <v>7</v>
      </c>
      <c r="M102" s="78">
        <v>8</v>
      </c>
      <c r="N102" s="79">
        <v>9</v>
      </c>
      <c r="O102" s="80">
        <v>10</v>
      </c>
      <c r="P102" s="32"/>
      <c r="Q102" s="139"/>
      <c r="R102" s="334"/>
      <c r="S102" s="133">
        <f>VLOOKUP($E102,R.VL_DEQResourcesInvolved,2,FALSE)</f>
        <v>0</v>
      </c>
      <c r="T102" s="121">
        <f>VLOOKUP($E102,R.VL_DEQResourcesInvolved,3,FALSE)</f>
        <v>0</v>
      </c>
      <c r="U102" s="121">
        <f>IF(S102=10,T102,VLOOKUP($E102,R.VL_DEQResourcesInvolved,4,FALSE))</f>
        <v>0</v>
      </c>
      <c r="V102" s="575" t="s">
        <v>549</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224</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224</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224</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81"/>
      <c r="E106" s="745"/>
      <c r="F106" s="745"/>
      <c r="G106" s="745"/>
      <c r="H106" s="745"/>
      <c r="I106" s="745"/>
      <c r="J106" s="745"/>
      <c r="K106" s="745"/>
      <c r="L106" s="745"/>
      <c r="M106" s="745"/>
      <c r="N106" s="745"/>
      <c r="O106" s="745"/>
      <c r="P106" s="745"/>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53" t="str">
        <f>"Please suggest process improvements to the "&amp;D2&amp;" worksheet."</f>
        <v>Please suggest process improvements to the Intergovernmental worksheet.</v>
      </c>
      <c r="E107" s="653"/>
      <c r="F107" s="653"/>
      <c r="G107" s="653"/>
      <c r="H107" s="653"/>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50"/>
      <c r="E108" s="651"/>
      <c r="F108" s="651"/>
      <c r="G108" s="651"/>
      <c r="H108" s="651"/>
      <c r="I108" s="651"/>
      <c r="J108" s="651"/>
      <c r="K108" s="651"/>
      <c r="L108" s="651"/>
      <c r="M108" s="651"/>
      <c r="N108" s="651"/>
      <c r="O108" s="651"/>
      <c r="P108" s="652"/>
      <c r="Q108" s="148"/>
      <c r="R108" s="334"/>
      <c r="S108" s="132"/>
      <c r="T108" s="131"/>
      <c r="U108" s="131"/>
      <c r="V108" s="64"/>
      <c r="W108" s="64"/>
      <c r="X108" s="64"/>
      <c r="Y108" s="64"/>
      <c r="Z108" s="64"/>
      <c r="AA108" s="64"/>
      <c r="AB108" s="64"/>
      <c r="AC108" s="64"/>
      <c r="AD108" s="66"/>
      <c r="AE108" s="66"/>
      <c r="AF108" s="66"/>
      <c r="AG108" s="66"/>
    </row>
    <row r="109" spans="1:33" ht="18" customHeight="1">
      <c r="A109" s="350" t="s">
        <v>108</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D108:P108"/>
    <mergeCell ref="D77:P77"/>
    <mergeCell ref="F78:O78"/>
    <mergeCell ref="D84:P84"/>
    <mergeCell ref="E90:P90"/>
    <mergeCell ref="D107:H107"/>
    <mergeCell ref="D93:P93"/>
    <mergeCell ref="F94:O94"/>
    <mergeCell ref="D100:P100"/>
    <mergeCell ref="F101:O101"/>
    <mergeCell ref="E106:P106"/>
    <mergeCell ref="F53:O53"/>
    <mergeCell ref="F62:O62"/>
    <mergeCell ref="D52:P52"/>
    <mergeCell ref="D29:P29"/>
    <mergeCell ref="D36:P36"/>
    <mergeCell ref="E42:P42"/>
    <mergeCell ref="D45:P45"/>
    <mergeCell ref="F46:O46"/>
    <mergeCell ref="F30:O30"/>
    <mergeCell ref="F37:O37"/>
    <mergeCell ref="F69:O69"/>
    <mergeCell ref="F85:O85"/>
    <mergeCell ref="E58:P58"/>
    <mergeCell ref="E74:P74"/>
    <mergeCell ref="D61:P61"/>
    <mergeCell ref="D68:P68"/>
    <mergeCell ref="E26:P26"/>
    <mergeCell ref="F21:O21"/>
    <mergeCell ref="D13:P13"/>
    <mergeCell ref="E2:P2"/>
    <mergeCell ref="M3:P3"/>
    <mergeCell ref="F4:L4"/>
    <mergeCell ref="M4:P4"/>
    <mergeCell ref="F5:L5"/>
    <mergeCell ref="M5:P5"/>
    <mergeCell ref="D7:P7"/>
    <mergeCell ref="D8:P8"/>
    <mergeCell ref="D9:P9"/>
    <mergeCell ref="F14:O14"/>
    <mergeCell ref="D20:P20"/>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399999999999999" outlineLevelRow="1" outlineLevelCol="1"/>
  <cols>
    <col min="1" max="1" width="14.3984375" style="64" customWidth="1"/>
    <col min="2" max="2" width="3.59765625" style="64" customWidth="1"/>
    <col min="3" max="3" width="3.59765625" style="44" customWidth="1"/>
    <col min="4" max="4" width="40.5" style="161" customWidth="1"/>
    <col min="5" max="5" width="15.69921875" style="161" customWidth="1"/>
    <col min="6" max="15" width="1.59765625" style="161" customWidth="1"/>
    <col min="16" max="16" width="15.69921875" style="161" customWidth="1"/>
    <col min="17" max="17" width="3.59765625" style="161" customWidth="1"/>
    <col min="18" max="18" width="3.59765625" style="302" customWidth="1"/>
    <col min="19" max="19" width="2.59765625" style="64" customWidth="1"/>
    <col min="20" max="20" width="9" style="113" hidden="1" customWidth="1" outlineLevel="1"/>
    <col min="21" max="21" width="14.8984375" style="64" hidden="1" customWidth="1" outlineLevel="1"/>
    <col min="22" max="22" width="14.59765625" style="64" hidden="1" customWidth="1" outlineLevel="1"/>
    <col min="23" max="23" width="5.09765625" style="64" customWidth="1" collapsed="1"/>
    <col min="24" max="24" width="30.59765625" style="64" customWidth="1"/>
    <col min="25" max="25" width="18" style="64" customWidth="1"/>
    <col min="26" max="34" width="31.09765625" style="64" customWidth="1"/>
    <col min="35" max="16384" width="9" style="161"/>
  </cols>
  <sheetData>
    <row r="1" spans="1:34" s="64" customFormat="1" ht="20.25" customHeight="1">
      <c r="A1" s="350" t="s">
        <v>104</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117</v>
      </c>
      <c r="B2" s="334"/>
      <c r="C2" s="152">
        <v>15</v>
      </c>
      <c r="D2" s="246" t="s">
        <v>87</v>
      </c>
      <c r="E2" s="710" t="str">
        <f>R.1MediaAndLongName</f>
        <v>AQ Updates to Oregon's State Implementation Plan</v>
      </c>
      <c r="F2" s="710"/>
      <c r="G2" s="710"/>
      <c r="H2" s="710"/>
      <c r="I2" s="710"/>
      <c r="J2" s="710"/>
      <c r="K2" s="710"/>
      <c r="L2" s="710"/>
      <c r="M2" s="710"/>
      <c r="N2" s="710"/>
      <c r="O2" s="710"/>
      <c r="P2" s="710"/>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689" t="s">
        <v>57</v>
      </c>
      <c r="N3" s="689"/>
      <c r="O3" s="689"/>
      <c r="P3" s="689"/>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4" t="s">
        <v>55</v>
      </c>
      <c r="E4" s="81">
        <f>T3</f>
        <v>0</v>
      </c>
      <c r="F4" s="690" t="s">
        <v>54</v>
      </c>
      <c r="G4" s="690"/>
      <c r="H4" s="690"/>
      <c r="I4" s="690"/>
      <c r="J4" s="690"/>
      <c r="K4" s="690"/>
      <c r="L4" s="690"/>
      <c r="M4" s="691" t="str">
        <f>T4</f>
        <v>0</v>
      </c>
      <c r="N4" s="691"/>
      <c r="O4" s="691"/>
      <c r="P4" s="691"/>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4" t="s">
        <v>67</v>
      </c>
      <c r="E5" s="98">
        <f>R.AvgHrDEQCost</f>
        <v>58</v>
      </c>
      <c r="F5" s="690" t="s">
        <v>58</v>
      </c>
      <c r="G5" s="690"/>
      <c r="H5" s="690"/>
      <c r="I5" s="690"/>
      <c r="J5" s="690"/>
      <c r="K5" s="690"/>
      <c r="L5" s="690"/>
      <c r="M5" s="692" t="str">
        <f>T5</f>
        <v>$0</v>
      </c>
      <c r="N5" s="692"/>
      <c r="O5" s="692"/>
      <c r="P5" s="692"/>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501" t="s">
        <v>28</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684"/>
      <c r="E7" s="685"/>
      <c r="F7" s="685"/>
      <c r="G7" s="685"/>
      <c r="H7" s="685"/>
      <c r="I7" s="685"/>
      <c r="J7" s="685"/>
      <c r="K7" s="685"/>
      <c r="L7" s="685"/>
      <c r="M7" s="685"/>
      <c r="N7" s="685"/>
      <c r="O7" s="685"/>
      <c r="P7" s="686"/>
      <c r="Q7" s="158"/>
      <c r="R7" s="334"/>
      <c r="S7" s="125"/>
      <c r="T7" s="709" t="s">
        <v>0</v>
      </c>
      <c r="U7" s="709"/>
      <c r="V7" s="709"/>
      <c r="W7" s="126"/>
      <c r="X7" s="126" t="s">
        <v>0</v>
      </c>
      <c r="Y7" s="126"/>
      <c r="Z7" s="126"/>
      <c r="AA7" s="126"/>
      <c r="AB7" s="126"/>
      <c r="AC7" s="126"/>
      <c r="AD7" s="126"/>
      <c r="AE7" s="125"/>
      <c r="AF7" s="125"/>
      <c r="AG7" s="125"/>
      <c r="AH7" s="125"/>
    </row>
    <row r="8" spans="1:34" s="69" customFormat="1" ht="14.25" customHeight="1">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3" t="s">
        <v>0</v>
      </c>
      <c r="D9" s="529" t="s">
        <v>236</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3" t="s">
        <v>53</v>
      </c>
      <c r="E10" s="486"/>
      <c r="F10" s="486"/>
      <c r="G10" s="486"/>
      <c r="H10" s="486"/>
      <c r="I10" s="486"/>
      <c r="J10" s="486"/>
      <c r="K10" s="486"/>
      <c r="L10" s="486"/>
      <c r="M10" s="486"/>
      <c r="N10" s="486"/>
      <c r="O10" s="486"/>
      <c r="P10" s="486"/>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22"/>
      <c r="E11" s="723"/>
      <c r="F11" s="723"/>
      <c r="G11" s="723"/>
      <c r="H11" s="723"/>
      <c r="I11" s="723"/>
      <c r="J11" s="723"/>
      <c r="K11" s="723"/>
      <c r="L11" s="723"/>
      <c r="M11" s="723"/>
      <c r="N11" s="723"/>
      <c r="O11" s="723"/>
      <c r="P11" s="724"/>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7" t="s">
        <v>60</v>
      </c>
      <c r="E12" s="393" t="s">
        <v>17</v>
      </c>
      <c r="F12" s="728" t="s">
        <v>18</v>
      </c>
      <c r="G12" s="728"/>
      <c r="H12" s="728"/>
      <c r="I12" s="728"/>
      <c r="J12" s="728"/>
      <c r="K12" s="728"/>
      <c r="L12" s="728"/>
      <c r="M12" s="728"/>
      <c r="N12" s="728"/>
      <c r="O12" s="728"/>
      <c r="P12" s="393" t="s">
        <v>19</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224</v>
      </c>
      <c r="F13" s="71">
        <v>1</v>
      </c>
      <c r="G13" s="72">
        <v>2</v>
      </c>
      <c r="H13" s="73">
        <v>3</v>
      </c>
      <c r="I13" s="74">
        <v>4</v>
      </c>
      <c r="J13" s="75">
        <v>5</v>
      </c>
      <c r="K13" s="76">
        <v>6</v>
      </c>
      <c r="L13" s="77">
        <v>7</v>
      </c>
      <c r="M13" s="78">
        <v>8</v>
      </c>
      <c r="N13" s="79">
        <v>9</v>
      </c>
      <c r="O13" s="80">
        <v>10</v>
      </c>
      <c r="P13" s="32"/>
      <c r="Q13" s="139"/>
      <c r="R13" s="334"/>
      <c r="S13" s="575" t="s">
        <v>549</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224</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224</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224</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7"/>
      <c r="D17" s="442" t="s">
        <v>52</v>
      </c>
      <c r="E17" s="488"/>
      <c r="F17" s="488"/>
      <c r="G17" s="488"/>
      <c r="H17" s="488"/>
      <c r="I17" s="488"/>
      <c r="J17" s="488"/>
      <c r="K17" s="488"/>
      <c r="L17" s="488"/>
      <c r="M17" s="488"/>
      <c r="N17" s="488"/>
      <c r="O17" s="488"/>
      <c r="P17" s="488"/>
      <c r="Q17" s="489"/>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29"/>
      <c r="E18" s="730"/>
      <c r="F18" s="730"/>
      <c r="G18" s="730"/>
      <c r="H18" s="730"/>
      <c r="I18" s="730"/>
      <c r="J18" s="730"/>
      <c r="K18" s="730"/>
      <c r="L18" s="730"/>
      <c r="M18" s="730"/>
      <c r="N18" s="730"/>
      <c r="O18" s="730"/>
      <c r="P18" s="731"/>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2" t="s">
        <v>60</v>
      </c>
      <c r="E19" s="292" t="s">
        <v>17</v>
      </c>
      <c r="F19" s="752" t="s">
        <v>18</v>
      </c>
      <c r="G19" s="752"/>
      <c r="H19" s="752"/>
      <c r="I19" s="752"/>
      <c r="J19" s="752"/>
      <c r="K19" s="752"/>
      <c r="L19" s="752"/>
      <c r="M19" s="752"/>
      <c r="N19" s="752"/>
      <c r="O19" s="752"/>
      <c r="P19" s="292" t="s">
        <v>19</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224</v>
      </c>
      <c r="F20" s="71">
        <v>1</v>
      </c>
      <c r="G20" s="72">
        <v>2</v>
      </c>
      <c r="H20" s="73">
        <v>3</v>
      </c>
      <c r="I20" s="74">
        <v>4</v>
      </c>
      <c r="J20" s="75">
        <v>5</v>
      </c>
      <c r="K20" s="76">
        <v>6</v>
      </c>
      <c r="L20" s="77">
        <v>7</v>
      </c>
      <c r="M20" s="78">
        <v>8</v>
      </c>
      <c r="N20" s="79">
        <v>9</v>
      </c>
      <c r="O20" s="80">
        <v>10</v>
      </c>
      <c r="P20" s="32" t="s">
        <v>0</v>
      </c>
      <c r="Q20" s="139"/>
      <c r="R20" s="334"/>
      <c r="S20" s="575" t="s">
        <v>549</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224</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224</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224</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81"/>
      <c r="E24" s="745"/>
      <c r="F24" s="745"/>
      <c r="G24" s="745"/>
      <c r="H24" s="745"/>
      <c r="I24" s="745"/>
      <c r="J24" s="745"/>
      <c r="K24" s="745"/>
      <c r="L24" s="745"/>
      <c r="M24" s="745"/>
      <c r="N24" s="745"/>
      <c r="O24" s="745"/>
      <c r="P24" s="745"/>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80" t="s">
        <v>0</v>
      </c>
      <c r="D25" s="529" t="s">
        <v>237</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3" t="s">
        <v>53</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22"/>
      <c r="E27" s="723"/>
      <c r="F27" s="723"/>
      <c r="G27" s="723"/>
      <c r="H27" s="723"/>
      <c r="I27" s="723"/>
      <c r="J27" s="723"/>
      <c r="K27" s="723"/>
      <c r="L27" s="723"/>
      <c r="M27" s="723"/>
      <c r="N27" s="723"/>
      <c r="O27" s="723"/>
      <c r="P27" s="724"/>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2" t="s">
        <v>60</v>
      </c>
      <c r="E28" s="159" t="s">
        <v>17</v>
      </c>
      <c r="F28" s="752" t="s">
        <v>18</v>
      </c>
      <c r="G28" s="752"/>
      <c r="H28" s="752"/>
      <c r="I28" s="752"/>
      <c r="J28" s="752"/>
      <c r="K28" s="752"/>
      <c r="L28" s="752"/>
      <c r="M28" s="752"/>
      <c r="N28" s="752"/>
      <c r="O28" s="752"/>
      <c r="P28" s="159" t="s">
        <v>19</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224</v>
      </c>
      <c r="F29" s="71">
        <v>1</v>
      </c>
      <c r="G29" s="72">
        <v>2</v>
      </c>
      <c r="H29" s="73">
        <v>3</v>
      </c>
      <c r="I29" s="74">
        <v>4</v>
      </c>
      <c r="J29" s="75">
        <v>5</v>
      </c>
      <c r="K29" s="76">
        <v>6</v>
      </c>
      <c r="L29" s="77">
        <v>7</v>
      </c>
      <c r="M29" s="78">
        <v>8</v>
      </c>
      <c r="N29" s="79">
        <v>9</v>
      </c>
      <c r="O29" s="80">
        <v>10</v>
      </c>
      <c r="P29" s="32"/>
      <c r="Q29" s="139"/>
      <c r="R29" s="334"/>
      <c r="S29" s="575" t="s">
        <v>549</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224</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224</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224</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3" t="s">
        <v>52</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33"/>
      <c r="E34" s="734"/>
      <c r="F34" s="734"/>
      <c r="G34" s="734"/>
      <c r="H34" s="734"/>
      <c r="I34" s="734"/>
      <c r="J34" s="734"/>
      <c r="K34" s="734"/>
      <c r="L34" s="734"/>
      <c r="M34" s="734"/>
      <c r="N34" s="734"/>
      <c r="O34" s="734"/>
      <c r="P34" s="735"/>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2" t="s">
        <v>60</v>
      </c>
      <c r="E35" s="159" t="s">
        <v>17</v>
      </c>
      <c r="F35" s="752" t="s">
        <v>18</v>
      </c>
      <c r="G35" s="752"/>
      <c r="H35" s="752"/>
      <c r="I35" s="752"/>
      <c r="J35" s="752"/>
      <c r="K35" s="752"/>
      <c r="L35" s="752"/>
      <c r="M35" s="752"/>
      <c r="N35" s="752"/>
      <c r="O35" s="752"/>
      <c r="P35" s="159" t="s">
        <v>19</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224</v>
      </c>
      <c r="F36" s="71">
        <v>1</v>
      </c>
      <c r="G36" s="72">
        <v>2</v>
      </c>
      <c r="H36" s="73">
        <v>3</v>
      </c>
      <c r="I36" s="74">
        <v>4</v>
      </c>
      <c r="J36" s="75">
        <v>5</v>
      </c>
      <c r="K36" s="76">
        <v>6</v>
      </c>
      <c r="L36" s="77">
        <v>7</v>
      </c>
      <c r="M36" s="78">
        <v>8</v>
      </c>
      <c r="N36" s="79">
        <v>9</v>
      </c>
      <c r="O36" s="80">
        <v>10</v>
      </c>
      <c r="P36" s="32"/>
      <c r="Q36" s="139"/>
      <c r="R36" s="334"/>
      <c r="S36" s="575" t="s">
        <v>549</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224</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224</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81"/>
      <c r="E40" s="745"/>
      <c r="F40" s="745"/>
      <c r="G40" s="745"/>
      <c r="H40" s="745"/>
      <c r="I40" s="745"/>
      <c r="J40" s="745"/>
      <c r="K40" s="745"/>
      <c r="L40" s="745"/>
      <c r="M40" s="745"/>
      <c r="N40" s="745"/>
      <c r="O40" s="745"/>
      <c r="P40" s="745"/>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3" t="s">
        <v>0</v>
      </c>
      <c r="D41" s="529" t="s">
        <v>238</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3" t="s">
        <v>53</v>
      </c>
      <c r="E42" s="486"/>
      <c r="F42" s="486"/>
      <c r="G42" s="486"/>
      <c r="H42" s="486"/>
      <c r="I42" s="486"/>
      <c r="J42" s="486"/>
      <c r="K42" s="486"/>
      <c r="L42" s="486"/>
      <c r="M42" s="486"/>
      <c r="N42" s="486"/>
      <c r="O42" s="486"/>
      <c r="P42" s="486"/>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22"/>
      <c r="E43" s="723"/>
      <c r="F43" s="723"/>
      <c r="G43" s="723"/>
      <c r="H43" s="723"/>
      <c r="I43" s="723"/>
      <c r="J43" s="723"/>
      <c r="K43" s="723"/>
      <c r="L43" s="723"/>
      <c r="M43" s="723"/>
      <c r="N43" s="723"/>
      <c r="O43" s="723"/>
      <c r="P43" s="724"/>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7" t="s">
        <v>60</v>
      </c>
      <c r="E44" s="393" t="s">
        <v>17</v>
      </c>
      <c r="F44" s="728" t="s">
        <v>18</v>
      </c>
      <c r="G44" s="728"/>
      <c r="H44" s="728"/>
      <c r="I44" s="728"/>
      <c r="J44" s="728"/>
      <c r="K44" s="728"/>
      <c r="L44" s="728"/>
      <c r="M44" s="728"/>
      <c r="N44" s="728"/>
      <c r="O44" s="728"/>
      <c r="P44" s="393" t="s">
        <v>19</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224</v>
      </c>
      <c r="F45" s="71">
        <v>1</v>
      </c>
      <c r="G45" s="72">
        <v>2</v>
      </c>
      <c r="H45" s="73">
        <v>3</v>
      </c>
      <c r="I45" s="74">
        <v>4</v>
      </c>
      <c r="J45" s="75">
        <v>5</v>
      </c>
      <c r="K45" s="76">
        <v>6</v>
      </c>
      <c r="L45" s="77">
        <v>7</v>
      </c>
      <c r="M45" s="78">
        <v>8</v>
      </c>
      <c r="N45" s="79">
        <v>9</v>
      </c>
      <c r="O45" s="80">
        <v>10</v>
      </c>
      <c r="P45" s="32" t="s">
        <v>0</v>
      </c>
      <c r="Q45" s="139"/>
      <c r="R45" s="334"/>
      <c r="S45" s="575" t="s">
        <v>549</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224</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224</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7"/>
      <c r="D49" s="442" t="s">
        <v>52</v>
      </c>
      <c r="E49" s="488"/>
      <c r="F49" s="488"/>
      <c r="G49" s="488"/>
      <c r="H49" s="488"/>
      <c r="I49" s="488"/>
      <c r="J49" s="488"/>
      <c r="K49" s="488"/>
      <c r="L49" s="488"/>
      <c r="M49" s="488"/>
      <c r="N49" s="488"/>
      <c r="O49" s="488"/>
      <c r="P49" s="488"/>
      <c r="Q49" s="489"/>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29"/>
      <c r="E50" s="730"/>
      <c r="F50" s="730"/>
      <c r="G50" s="730"/>
      <c r="H50" s="730"/>
      <c r="I50" s="730"/>
      <c r="J50" s="730"/>
      <c r="K50" s="730"/>
      <c r="L50" s="730"/>
      <c r="M50" s="730"/>
      <c r="N50" s="730"/>
      <c r="O50" s="730"/>
      <c r="P50" s="731"/>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2" t="s">
        <v>60</v>
      </c>
      <c r="E51" s="292" t="s">
        <v>17</v>
      </c>
      <c r="F51" s="752" t="s">
        <v>18</v>
      </c>
      <c r="G51" s="752"/>
      <c r="H51" s="752"/>
      <c r="I51" s="752"/>
      <c r="J51" s="752"/>
      <c r="K51" s="752"/>
      <c r="L51" s="752"/>
      <c r="M51" s="752"/>
      <c r="N51" s="752"/>
      <c r="O51" s="752"/>
      <c r="P51" s="292" t="s">
        <v>19</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224</v>
      </c>
      <c r="F52" s="71">
        <v>1</v>
      </c>
      <c r="G52" s="72">
        <v>2</v>
      </c>
      <c r="H52" s="73">
        <v>3</v>
      </c>
      <c r="I52" s="74">
        <v>4</v>
      </c>
      <c r="J52" s="75">
        <v>5</v>
      </c>
      <c r="K52" s="76">
        <v>6</v>
      </c>
      <c r="L52" s="77">
        <v>7</v>
      </c>
      <c r="M52" s="78">
        <v>8</v>
      </c>
      <c r="N52" s="79">
        <v>9</v>
      </c>
      <c r="O52" s="80">
        <v>10</v>
      </c>
      <c r="P52" s="32" t="s">
        <v>0</v>
      </c>
      <c r="Q52" s="139"/>
      <c r="R52" s="334"/>
      <c r="S52" s="575" t="s">
        <v>549</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224</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224</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81"/>
      <c r="E56" s="745"/>
      <c r="F56" s="745"/>
      <c r="G56" s="745"/>
      <c r="H56" s="745"/>
      <c r="I56" s="745"/>
      <c r="J56" s="745"/>
      <c r="K56" s="745"/>
      <c r="L56" s="745"/>
      <c r="M56" s="745"/>
      <c r="N56" s="745"/>
      <c r="O56" s="745"/>
      <c r="P56" s="745"/>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3" t="s">
        <v>0</v>
      </c>
      <c r="D57" s="506" t="s">
        <v>239</v>
      </c>
      <c r="E57" s="490"/>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3" t="s">
        <v>53</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22"/>
      <c r="E59" s="723"/>
      <c r="F59" s="723"/>
      <c r="G59" s="723"/>
      <c r="H59" s="723"/>
      <c r="I59" s="723"/>
      <c r="J59" s="723"/>
      <c r="K59" s="723"/>
      <c r="L59" s="723"/>
      <c r="M59" s="723"/>
      <c r="N59" s="723"/>
      <c r="O59" s="723"/>
      <c r="P59" s="724"/>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2" t="s">
        <v>60</v>
      </c>
      <c r="E60" s="292" t="s">
        <v>17</v>
      </c>
      <c r="F60" s="752" t="s">
        <v>18</v>
      </c>
      <c r="G60" s="752"/>
      <c r="H60" s="752"/>
      <c r="I60" s="752"/>
      <c r="J60" s="752"/>
      <c r="K60" s="752"/>
      <c r="L60" s="752"/>
      <c r="M60" s="752"/>
      <c r="N60" s="752"/>
      <c r="O60" s="752"/>
      <c r="P60" s="292" t="s">
        <v>19</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224</v>
      </c>
      <c r="F61" s="71">
        <v>1</v>
      </c>
      <c r="G61" s="72">
        <v>2</v>
      </c>
      <c r="H61" s="73">
        <v>3</v>
      </c>
      <c r="I61" s="74">
        <v>4</v>
      </c>
      <c r="J61" s="75">
        <v>5</v>
      </c>
      <c r="K61" s="76">
        <v>6</v>
      </c>
      <c r="L61" s="77">
        <v>7</v>
      </c>
      <c r="M61" s="78">
        <v>8</v>
      </c>
      <c r="N61" s="79">
        <v>9</v>
      </c>
      <c r="O61" s="80">
        <v>10</v>
      </c>
      <c r="P61" s="32"/>
      <c r="Q61" s="139"/>
      <c r="R61" s="334"/>
      <c r="S61" s="575" t="s">
        <v>549</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224</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224</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224</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3" t="s">
        <v>52</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33"/>
      <c r="E66" s="734"/>
      <c r="F66" s="734"/>
      <c r="G66" s="734"/>
      <c r="H66" s="734"/>
      <c r="I66" s="734"/>
      <c r="J66" s="734"/>
      <c r="K66" s="734"/>
      <c r="L66" s="734"/>
      <c r="M66" s="734"/>
      <c r="N66" s="734"/>
      <c r="O66" s="734"/>
      <c r="P66" s="735"/>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2" t="s">
        <v>60</v>
      </c>
      <c r="E67" s="292" t="s">
        <v>17</v>
      </c>
      <c r="F67" s="752" t="s">
        <v>18</v>
      </c>
      <c r="G67" s="752"/>
      <c r="H67" s="752"/>
      <c r="I67" s="752"/>
      <c r="J67" s="752"/>
      <c r="K67" s="752"/>
      <c r="L67" s="752"/>
      <c r="M67" s="752"/>
      <c r="N67" s="752"/>
      <c r="O67" s="752"/>
      <c r="P67" s="292" t="s">
        <v>19</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224</v>
      </c>
      <c r="F68" s="71">
        <v>1</v>
      </c>
      <c r="G68" s="72">
        <v>2</v>
      </c>
      <c r="H68" s="73">
        <v>3</v>
      </c>
      <c r="I68" s="74">
        <v>4</v>
      </c>
      <c r="J68" s="75">
        <v>5</v>
      </c>
      <c r="K68" s="76">
        <v>6</v>
      </c>
      <c r="L68" s="77">
        <v>7</v>
      </c>
      <c r="M68" s="78">
        <v>8</v>
      </c>
      <c r="N68" s="79">
        <v>9</v>
      </c>
      <c r="O68" s="80">
        <v>10</v>
      </c>
      <c r="P68" s="32" t="s">
        <v>0</v>
      </c>
      <c r="Q68" s="139"/>
      <c r="R68" s="334"/>
      <c r="S68" s="575" t="s">
        <v>549</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224</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224</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224</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81"/>
      <c r="E72" s="745"/>
      <c r="F72" s="745"/>
      <c r="G72" s="745"/>
      <c r="H72" s="745"/>
      <c r="I72" s="745"/>
      <c r="J72" s="745"/>
      <c r="K72" s="745"/>
      <c r="L72" s="745"/>
      <c r="M72" s="745"/>
      <c r="N72" s="745"/>
      <c r="O72" s="745"/>
      <c r="P72" s="745"/>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53" t="str">
        <f>"Please suggest process improvements to the "&amp;D2&amp;" worksheet."</f>
        <v>Please suggest process improvements to the Custom Participants worksheet.</v>
      </c>
      <c r="E73" s="653"/>
      <c r="F73" s="653"/>
      <c r="G73" s="653"/>
      <c r="H73" s="653"/>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50"/>
      <c r="E74" s="651"/>
      <c r="F74" s="651"/>
      <c r="G74" s="651"/>
      <c r="H74" s="651"/>
      <c r="I74" s="651"/>
      <c r="J74" s="651"/>
      <c r="K74" s="651"/>
      <c r="L74" s="651"/>
      <c r="M74" s="651"/>
      <c r="N74" s="651"/>
      <c r="O74" s="651"/>
      <c r="P74" s="652"/>
      <c r="Q74" s="148"/>
      <c r="R74" s="334"/>
      <c r="S74" s="66"/>
      <c r="T74" s="132"/>
      <c r="U74" s="131"/>
      <c r="V74" s="131"/>
      <c r="W74" s="64"/>
      <c r="X74" s="64"/>
      <c r="Y74" s="64"/>
      <c r="Z74" s="64"/>
      <c r="AA74" s="64"/>
      <c r="AB74" s="64"/>
      <c r="AC74" s="64"/>
      <c r="AD74" s="64"/>
      <c r="AE74" s="66"/>
      <c r="AF74" s="66"/>
      <c r="AG74" s="66"/>
      <c r="AH74" s="66"/>
    </row>
    <row r="75" spans="1:34" ht="18" customHeight="1">
      <c r="A75" s="350" t="s">
        <v>108</v>
      </c>
      <c r="B75" s="334"/>
      <c r="C75" s="149"/>
      <c r="D75" s="150"/>
      <c r="E75" s="150"/>
      <c r="F75" s="150"/>
      <c r="G75" s="150"/>
      <c r="H75" s="150"/>
      <c r="I75" s="150"/>
      <c r="J75" s="150"/>
      <c r="K75" s="150"/>
      <c r="L75" s="150"/>
      <c r="M75" s="150"/>
      <c r="N75" s="150"/>
      <c r="O75" s="150"/>
      <c r="P75" s="150"/>
      <c r="Q75" s="151"/>
      <c r="R75" s="334"/>
    </row>
    <row r="76" spans="1:34" s="64" customFormat="1" ht="13.8">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D74:P74"/>
    <mergeCell ref="E56:P56"/>
    <mergeCell ref="D59:P59"/>
    <mergeCell ref="D66:P66"/>
    <mergeCell ref="E72:P72"/>
    <mergeCell ref="D73:H73"/>
    <mergeCell ref="T7:V7"/>
    <mergeCell ref="D11:P11"/>
    <mergeCell ref="F12:O12"/>
    <mergeCell ref="D18:P18"/>
    <mergeCell ref="E24:P24"/>
    <mergeCell ref="F19:O19"/>
    <mergeCell ref="E2:P2"/>
    <mergeCell ref="M3:P3"/>
    <mergeCell ref="F4:L4"/>
    <mergeCell ref="M4:P4"/>
    <mergeCell ref="F5:L5"/>
    <mergeCell ref="M5:P5"/>
    <mergeCell ref="F51:O51"/>
    <mergeCell ref="F60:O60"/>
    <mergeCell ref="F67:O67"/>
    <mergeCell ref="D50:P50"/>
    <mergeCell ref="D7:P7"/>
    <mergeCell ref="D27:P27"/>
    <mergeCell ref="D34:P34"/>
    <mergeCell ref="E40:P40"/>
    <mergeCell ref="D43:P43"/>
    <mergeCell ref="F44:O44"/>
    <mergeCell ref="F28:O28"/>
    <mergeCell ref="F35:O35"/>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3.8"/>
  <cols>
    <col min="1" max="1" width="8.69921875" style="569" customWidth="1"/>
    <col min="2" max="2" width="9.3984375" style="37" customWidth="1"/>
    <col min="3" max="3" width="9" style="570"/>
    <col min="4" max="4" width="10.3984375" style="560" customWidth="1"/>
    <col min="5" max="5" width="12" style="560" customWidth="1"/>
    <col min="6" max="6" width="8.09765625" style="499" customWidth="1"/>
    <col min="7" max="7" width="26.19921875" style="571" customWidth="1"/>
    <col min="8" max="8" width="23.8984375" style="571" customWidth="1"/>
    <col min="9" max="9" width="9.3984375" style="571" customWidth="1"/>
    <col min="10" max="10" width="8.5" style="570" customWidth="1"/>
    <col min="11" max="11" width="6.3984375" style="560" customWidth="1"/>
    <col min="12" max="12" width="5.3984375" style="560" customWidth="1"/>
    <col min="13" max="13" width="3.69921875" style="560" customWidth="1"/>
    <col min="14" max="14" width="7.09765625" style="560" customWidth="1"/>
    <col min="15" max="21" width="3.69921875" style="560" customWidth="1"/>
    <col min="22" max="31" width="4.69921875" style="560" customWidth="1"/>
    <col min="32" max="35" width="4.69921875" style="499" customWidth="1"/>
    <col min="36" max="16384" width="9" style="560"/>
  </cols>
  <sheetData>
    <row r="1" spans="1:35" ht="20.399999999999999">
      <c r="A1" s="607" t="s">
        <v>319</v>
      </c>
      <c r="B1" s="607"/>
      <c r="C1" s="607"/>
      <c r="D1" s="607"/>
      <c r="E1" s="607"/>
      <c r="F1" s="607"/>
      <c r="G1" s="607"/>
      <c r="H1" s="564"/>
      <c r="I1" s="564"/>
      <c r="J1" s="608" t="s">
        <v>320</v>
      </c>
      <c r="K1" s="608"/>
      <c r="L1" s="608"/>
      <c r="M1" s="608"/>
      <c r="N1" s="608"/>
      <c r="O1" s="608"/>
      <c r="P1" s="608"/>
      <c r="Q1" s="608"/>
      <c r="R1" s="608"/>
      <c r="S1" s="608"/>
      <c r="T1" s="608"/>
      <c r="U1" s="608"/>
      <c r="V1" s="608"/>
      <c r="W1" s="608"/>
      <c r="X1" s="608"/>
      <c r="Y1" s="608"/>
      <c r="Z1" s="608"/>
      <c r="AA1" s="608"/>
      <c r="AB1" s="608"/>
      <c r="AC1" s="608"/>
      <c r="AD1" s="608"/>
      <c r="AE1" s="608"/>
      <c r="AF1" s="565"/>
      <c r="AG1" s="565"/>
      <c r="AH1" s="565"/>
      <c r="AI1" s="565"/>
    </row>
    <row r="2" spans="1:35">
      <c r="A2" s="566" t="s">
        <v>321</v>
      </c>
      <c r="B2" s="543" t="s">
        <v>322</v>
      </c>
      <c r="C2" s="567" t="s">
        <v>323</v>
      </c>
      <c r="D2" s="444" t="s">
        <v>209</v>
      </c>
      <c r="E2" s="444" t="s">
        <v>249</v>
      </c>
      <c r="F2" s="543" t="s">
        <v>324</v>
      </c>
      <c r="G2" s="568" t="s">
        <v>325</v>
      </c>
      <c r="H2" s="568" t="s">
        <v>326</v>
      </c>
      <c r="I2" s="568" t="s">
        <v>461</v>
      </c>
      <c r="J2" s="567" t="s">
        <v>327</v>
      </c>
      <c r="K2" s="444" t="s">
        <v>328</v>
      </c>
      <c r="L2" s="444" t="s">
        <v>329</v>
      </c>
      <c r="M2" s="543" t="s">
        <v>330</v>
      </c>
      <c r="N2" s="543" t="s">
        <v>331</v>
      </c>
      <c r="O2" s="543" t="s">
        <v>332</v>
      </c>
      <c r="P2" s="543" t="s">
        <v>333</v>
      </c>
      <c r="Q2" s="543" t="s">
        <v>334</v>
      </c>
      <c r="R2" s="543" t="s">
        <v>335</v>
      </c>
      <c r="S2" s="543" t="s">
        <v>336</v>
      </c>
      <c r="T2" s="543" t="s">
        <v>337</v>
      </c>
      <c r="U2" s="543" t="s">
        <v>338</v>
      </c>
      <c r="V2" s="543" t="s">
        <v>339</v>
      </c>
      <c r="W2" s="543" t="s">
        <v>340</v>
      </c>
      <c r="X2" s="543" t="s">
        <v>341</v>
      </c>
      <c r="Y2" s="543" t="s">
        <v>342</v>
      </c>
      <c r="Z2" s="543" t="s">
        <v>343</v>
      </c>
      <c r="AA2" s="543" t="s">
        <v>344</v>
      </c>
      <c r="AB2" s="543" t="s">
        <v>345</v>
      </c>
      <c r="AC2" s="543" t="s">
        <v>346</v>
      </c>
      <c r="AD2" s="543" t="s">
        <v>347</v>
      </c>
      <c r="AE2" s="543" t="s">
        <v>348</v>
      </c>
      <c r="AF2" s="543" t="s">
        <v>349</v>
      </c>
      <c r="AG2" s="543" t="s">
        <v>350</v>
      </c>
      <c r="AH2" s="543" t="s">
        <v>351</v>
      </c>
      <c r="AI2" s="543" t="s">
        <v>352</v>
      </c>
    </row>
    <row r="3" spans="1:35" ht="27.6" hidden="1">
      <c r="A3" s="569">
        <v>1</v>
      </c>
      <c r="B3" s="37">
        <v>1</v>
      </c>
      <c r="C3" s="570">
        <v>41144</v>
      </c>
      <c r="D3" s="560" t="s">
        <v>353</v>
      </c>
      <c r="E3" s="578" t="s">
        <v>359</v>
      </c>
      <c r="F3" s="499" t="s">
        <v>354</v>
      </c>
      <c r="G3" s="571" t="s">
        <v>355</v>
      </c>
      <c r="I3" s="571" t="str">
        <f>Table1[[#This Row],[Staff]]</f>
        <v>Nicole</v>
      </c>
      <c r="J3" s="570">
        <f>Table1[[#This Row],[Date]]</f>
        <v>41144</v>
      </c>
      <c r="K3" s="526"/>
      <c r="L3" s="526"/>
      <c r="M3" s="525"/>
      <c r="N3" s="525"/>
      <c r="O3" s="525"/>
      <c r="P3" s="525"/>
      <c r="Q3" s="525"/>
      <c r="R3" s="525"/>
      <c r="S3" s="525"/>
      <c r="T3" s="525"/>
      <c r="U3" s="525"/>
      <c r="V3" s="525"/>
      <c r="W3" s="525"/>
      <c r="X3" s="525"/>
      <c r="Y3" s="525"/>
      <c r="Z3" s="525"/>
      <c r="AA3" s="525"/>
      <c r="AB3" s="525"/>
      <c r="AC3" s="525"/>
      <c r="AD3" s="525"/>
      <c r="AE3" s="525"/>
      <c r="AF3" s="525"/>
      <c r="AG3" s="525"/>
      <c r="AH3" s="525"/>
      <c r="AI3" s="525"/>
    </row>
    <row r="4" spans="1:35" ht="27.6" hidden="1">
      <c r="A4" s="569">
        <v>1</v>
      </c>
      <c r="B4" s="37">
        <v>2</v>
      </c>
      <c r="C4" s="570">
        <v>41144</v>
      </c>
      <c r="D4" s="560" t="s">
        <v>353</v>
      </c>
      <c r="E4" s="560" t="s">
        <v>359</v>
      </c>
      <c r="F4" s="499" t="s">
        <v>356</v>
      </c>
      <c r="G4" s="571" t="s">
        <v>357</v>
      </c>
      <c r="H4" s="571" t="s">
        <v>358</v>
      </c>
      <c r="I4" s="571" t="str">
        <f>Table1[[#This Row],[Staff]]</f>
        <v>Nicole</v>
      </c>
      <c r="J4" s="570">
        <f>Table1[[#This Row],[Date]]</f>
        <v>41144</v>
      </c>
      <c r="K4" s="526"/>
      <c r="L4" s="526"/>
    </row>
    <row r="5" spans="1:35" hidden="1">
      <c r="A5" s="569">
        <v>1</v>
      </c>
      <c r="B5" s="37">
        <v>3</v>
      </c>
      <c r="C5" s="570">
        <v>41144</v>
      </c>
      <c r="D5" s="560" t="s">
        <v>353</v>
      </c>
      <c r="E5" s="560" t="s">
        <v>360</v>
      </c>
      <c r="F5" s="499" t="s">
        <v>361</v>
      </c>
      <c r="G5" s="571" t="s">
        <v>362</v>
      </c>
      <c r="H5" s="571" t="s">
        <v>363</v>
      </c>
      <c r="I5" s="571" t="str">
        <f>Table1[[#This Row],[Staff]]</f>
        <v>Nicole</v>
      </c>
      <c r="J5" s="570">
        <f>Table1[[#This Row],[Date]]</f>
        <v>41144</v>
      </c>
      <c r="K5" s="526"/>
      <c r="L5" s="526"/>
    </row>
    <row r="6" spans="1:35" ht="27.6" hidden="1">
      <c r="A6" s="569">
        <v>1</v>
      </c>
      <c r="B6" s="37">
        <v>4</v>
      </c>
      <c r="C6" s="570">
        <v>41144</v>
      </c>
      <c r="D6" s="560" t="s">
        <v>353</v>
      </c>
      <c r="E6" s="560" t="s">
        <v>360</v>
      </c>
      <c r="F6" s="499" t="s">
        <v>364</v>
      </c>
      <c r="G6" s="571" t="s">
        <v>365</v>
      </c>
      <c r="H6" s="571" t="s">
        <v>366</v>
      </c>
      <c r="I6" s="571" t="str">
        <f>Table1[[#This Row],[Staff]]</f>
        <v>Nicole</v>
      </c>
      <c r="J6" s="570">
        <f>Table1[[#This Row],[Date]]</f>
        <v>41144</v>
      </c>
      <c r="K6" s="526"/>
      <c r="L6" s="526"/>
    </row>
    <row r="7" spans="1:35" hidden="1">
      <c r="A7" s="569">
        <v>1</v>
      </c>
      <c r="B7" s="37">
        <v>5</v>
      </c>
      <c r="C7" s="570">
        <v>41144</v>
      </c>
      <c r="D7" s="560" t="s">
        <v>353</v>
      </c>
      <c r="E7" s="560" t="s">
        <v>158</v>
      </c>
      <c r="F7" s="499" t="s">
        <v>361</v>
      </c>
      <c r="G7" s="571" t="s">
        <v>362</v>
      </c>
      <c r="H7" s="571" t="s">
        <v>375</v>
      </c>
      <c r="I7" s="571" t="str">
        <f>Table1[[#This Row],[Staff]]</f>
        <v>Nicole</v>
      </c>
      <c r="J7" s="570">
        <f>Table1[[#This Row],[Date]]</f>
        <v>41144</v>
      </c>
      <c r="K7" s="526"/>
      <c r="L7" s="526"/>
    </row>
    <row r="8" spans="1:35" hidden="1">
      <c r="A8" s="569">
        <v>1</v>
      </c>
      <c r="B8" s="37">
        <v>6</v>
      </c>
      <c r="C8" s="570">
        <v>41144</v>
      </c>
      <c r="D8" s="560" t="s">
        <v>353</v>
      </c>
      <c r="E8" s="560" t="s">
        <v>158</v>
      </c>
      <c r="F8" s="499" t="s">
        <v>367</v>
      </c>
      <c r="G8" s="571" t="s">
        <v>371</v>
      </c>
      <c r="H8" s="571" t="s">
        <v>368</v>
      </c>
      <c r="I8" s="571" t="str">
        <f>Table1[[#This Row],[Staff]]</f>
        <v>Nicole</v>
      </c>
      <c r="J8" s="570">
        <f>Table1[[#This Row],[Date]]</f>
        <v>41144</v>
      </c>
      <c r="K8" s="526"/>
      <c r="L8" s="526"/>
    </row>
    <row r="9" spans="1:35" hidden="1">
      <c r="A9" s="569">
        <v>1</v>
      </c>
      <c r="B9" s="37">
        <v>7</v>
      </c>
      <c r="C9" s="570">
        <v>41144</v>
      </c>
      <c r="D9" s="560" t="s">
        <v>353</v>
      </c>
      <c r="E9" s="560" t="s">
        <v>369</v>
      </c>
      <c r="F9" s="499" t="s">
        <v>361</v>
      </c>
      <c r="G9" s="571" t="s">
        <v>362</v>
      </c>
      <c r="H9" s="571" t="s">
        <v>375</v>
      </c>
      <c r="I9" s="571" t="str">
        <f>Table1[[#This Row],[Staff]]</f>
        <v>Nicole</v>
      </c>
      <c r="J9" s="570">
        <f>Table1[[#This Row],[Date]]</f>
        <v>41144</v>
      </c>
      <c r="K9" s="526"/>
      <c r="L9" s="526"/>
    </row>
    <row r="10" spans="1:35" hidden="1">
      <c r="A10" s="569">
        <v>1</v>
      </c>
      <c r="B10" s="37">
        <v>8</v>
      </c>
      <c r="C10" s="570">
        <v>41144</v>
      </c>
      <c r="D10" s="560" t="s">
        <v>353</v>
      </c>
      <c r="E10" s="560" t="s">
        <v>8</v>
      </c>
      <c r="F10" s="499" t="s">
        <v>361</v>
      </c>
      <c r="G10" s="571" t="s">
        <v>362</v>
      </c>
      <c r="H10" s="571" t="s">
        <v>375</v>
      </c>
      <c r="I10" s="571" t="str">
        <f>Table1[[#This Row],[Staff]]</f>
        <v>Nicole</v>
      </c>
      <c r="J10" s="570">
        <f>Table1[[#This Row],[Date]]</f>
        <v>41144</v>
      </c>
      <c r="K10" s="526"/>
      <c r="L10" s="526"/>
    </row>
    <row r="11" spans="1:35" hidden="1">
      <c r="A11" s="569">
        <v>1</v>
      </c>
      <c r="B11" s="37">
        <v>9</v>
      </c>
      <c r="C11" s="570">
        <v>41144</v>
      </c>
      <c r="D11" s="560" t="s">
        <v>353</v>
      </c>
      <c r="E11" s="560" t="s">
        <v>8</v>
      </c>
      <c r="F11" s="499" t="s">
        <v>373</v>
      </c>
      <c r="G11" s="571" t="s">
        <v>371</v>
      </c>
      <c r="H11" s="571" t="s">
        <v>374</v>
      </c>
      <c r="I11" s="571" t="str">
        <f>Table1[[#This Row],[Staff]]</f>
        <v>Nicole</v>
      </c>
      <c r="J11" s="570">
        <f>Table1[[#This Row],[Date]]</f>
        <v>41144</v>
      </c>
      <c r="K11" s="526"/>
      <c r="L11" s="526"/>
    </row>
    <row r="12" spans="1:35" hidden="1">
      <c r="A12" s="569">
        <v>1</v>
      </c>
      <c r="B12" s="37">
        <v>10</v>
      </c>
      <c r="C12" s="570">
        <v>41144</v>
      </c>
      <c r="D12" s="560" t="s">
        <v>353</v>
      </c>
      <c r="E12" s="560" t="s">
        <v>369</v>
      </c>
      <c r="F12" s="499" t="s">
        <v>370</v>
      </c>
      <c r="G12" s="571" t="s">
        <v>371</v>
      </c>
      <c r="H12" s="571" t="s">
        <v>372</v>
      </c>
      <c r="I12" s="571" t="str">
        <f>Table1[[#This Row],[Staff]]</f>
        <v>Nicole</v>
      </c>
      <c r="J12" s="570">
        <f>Table1[[#This Row],[Date]]</f>
        <v>41144</v>
      </c>
      <c r="K12" s="526"/>
      <c r="L12" s="526"/>
    </row>
    <row r="13" spans="1:35" hidden="1">
      <c r="A13" s="569">
        <v>1</v>
      </c>
      <c r="B13" s="37">
        <v>11</v>
      </c>
      <c r="C13" s="570">
        <v>41144</v>
      </c>
      <c r="D13" s="560" t="s">
        <v>353</v>
      </c>
      <c r="E13" s="560" t="s">
        <v>376</v>
      </c>
      <c r="F13" s="499" t="s">
        <v>361</v>
      </c>
      <c r="G13" s="571" t="s">
        <v>362</v>
      </c>
      <c r="H13" s="571" t="s">
        <v>375</v>
      </c>
      <c r="I13" s="571" t="str">
        <f>Table1[[#This Row],[Staff]]</f>
        <v>Nicole</v>
      </c>
      <c r="J13" s="570">
        <f>Table1[[#This Row],[Date]]</f>
        <v>41144</v>
      </c>
      <c r="K13" s="526"/>
      <c r="L13" s="526"/>
    </row>
    <row r="14" spans="1:35" hidden="1">
      <c r="A14" s="569">
        <v>1</v>
      </c>
      <c r="B14" s="37">
        <v>12</v>
      </c>
      <c r="C14" s="570">
        <v>41144</v>
      </c>
      <c r="D14" s="560" t="s">
        <v>353</v>
      </c>
      <c r="E14" s="560" t="s">
        <v>376</v>
      </c>
      <c r="F14" s="499" t="s">
        <v>377</v>
      </c>
      <c r="G14" s="571" t="s">
        <v>371</v>
      </c>
      <c r="H14" s="571" t="s">
        <v>378</v>
      </c>
      <c r="I14" s="571" t="str">
        <f>Table1[[#This Row],[Staff]]</f>
        <v>Nicole</v>
      </c>
      <c r="J14" s="570">
        <f>Table1[[#This Row],[Date]]</f>
        <v>41144</v>
      </c>
      <c r="K14" s="526"/>
      <c r="L14" s="526"/>
    </row>
    <row r="15" spans="1:35" hidden="1">
      <c r="A15" s="569">
        <v>1</v>
      </c>
      <c r="B15" s="37">
        <v>13</v>
      </c>
      <c r="C15" s="570">
        <v>41144</v>
      </c>
      <c r="D15" s="560" t="s">
        <v>353</v>
      </c>
      <c r="E15" s="560" t="s">
        <v>379</v>
      </c>
      <c r="F15" s="499" t="s">
        <v>361</v>
      </c>
      <c r="G15" s="571" t="s">
        <v>362</v>
      </c>
      <c r="H15" s="571" t="s">
        <v>375</v>
      </c>
      <c r="I15" s="571" t="str">
        <f>Table1[[#This Row],[Staff]]</f>
        <v>Nicole</v>
      </c>
      <c r="J15" s="570">
        <f>Table1[[#This Row],[Date]]</f>
        <v>41144</v>
      </c>
      <c r="K15" s="526"/>
      <c r="L15" s="526"/>
    </row>
    <row r="16" spans="1:35" hidden="1">
      <c r="A16" s="569">
        <v>1</v>
      </c>
      <c r="B16" s="37">
        <v>14</v>
      </c>
      <c r="C16" s="570">
        <v>41144</v>
      </c>
      <c r="D16" s="560" t="s">
        <v>353</v>
      </c>
      <c r="E16" s="560" t="s">
        <v>379</v>
      </c>
      <c r="F16" s="499" t="s">
        <v>380</v>
      </c>
      <c r="G16" s="571" t="s">
        <v>371</v>
      </c>
      <c r="H16" s="571" t="s">
        <v>381</v>
      </c>
      <c r="I16" s="571" t="str">
        <f>Table1[[#This Row],[Staff]]</f>
        <v>Nicole</v>
      </c>
      <c r="J16" s="570">
        <f>Table1[[#This Row],[Date]]</f>
        <v>41144</v>
      </c>
      <c r="K16" s="526"/>
      <c r="L16" s="526"/>
    </row>
    <row r="17" spans="1:12" hidden="1">
      <c r="A17" s="569">
        <v>1</v>
      </c>
      <c r="B17" s="37">
        <v>15</v>
      </c>
      <c r="C17" s="570">
        <v>41144</v>
      </c>
      <c r="D17" s="560" t="s">
        <v>353</v>
      </c>
      <c r="E17" s="560" t="s">
        <v>61</v>
      </c>
      <c r="F17" s="499" t="s">
        <v>361</v>
      </c>
      <c r="G17" s="571" t="s">
        <v>362</v>
      </c>
      <c r="H17" s="571" t="s">
        <v>375</v>
      </c>
      <c r="I17" s="571" t="str">
        <f>Table1[[#This Row],[Staff]]</f>
        <v>Nicole</v>
      </c>
      <c r="J17" s="570">
        <f>Table1[[#This Row],[Date]]</f>
        <v>41144</v>
      </c>
      <c r="K17" s="526"/>
      <c r="L17" s="526"/>
    </row>
    <row r="18" spans="1:12" hidden="1">
      <c r="A18" s="569">
        <v>1</v>
      </c>
      <c r="B18" s="37">
        <v>16</v>
      </c>
      <c r="C18" s="570">
        <v>41144</v>
      </c>
      <c r="D18" s="560" t="s">
        <v>353</v>
      </c>
      <c r="E18" s="560" t="s">
        <v>61</v>
      </c>
      <c r="F18" s="499" t="s">
        <v>382</v>
      </c>
      <c r="G18" s="571" t="s">
        <v>371</v>
      </c>
      <c r="H18" s="571" t="s">
        <v>383</v>
      </c>
      <c r="I18" s="571" t="str">
        <f>Table1[[#This Row],[Staff]]</f>
        <v>Nicole</v>
      </c>
      <c r="J18" s="570">
        <f>Table1[[#This Row],[Date]]</f>
        <v>41144</v>
      </c>
      <c r="K18" s="526"/>
      <c r="L18" s="526"/>
    </row>
    <row r="19" spans="1:12" hidden="1">
      <c r="A19" s="569">
        <v>1</v>
      </c>
      <c r="B19" s="37">
        <v>17</v>
      </c>
      <c r="C19" s="570">
        <v>41144</v>
      </c>
      <c r="D19" s="560" t="s">
        <v>353</v>
      </c>
      <c r="E19" s="560" t="s">
        <v>384</v>
      </c>
      <c r="F19" s="499" t="s">
        <v>361</v>
      </c>
      <c r="G19" s="571" t="s">
        <v>362</v>
      </c>
      <c r="H19" s="571" t="s">
        <v>375</v>
      </c>
      <c r="I19" s="571" t="str">
        <f>Table1[[#This Row],[Staff]]</f>
        <v>Nicole</v>
      </c>
      <c r="J19" s="570">
        <f>Table1[[#This Row],[Date]]</f>
        <v>41144</v>
      </c>
      <c r="K19" s="526"/>
      <c r="L19" s="526"/>
    </row>
    <row r="20" spans="1:12" hidden="1">
      <c r="A20" s="569">
        <v>1</v>
      </c>
      <c r="B20" s="37">
        <v>18</v>
      </c>
      <c r="C20" s="570">
        <v>41144</v>
      </c>
      <c r="D20" s="560" t="s">
        <v>353</v>
      </c>
      <c r="E20" s="560" t="s">
        <v>384</v>
      </c>
      <c r="F20" s="499" t="s">
        <v>385</v>
      </c>
      <c r="I20" s="571" t="str">
        <f>Table1[[#This Row],[Staff]]</f>
        <v>Nicole</v>
      </c>
      <c r="J20" s="570">
        <f>Table1[[#This Row],[Date]]</f>
        <v>41144</v>
      </c>
      <c r="K20" s="526"/>
      <c r="L20" s="526"/>
    </row>
    <row r="21" spans="1:12" ht="27.6" hidden="1">
      <c r="A21" s="569">
        <v>1</v>
      </c>
      <c r="B21" s="37">
        <v>19</v>
      </c>
      <c r="C21" s="570">
        <v>41144</v>
      </c>
      <c r="D21" s="560" t="s">
        <v>353</v>
      </c>
      <c r="E21" s="560" t="s">
        <v>386</v>
      </c>
      <c r="F21" s="499" t="s">
        <v>387</v>
      </c>
      <c r="G21" s="571" t="s">
        <v>388</v>
      </c>
      <c r="H21" s="571" t="s">
        <v>389</v>
      </c>
      <c r="I21" s="571" t="str">
        <f>Table1[[#This Row],[Staff]]</f>
        <v>Nicole</v>
      </c>
      <c r="J21" s="570">
        <f>Table1[[#This Row],[Date]]</f>
        <v>41144</v>
      </c>
      <c r="K21" s="526"/>
      <c r="L21" s="526"/>
    </row>
    <row r="22" spans="1:12" hidden="1">
      <c r="A22" s="569">
        <v>1</v>
      </c>
      <c r="B22" s="37">
        <v>20</v>
      </c>
      <c r="C22" s="570">
        <v>41144</v>
      </c>
      <c r="D22" s="560" t="s">
        <v>353</v>
      </c>
      <c r="E22" s="560" t="s">
        <v>386</v>
      </c>
      <c r="F22" s="499" t="s">
        <v>361</v>
      </c>
      <c r="G22" s="571" t="s">
        <v>362</v>
      </c>
      <c r="H22" s="571" t="s">
        <v>375</v>
      </c>
      <c r="I22" s="571" t="str">
        <f>Table1[[#This Row],[Staff]]</f>
        <v>Nicole</v>
      </c>
      <c r="J22" s="570">
        <f>Table1[[#This Row],[Date]]</f>
        <v>41144</v>
      </c>
      <c r="K22" s="526"/>
      <c r="L22" s="526"/>
    </row>
    <row r="23" spans="1:12" hidden="1">
      <c r="A23" s="569">
        <v>1</v>
      </c>
      <c r="B23" s="37">
        <v>21</v>
      </c>
      <c r="C23" s="570">
        <v>41144</v>
      </c>
      <c r="D23" s="560" t="s">
        <v>353</v>
      </c>
      <c r="E23" s="560" t="s">
        <v>386</v>
      </c>
      <c r="F23" s="499" t="s">
        <v>385</v>
      </c>
      <c r="G23" s="571" t="s">
        <v>371</v>
      </c>
      <c r="H23" s="571" t="s">
        <v>390</v>
      </c>
      <c r="I23" s="571" t="str">
        <f>Table1[[#This Row],[Staff]]</f>
        <v>Nicole</v>
      </c>
      <c r="J23" s="570">
        <f>Table1[[#This Row],[Date]]</f>
        <v>41144</v>
      </c>
      <c r="K23" s="526"/>
      <c r="L23" s="526"/>
    </row>
    <row r="24" spans="1:12" ht="27.6" hidden="1">
      <c r="A24" s="569">
        <v>1</v>
      </c>
      <c r="B24" s="37">
        <v>22</v>
      </c>
      <c r="C24" s="570">
        <v>41144</v>
      </c>
      <c r="D24" s="560" t="s">
        <v>353</v>
      </c>
      <c r="E24" s="560" t="s">
        <v>392</v>
      </c>
      <c r="F24" s="499" t="s">
        <v>391</v>
      </c>
      <c r="G24" s="571" t="s">
        <v>393</v>
      </c>
      <c r="H24" s="571" t="s">
        <v>394</v>
      </c>
      <c r="I24" s="571" t="str">
        <f>Table1[[#This Row],[Staff]]</f>
        <v>Nicole</v>
      </c>
      <c r="J24" s="570">
        <f>Table1[[#This Row],[Date]]</f>
        <v>41144</v>
      </c>
      <c r="K24" s="526"/>
      <c r="L24" s="526"/>
    </row>
    <row r="25" spans="1:12" hidden="1">
      <c r="A25" s="569">
        <v>1</v>
      </c>
      <c r="B25" s="37">
        <v>23</v>
      </c>
      <c r="C25" s="570">
        <v>41144</v>
      </c>
      <c r="D25" s="560" t="s">
        <v>353</v>
      </c>
      <c r="E25" s="560" t="s">
        <v>392</v>
      </c>
      <c r="F25" s="499" t="s">
        <v>361</v>
      </c>
      <c r="G25" s="571" t="s">
        <v>362</v>
      </c>
      <c r="H25" s="571" t="s">
        <v>375</v>
      </c>
      <c r="I25" s="571" t="str">
        <f>Table1[[#This Row],[Staff]]</f>
        <v>Nicole</v>
      </c>
      <c r="J25" s="570">
        <f>Table1[[#This Row],[Date]]</f>
        <v>41144</v>
      </c>
      <c r="K25" s="526"/>
      <c r="L25" s="526"/>
    </row>
    <row r="26" spans="1:12" ht="27.6" hidden="1">
      <c r="A26" s="569">
        <v>1</v>
      </c>
      <c r="B26" s="37">
        <v>24</v>
      </c>
      <c r="C26" s="570">
        <v>41144</v>
      </c>
      <c r="D26" s="560" t="s">
        <v>353</v>
      </c>
      <c r="E26" s="560" t="s">
        <v>392</v>
      </c>
      <c r="F26" s="499" t="s">
        <v>396</v>
      </c>
      <c r="G26" s="571" t="s">
        <v>371</v>
      </c>
      <c r="H26" s="571" t="s">
        <v>395</v>
      </c>
      <c r="I26" s="571" t="str">
        <f>Table1[[#This Row],[Staff]]</f>
        <v>Nicole</v>
      </c>
      <c r="J26" s="570">
        <f>Table1[[#This Row],[Date]]</f>
        <v>41144</v>
      </c>
      <c r="K26" s="526"/>
      <c r="L26" s="526"/>
    </row>
    <row r="27" spans="1:12" hidden="1">
      <c r="A27" s="569">
        <v>1</v>
      </c>
      <c r="B27" s="37">
        <v>25</v>
      </c>
      <c r="C27" s="570">
        <v>41144</v>
      </c>
      <c r="D27" s="560" t="s">
        <v>353</v>
      </c>
      <c r="E27" s="560" t="s">
        <v>397</v>
      </c>
      <c r="F27" s="499" t="s">
        <v>361</v>
      </c>
      <c r="G27" s="571" t="s">
        <v>362</v>
      </c>
      <c r="H27" s="571" t="s">
        <v>375</v>
      </c>
      <c r="I27" s="571" t="str">
        <f>Table1[[#This Row],[Staff]]</f>
        <v>Nicole</v>
      </c>
      <c r="J27" s="570">
        <f>Table1[[#This Row],[Date]]</f>
        <v>41144</v>
      </c>
      <c r="K27" s="526"/>
      <c r="L27" s="526"/>
    </row>
    <row r="28" spans="1:12" ht="27.6" hidden="1">
      <c r="A28" s="569">
        <v>1</v>
      </c>
      <c r="B28" s="37">
        <v>26</v>
      </c>
      <c r="C28" s="570">
        <v>41144</v>
      </c>
      <c r="D28" s="560" t="s">
        <v>353</v>
      </c>
      <c r="E28" s="560" t="s">
        <v>397</v>
      </c>
      <c r="F28" s="499" t="s">
        <v>385</v>
      </c>
      <c r="G28" s="571" t="s">
        <v>371</v>
      </c>
      <c r="H28" s="571" t="s">
        <v>398</v>
      </c>
      <c r="I28" s="571" t="str">
        <f>Table1[[#This Row],[Staff]]</f>
        <v>Nicole</v>
      </c>
      <c r="J28" s="570">
        <f>Table1[[#This Row],[Date]]</f>
        <v>41144</v>
      </c>
      <c r="K28" s="526"/>
      <c r="L28" s="526"/>
    </row>
    <row r="29" spans="1:12" hidden="1">
      <c r="A29" s="569">
        <v>1</v>
      </c>
      <c r="B29" s="37">
        <v>27</v>
      </c>
      <c r="C29" s="570">
        <v>41144</v>
      </c>
      <c r="D29" s="560" t="s">
        <v>353</v>
      </c>
      <c r="E29" s="560" t="s">
        <v>400</v>
      </c>
      <c r="F29" s="499" t="s">
        <v>361</v>
      </c>
      <c r="G29" s="571" t="s">
        <v>362</v>
      </c>
      <c r="H29" s="571" t="s">
        <v>375</v>
      </c>
      <c r="I29" s="571" t="str">
        <f>Table1[[#This Row],[Staff]]</f>
        <v>Nicole</v>
      </c>
      <c r="J29" s="570">
        <f>Table1[[#This Row],[Date]]</f>
        <v>41144</v>
      </c>
      <c r="K29" s="526"/>
      <c r="L29" s="526"/>
    </row>
    <row r="30" spans="1:12" ht="27.6" hidden="1">
      <c r="A30" s="569">
        <v>1</v>
      </c>
      <c r="B30" s="37">
        <v>28</v>
      </c>
      <c r="C30" s="570">
        <v>41144</v>
      </c>
      <c r="D30" s="560" t="s">
        <v>353</v>
      </c>
      <c r="E30" s="560" t="s">
        <v>400</v>
      </c>
      <c r="F30" s="499" t="s">
        <v>399</v>
      </c>
      <c r="G30" s="571" t="s">
        <v>371</v>
      </c>
      <c r="H30" s="571" t="s">
        <v>401</v>
      </c>
      <c r="I30" s="571" t="str">
        <f>Table1[[#This Row],[Staff]]</f>
        <v>Nicole</v>
      </c>
      <c r="J30" s="570">
        <f>Table1[[#This Row],[Date]]</f>
        <v>41144</v>
      </c>
      <c r="K30" s="526"/>
      <c r="L30" s="526"/>
    </row>
    <row r="31" spans="1:12" hidden="1">
      <c r="A31" s="569">
        <v>1</v>
      </c>
      <c r="B31" s="37">
        <v>29</v>
      </c>
      <c r="C31" s="570">
        <v>41144</v>
      </c>
      <c r="D31" s="560" t="s">
        <v>353</v>
      </c>
      <c r="E31" s="560" t="s">
        <v>77</v>
      </c>
      <c r="F31" s="499" t="s">
        <v>361</v>
      </c>
      <c r="G31" s="571" t="s">
        <v>362</v>
      </c>
      <c r="H31" s="571" t="s">
        <v>375</v>
      </c>
      <c r="I31" s="571" t="str">
        <f>Table1[[#This Row],[Staff]]</f>
        <v>Nicole</v>
      </c>
      <c r="J31" s="570">
        <f>Table1[[#This Row],[Date]]</f>
        <v>41144</v>
      </c>
      <c r="K31" s="526"/>
      <c r="L31" s="526"/>
    </row>
    <row r="32" spans="1:12" ht="27.6" hidden="1">
      <c r="A32" s="569">
        <v>1</v>
      </c>
      <c r="B32" s="37">
        <v>30</v>
      </c>
      <c r="C32" s="570">
        <v>41144</v>
      </c>
      <c r="D32" s="560" t="s">
        <v>353</v>
      </c>
      <c r="E32" s="560" t="s">
        <v>77</v>
      </c>
      <c r="F32" s="499" t="s">
        <v>402</v>
      </c>
      <c r="G32" s="571" t="s">
        <v>371</v>
      </c>
      <c r="H32" s="571" t="s">
        <v>403</v>
      </c>
      <c r="I32" s="571" t="str">
        <f>Table1[[#This Row],[Staff]]</f>
        <v>Nicole</v>
      </c>
      <c r="J32" s="570">
        <f>Table1[[#This Row],[Date]]</f>
        <v>41144</v>
      </c>
      <c r="K32" s="526"/>
      <c r="L32" s="526"/>
    </row>
    <row r="33" spans="1:12" hidden="1">
      <c r="A33" s="569">
        <v>1</v>
      </c>
      <c r="B33" s="37">
        <v>31</v>
      </c>
      <c r="C33" s="570">
        <v>41144</v>
      </c>
      <c r="D33" s="560" t="s">
        <v>353</v>
      </c>
      <c r="E33" s="560" t="s">
        <v>86</v>
      </c>
      <c r="F33" s="499" t="s">
        <v>361</v>
      </c>
      <c r="G33" s="571" t="s">
        <v>362</v>
      </c>
      <c r="H33" s="571" t="s">
        <v>375</v>
      </c>
      <c r="I33" s="571" t="str">
        <f>Table1[[#This Row],[Staff]]</f>
        <v>Nicole</v>
      </c>
      <c r="J33" s="570">
        <f>Table1[[#This Row],[Date]]</f>
        <v>41144</v>
      </c>
      <c r="K33" s="526"/>
      <c r="L33" s="526"/>
    </row>
    <row r="34" spans="1:12" ht="27.6" hidden="1">
      <c r="A34" s="569">
        <v>1</v>
      </c>
      <c r="B34" s="37">
        <v>32</v>
      </c>
      <c r="C34" s="570">
        <v>41144</v>
      </c>
      <c r="D34" s="560" t="s">
        <v>353</v>
      </c>
      <c r="E34" s="560" t="s">
        <v>86</v>
      </c>
      <c r="F34" s="499" t="s">
        <v>408</v>
      </c>
      <c r="G34" s="571" t="s">
        <v>371</v>
      </c>
      <c r="H34" s="571" t="s">
        <v>405</v>
      </c>
      <c r="I34" s="571" t="str">
        <f>Table1[[#This Row],[Staff]]</f>
        <v>Nicole</v>
      </c>
      <c r="J34" s="570">
        <f>Table1[[#This Row],[Date]]</f>
        <v>41144</v>
      </c>
      <c r="K34" s="526"/>
      <c r="L34" s="526"/>
    </row>
    <row r="35" spans="1:12" hidden="1">
      <c r="A35" s="569">
        <v>1</v>
      </c>
      <c r="B35" s="37">
        <v>33</v>
      </c>
      <c r="C35" s="570">
        <v>41144</v>
      </c>
      <c r="D35" s="560" t="s">
        <v>353</v>
      </c>
      <c r="E35" s="560" t="s">
        <v>404</v>
      </c>
      <c r="F35" s="499" t="s">
        <v>361</v>
      </c>
      <c r="G35" s="571" t="s">
        <v>362</v>
      </c>
      <c r="H35" s="571" t="s">
        <v>375</v>
      </c>
      <c r="I35" s="571" t="str">
        <f>Table1[[#This Row],[Staff]]</f>
        <v>Nicole</v>
      </c>
      <c r="J35" s="570">
        <f>Table1[[#This Row],[Date]]</f>
        <v>41144</v>
      </c>
      <c r="K35" s="526"/>
      <c r="L35" s="526"/>
    </row>
    <row r="36" spans="1:12" ht="27.6" hidden="1">
      <c r="A36" s="569">
        <v>1</v>
      </c>
      <c r="B36" s="37">
        <v>34</v>
      </c>
      <c r="C36" s="570">
        <v>41144</v>
      </c>
      <c r="D36" s="560" t="s">
        <v>353</v>
      </c>
      <c r="E36" s="560" t="s">
        <v>404</v>
      </c>
      <c r="F36" s="499" t="s">
        <v>407</v>
      </c>
      <c r="G36" s="571" t="s">
        <v>371</v>
      </c>
      <c r="H36" s="571" t="s">
        <v>406</v>
      </c>
      <c r="I36" s="571" t="str">
        <f>Table1[[#This Row],[Staff]]</f>
        <v>Nicole</v>
      </c>
      <c r="J36" s="570">
        <f>Table1[[#This Row],[Date]]</f>
        <v>41144</v>
      </c>
      <c r="K36" s="526"/>
      <c r="L36" s="526"/>
    </row>
    <row r="37" spans="1:12" ht="27.6" hidden="1">
      <c r="A37" s="569">
        <v>1</v>
      </c>
      <c r="B37" s="37">
        <v>35</v>
      </c>
      <c r="C37" s="570">
        <v>41145</v>
      </c>
      <c r="D37" s="561" t="s">
        <v>353</v>
      </c>
      <c r="E37" s="561" t="s">
        <v>360</v>
      </c>
      <c r="F37" s="499" t="s">
        <v>409</v>
      </c>
      <c r="G37" s="571" t="s">
        <v>410</v>
      </c>
      <c r="H37" s="571" t="s">
        <v>411</v>
      </c>
      <c r="I37" s="571" t="str">
        <f>Table1[[#This Row],[Staff]]</f>
        <v>Nicole</v>
      </c>
      <c r="J37" s="570">
        <f>Table1[[#This Row],[Date]]</f>
        <v>41145</v>
      </c>
      <c r="K37" s="526"/>
      <c r="L37" s="526"/>
    </row>
    <row r="38" spans="1:12" ht="27.6" hidden="1">
      <c r="A38" s="569">
        <v>1</v>
      </c>
      <c r="B38" s="37">
        <v>36</v>
      </c>
      <c r="C38" s="570">
        <v>41145</v>
      </c>
      <c r="D38" s="561" t="s">
        <v>353</v>
      </c>
      <c r="E38" s="561" t="s">
        <v>360</v>
      </c>
      <c r="F38" s="499" t="s">
        <v>412</v>
      </c>
      <c r="G38" s="571" t="s">
        <v>413</v>
      </c>
      <c r="H38" s="577" t="s">
        <v>463</v>
      </c>
      <c r="I38" s="577" t="s">
        <v>462</v>
      </c>
      <c r="J38" s="570">
        <v>41148</v>
      </c>
      <c r="K38" s="526"/>
      <c r="L38" s="526"/>
    </row>
    <row r="39" spans="1:12" ht="41.4" hidden="1">
      <c r="A39" s="569">
        <v>1</v>
      </c>
      <c r="B39" s="37">
        <v>37</v>
      </c>
      <c r="C39" s="570">
        <v>41145</v>
      </c>
      <c r="D39" s="561" t="s">
        <v>353</v>
      </c>
      <c r="E39" s="561" t="s">
        <v>360</v>
      </c>
      <c r="F39" s="499" t="s">
        <v>414</v>
      </c>
      <c r="G39" s="571" t="s">
        <v>415</v>
      </c>
      <c r="H39" s="571" t="s">
        <v>423</v>
      </c>
      <c r="I39" s="571" t="str">
        <f>Table1[[#This Row],[Staff]]</f>
        <v>Nicole</v>
      </c>
      <c r="J39" s="570">
        <f>Table1[[#This Row],[Date]]</f>
        <v>41145</v>
      </c>
      <c r="K39" s="526"/>
      <c r="L39" s="526"/>
    </row>
    <row r="40" spans="1:12" hidden="1">
      <c r="A40" s="569">
        <v>1</v>
      </c>
      <c r="B40" s="37">
        <v>38</v>
      </c>
      <c r="C40" s="570">
        <v>41145</v>
      </c>
      <c r="D40" s="561" t="s">
        <v>353</v>
      </c>
      <c r="E40" s="561" t="s">
        <v>369</v>
      </c>
      <c r="F40" s="499" t="s">
        <v>416</v>
      </c>
      <c r="G40" s="571" t="s">
        <v>415</v>
      </c>
      <c r="H40" s="571" t="s">
        <v>422</v>
      </c>
      <c r="I40" s="571" t="str">
        <f>Table1[[#This Row],[Staff]]</f>
        <v>Nicole</v>
      </c>
      <c r="J40" s="570">
        <f>Table1[[#This Row],[Date]]</f>
        <v>41145</v>
      </c>
      <c r="K40" s="526"/>
      <c r="L40" s="526"/>
    </row>
    <row r="41" spans="1:12" hidden="1">
      <c r="A41" s="569">
        <v>1</v>
      </c>
      <c r="B41" s="37">
        <v>39</v>
      </c>
      <c r="C41" s="570">
        <v>41145</v>
      </c>
      <c r="D41" s="561" t="s">
        <v>353</v>
      </c>
      <c r="E41" s="561" t="s">
        <v>369</v>
      </c>
      <c r="F41" s="499" t="s">
        <v>417</v>
      </c>
      <c r="G41" s="571" t="s">
        <v>415</v>
      </c>
      <c r="H41" s="571" t="s">
        <v>422</v>
      </c>
      <c r="I41" s="571" t="str">
        <f>Table1[[#This Row],[Staff]]</f>
        <v>Nicole</v>
      </c>
      <c r="J41" s="570">
        <f>Table1[[#This Row],[Date]]</f>
        <v>41145</v>
      </c>
      <c r="K41" s="526"/>
      <c r="L41" s="526"/>
    </row>
    <row r="42" spans="1:12" hidden="1">
      <c r="A42" s="569">
        <v>1</v>
      </c>
      <c r="B42" s="37">
        <v>40</v>
      </c>
      <c r="C42" s="570">
        <v>41145</v>
      </c>
      <c r="D42" s="561" t="s">
        <v>353</v>
      </c>
      <c r="E42" s="561" t="s">
        <v>369</v>
      </c>
      <c r="F42" s="499" t="s">
        <v>418</v>
      </c>
      <c r="G42" s="571" t="s">
        <v>415</v>
      </c>
      <c r="H42" s="571" t="s">
        <v>422</v>
      </c>
      <c r="I42" s="571" t="str">
        <f>Table1[[#This Row],[Staff]]</f>
        <v>Nicole</v>
      </c>
      <c r="J42" s="570">
        <f>Table1[[#This Row],[Date]]</f>
        <v>41145</v>
      </c>
      <c r="K42" s="526"/>
      <c r="L42" s="526"/>
    </row>
    <row r="43" spans="1:12" hidden="1">
      <c r="A43" s="569">
        <v>1</v>
      </c>
      <c r="B43" s="37">
        <v>41</v>
      </c>
      <c r="C43" s="570">
        <v>41145</v>
      </c>
      <c r="D43" s="561" t="s">
        <v>353</v>
      </c>
      <c r="E43" s="561" t="s">
        <v>369</v>
      </c>
      <c r="F43" s="499" t="s">
        <v>419</v>
      </c>
      <c r="G43" s="571" t="s">
        <v>415</v>
      </c>
      <c r="H43" s="571" t="s">
        <v>422</v>
      </c>
      <c r="I43" s="571" t="str">
        <f>Table1[[#This Row],[Staff]]</f>
        <v>Nicole</v>
      </c>
      <c r="J43" s="570">
        <f>Table1[[#This Row],[Date]]</f>
        <v>41145</v>
      </c>
      <c r="K43" s="526"/>
      <c r="L43" s="526"/>
    </row>
    <row r="44" spans="1:12" hidden="1">
      <c r="A44" s="569">
        <v>1</v>
      </c>
      <c r="B44" s="37">
        <v>42</v>
      </c>
      <c r="C44" s="570">
        <v>41145</v>
      </c>
      <c r="D44" s="561" t="s">
        <v>353</v>
      </c>
      <c r="E44" s="561" t="s">
        <v>369</v>
      </c>
      <c r="F44" s="499" t="s">
        <v>420</v>
      </c>
      <c r="G44" s="571" t="s">
        <v>415</v>
      </c>
      <c r="H44" s="571" t="s">
        <v>422</v>
      </c>
      <c r="I44" s="571" t="str">
        <f>Table1[[#This Row],[Staff]]</f>
        <v>Nicole</v>
      </c>
      <c r="J44" s="570">
        <f>Table1[[#This Row],[Date]]</f>
        <v>41145</v>
      </c>
      <c r="K44" s="526"/>
      <c r="L44" s="526"/>
    </row>
    <row r="45" spans="1:12" hidden="1">
      <c r="A45" s="569">
        <v>1</v>
      </c>
      <c r="B45" s="37">
        <v>43</v>
      </c>
      <c r="C45" s="570">
        <v>41145</v>
      </c>
      <c r="D45" s="561" t="s">
        <v>353</v>
      </c>
      <c r="E45" s="561" t="s">
        <v>369</v>
      </c>
      <c r="F45" s="499" t="s">
        <v>421</v>
      </c>
      <c r="G45" s="571" t="s">
        <v>415</v>
      </c>
      <c r="H45" s="571" t="s">
        <v>422</v>
      </c>
      <c r="I45" s="571" t="str">
        <f>Table1[[#This Row],[Staff]]</f>
        <v>Nicole</v>
      </c>
      <c r="J45" s="570">
        <f>Table1[[#This Row],[Date]]</f>
        <v>41145</v>
      </c>
      <c r="K45" s="526"/>
      <c r="L45" s="526"/>
    </row>
    <row r="46" spans="1:12" hidden="1">
      <c r="A46" s="569">
        <v>1</v>
      </c>
      <c r="B46" s="37">
        <v>44</v>
      </c>
      <c r="C46" s="570">
        <v>41145</v>
      </c>
      <c r="D46" s="561" t="s">
        <v>353</v>
      </c>
      <c r="E46" s="561" t="s">
        <v>8</v>
      </c>
      <c r="F46" s="499" t="s">
        <v>424</v>
      </c>
      <c r="G46" s="571" t="s">
        <v>415</v>
      </c>
      <c r="H46" s="571" t="s">
        <v>422</v>
      </c>
      <c r="I46" s="571" t="str">
        <f>Table1[[#This Row],[Staff]]</f>
        <v>Nicole</v>
      </c>
      <c r="J46" s="570">
        <f>Table1[[#This Row],[Date]]</f>
        <v>41145</v>
      </c>
      <c r="K46" s="526"/>
      <c r="L46" s="526"/>
    </row>
    <row r="47" spans="1:12" hidden="1">
      <c r="A47" s="569">
        <v>1</v>
      </c>
      <c r="B47" s="37">
        <v>45</v>
      </c>
      <c r="C47" s="570">
        <v>41145</v>
      </c>
      <c r="D47" s="561" t="s">
        <v>353</v>
      </c>
      <c r="E47" s="561" t="s">
        <v>8</v>
      </c>
      <c r="F47" s="499" t="s">
        <v>417</v>
      </c>
      <c r="G47" s="571" t="s">
        <v>415</v>
      </c>
      <c r="H47" s="571" t="s">
        <v>422</v>
      </c>
      <c r="I47" s="571" t="str">
        <f>Table1[[#This Row],[Staff]]</f>
        <v>Nicole</v>
      </c>
      <c r="J47" s="570">
        <f>Table1[[#This Row],[Date]]</f>
        <v>41145</v>
      </c>
      <c r="K47" s="526"/>
      <c r="L47" s="526"/>
    </row>
    <row r="48" spans="1:12" hidden="1">
      <c r="A48" s="569">
        <v>1</v>
      </c>
      <c r="B48" s="37">
        <v>46</v>
      </c>
      <c r="C48" s="570">
        <v>41145</v>
      </c>
      <c r="D48" s="561" t="s">
        <v>353</v>
      </c>
      <c r="E48" s="561" t="s">
        <v>8</v>
      </c>
      <c r="F48" s="499" t="s">
        <v>418</v>
      </c>
      <c r="G48" s="571" t="s">
        <v>415</v>
      </c>
      <c r="H48" s="571" t="s">
        <v>422</v>
      </c>
      <c r="I48" s="571" t="str">
        <f>Table1[[#This Row],[Staff]]</f>
        <v>Nicole</v>
      </c>
      <c r="J48" s="570">
        <f>Table1[[#This Row],[Date]]</f>
        <v>41145</v>
      </c>
      <c r="K48" s="526"/>
      <c r="L48" s="526"/>
    </row>
    <row r="49" spans="1:12" hidden="1">
      <c r="A49" s="569">
        <v>1</v>
      </c>
      <c r="B49" s="37">
        <v>47</v>
      </c>
      <c r="C49" s="570">
        <v>41145</v>
      </c>
      <c r="D49" s="561" t="s">
        <v>353</v>
      </c>
      <c r="E49" s="561" t="s">
        <v>8</v>
      </c>
      <c r="F49" s="499" t="s">
        <v>419</v>
      </c>
      <c r="G49" s="571" t="s">
        <v>415</v>
      </c>
      <c r="H49" s="571" t="s">
        <v>422</v>
      </c>
      <c r="I49" s="571" t="str">
        <f>Table1[[#This Row],[Staff]]</f>
        <v>Nicole</v>
      </c>
      <c r="J49" s="570">
        <f>Table1[[#This Row],[Date]]</f>
        <v>41145</v>
      </c>
      <c r="K49" s="526"/>
      <c r="L49" s="526"/>
    </row>
    <row r="50" spans="1:12" hidden="1">
      <c r="A50" s="569">
        <v>1</v>
      </c>
      <c r="B50" s="37">
        <v>48</v>
      </c>
      <c r="C50" s="570">
        <v>41145</v>
      </c>
      <c r="D50" s="561" t="s">
        <v>353</v>
      </c>
      <c r="E50" s="561" t="s">
        <v>8</v>
      </c>
      <c r="F50" s="499" t="s">
        <v>416</v>
      </c>
      <c r="G50" s="571" t="s">
        <v>415</v>
      </c>
      <c r="H50" s="571" t="s">
        <v>422</v>
      </c>
      <c r="I50" s="571" t="str">
        <f>Table1[[#This Row],[Staff]]</f>
        <v>Nicole</v>
      </c>
      <c r="J50" s="570">
        <f>Table1[[#This Row],[Date]]</f>
        <v>41145</v>
      </c>
      <c r="K50" s="526"/>
      <c r="L50" s="526"/>
    </row>
    <row r="51" spans="1:12" ht="27.6" hidden="1">
      <c r="A51" s="569">
        <v>1</v>
      </c>
      <c r="B51" s="37">
        <v>49</v>
      </c>
      <c r="C51" s="570">
        <v>41145</v>
      </c>
      <c r="D51" s="561" t="s">
        <v>353</v>
      </c>
      <c r="E51" s="561" t="s">
        <v>8</v>
      </c>
      <c r="F51" s="499" t="s">
        <v>426</v>
      </c>
      <c r="G51" s="571" t="s">
        <v>428</v>
      </c>
      <c r="H51" s="571" t="s">
        <v>429</v>
      </c>
      <c r="I51" s="571" t="str">
        <f>Table1[[#This Row],[Staff]]</f>
        <v>Nicole</v>
      </c>
      <c r="J51" s="570">
        <f>Table1[[#This Row],[Date]]</f>
        <v>41145</v>
      </c>
      <c r="K51" s="526"/>
      <c r="L51" s="526"/>
    </row>
    <row r="52" spans="1:12" ht="27.6" hidden="1">
      <c r="A52" s="569">
        <v>1</v>
      </c>
      <c r="B52" s="37">
        <v>50</v>
      </c>
      <c r="C52" s="570">
        <v>41145</v>
      </c>
      <c r="D52" s="561" t="s">
        <v>353</v>
      </c>
      <c r="E52" s="561" t="s">
        <v>8</v>
      </c>
      <c r="F52" s="499" t="s">
        <v>427</v>
      </c>
      <c r="G52" s="571" t="s">
        <v>428</v>
      </c>
      <c r="H52" s="571" t="s">
        <v>430</v>
      </c>
      <c r="I52" s="571" t="str">
        <f>Table1[[#This Row],[Staff]]</f>
        <v>Nicole</v>
      </c>
      <c r="J52" s="570">
        <f>Table1[[#This Row],[Date]]</f>
        <v>41145</v>
      </c>
      <c r="K52" s="526"/>
      <c r="L52" s="526"/>
    </row>
    <row r="53" spans="1:12" hidden="1">
      <c r="A53" s="569">
        <v>1</v>
      </c>
      <c r="B53" s="37">
        <v>51</v>
      </c>
      <c r="C53" s="570">
        <v>41145</v>
      </c>
      <c r="D53" s="561" t="s">
        <v>353</v>
      </c>
      <c r="E53" s="561" t="s">
        <v>376</v>
      </c>
      <c r="F53" s="499" t="s">
        <v>431</v>
      </c>
      <c r="G53" s="571" t="s">
        <v>415</v>
      </c>
      <c r="H53" s="571" t="s">
        <v>422</v>
      </c>
      <c r="I53" s="571" t="str">
        <f>Table1[[#This Row],[Staff]]</f>
        <v>Nicole</v>
      </c>
      <c r="J53" s="570">
        <f>Table1[[#This Row],[Date]]</f>
        <v>41145</v>
      </c>
      <c r="K53" s="526"/>
      <c r="L53" s="526"/>
    </row>
    <row r="54" spans="1:12" hidden="1">
      <c r="A54" s="569">
        <v>1</v>
      </c>
      <c r="B54" s="37">
        <v>52</v>
      </c>
      <c r="C54" s="570">
        <v>41145</v>
      </c>
      <c r="D54" s="561" t="s">
        <v>353</v>
      </c>
      <c r="E54" s="561" t="s">
        <v>376</v>
      </c>
      <c r="F54" s="499" t="s">
        <v>432</v>
      </c>
      <c r="G54" s="571" t="s">
        <v>415</v>
      </c>
      <c r="H54" s="571" t="s">
        <v>422</v>
      </c>
      <c r="I54" s="571" t="str">
        <f>Table1[[#This Row],[Staff]]</f>
        <v>Nicole</v>
      </c>
      <c r="J54" s="570">
        <f>Table1[[#This Row],[Date]]</f>
        <v>41145</v>
      </c>
      <c r="K54" s="526"/>
      <c r="L54" s="526"/>
    </row>
    <row r="55" spans="1:12" hidden="1">
      <c r="A55" s="569">
        <v>1</v>
      </c>
      <c r="B55" s="37">
        <v>53</v>
      </c>
      <c r="C55" s="570">
        <v>41145</v>
      </c>
      <c r="D55" s="561" t="s">
        <v>353</v>
      </c>
      <c r="E55" s="561" t="s">
        <v>376</v>
      </c>
      <c r="F55" s="499" t="s">
        <v>433</v>
      </c>
      <c r="G55" s="571" t="s">
        <v>415</v>
      </c>
      <c r="H55" s="571" t="s">
        <v>422</v>
      </c>
      <c r="I55" s="571" t="str">
        <f>Table1[[#This Row],[Staff]]</f>
        <v>Nicole</v>
      </c>
      <c r="J55" s="570">
        <f>Table1[[#This Row],[Date]]</f>
        <v>41145</v>
      </c>
      <c r="K55" s="526"/>
      <c r="L55" s="526"/>
    </row>
    <row r="56" spans="1:12" hidden="1">
      <c r="A56" s="569">
        <v>1</v>
      </c>
      <c r="B56" s="37">
        <v>54</v>
      </c>
      <c r="C56" s="570">
        <v>41145</v>
      </c>
      <c r="D56" s="561" t="s">
        <v>353</v>
      </c>
      <c r="E56" s="561" t="s">
        <v>376</v>
      </c>
      <c r="F56" s="499" t="s">
        <v>434</v>
      </c>
      <c r="G56" s="571" t="s">
        <v>415</v>
      </c>
      <c r="H56" s="571" t="s">
        <v>422</v>
      </c>
      <c r="I56" s="571" t="str">
        <f>Table1[[#This Row],[Staff]]</f>
        <v>Nicole</v>
      </c>
      <c r="J56" s="570">
        <f>Table1[[#This Row],[Date]]</f>
        <v>41145</v>
      </c>
      <c r="K56" s="526"/>
      <c r="L56" s="526"/>
    </row>
    <row r="57" spans="1:12" hidden="1">
      <c r="A57" s="569">
        <v>1</v>
      </c>
      <c r="B57" s="37">
        <v>55</v>
      </c>
      <c r="C57" s="570">
        <v>41145</v>
      </c>
      <c r="D57" s="561" t="s">
        <v>353</v>
      </c>
      <c r="E57" s="561" t="s">
        <v>376</v>
      </c>
      <c r="F57" s="499" t="s">
        <v>435</v>
      </c>
      <c r="G57" s="571" t="s">
        <v>415</v>
      </c>
      <c r="H57" s="571" t="s">
        <v>422</v>
      </c>
      <c r="I57" s="571" t="str">
        <f>Table1[[#This Row],[Staff]]</f>
        <v>Nicole</v>
      </c>
      <c r="J57" s="570">
        <f>Table1[[#This Row],[Date]]</f>
        <v>41145</v>
      </c>
      <c r="K57" s="526"/>
      <c r="L57" s="526"/>
    </row>
    <row r="58" spans="1:12" hidden="1">
      <c r="A58" s="569">
        <v>1</v>
      </c>
      <c r="B58" s="37">
        <v>56</v>
      </c>
      <c r="C58" s="570">
        <v>41145</v>
      </c>
      <c r="D58" s="561" t="s">
        <v>353</v>
      </c>
      <c r="E58" s="561" t="s">
        <v>376</v>
      </c>
      <c r="F58" s="499" t="s">
        <v>436</v>
      </c>
      <c r="G58" s="571" t="s">
        <v>415</v>
      </c>
      <c r="H58" s="571" t="s">
        <v>422</v>
      </c>
      <c r="I58" s="571" t="str">
        <f>Table1[[#This Row],[Staff]]</f>
        <v>Nicole</v>
      </c>
      <c r="J58" s="570">
        <f>Table1[[#This Row],[Date]]</f>
        <v>41145</v>
      </c>
      <c r="K58" s="526"/>
      <c r="L58" s="526"/>
    </row>
    <row r="59" spans="1:12" hidden="1">
      <c r="A59" s="569">
        <v>1</v>
      </c>
      <c r="B59" s="37">
        <v>57</v>
      </c>
      <c r="C59" s="570">
        <v>41145</v>
      </c>
      <c r="D59" s="561" t="s">
        <v>353</v>
      </c>
      <c r="E59" s="561" t="s">
        <v>376</v>
      </c>
      <c r="F59" s="499" t="s">
        <v>437</v>
      </c>
      <c r="G59" s="571" t="s">
        <v>415</v>
      </c>
      <c r="H59" s="571" t="s">
        <v>422</v>
      </c>
      <c r="I59" s="571" t="str">
        <f>Table1[[#This Row],[Staff]]</f>
        <v>Nicole</v>
      </c>
      <c r="J59" s="570">
        <f>Table1[[#This Row],[Date]]</f>
        <v>41145</v>
      </c>
      <c r="K59" s="526"/>
      <c r="L59" s="526"/>
    </row>
    <row r="60" spans="1:12" hidden="1">
      <c r="A60" s="569">
        <v>1</v>
      </c>
      <c r="B60" s="37">
        <v>58</v>
      </c>
      <c r="C60" s="570">
        <v>41145</v>
      </c>
      <c r="D60" s="561" t="s">
        <v>353</v>
      </c>
      <c r="E60" s="561" t="s">
        <v>376</v>
      </c>
      <c r="F60" s="499" t="s">
        <v>438</v>
      </c>
      <c r="G60" s="571" t="s">
        <v>415</v>
      </c>
      <c r="H60" s="571" t="s">
        <v>422</v>
      </c>
      <c r="I60" s="571" t="str">
        <f>Table1[[#This Row],[Staff]]</f>
        <v>Nicole</v>
      </c>
      <c r="J60" s="570">
        <f>Table1[[#This Row],[Date]]</f>
        <v>41145</v>
      </c>
      <c r="K60" s="526"/>
      <c r="L60" s="526"/>
    </row>
    <row r="61" spans="1:12" hidden="1">
      <c r="A61" s="569">
        <v>1</v>
      </c>
      <c r="B61" s="37">
        <v>59</v>
      </c>
      <c r="C61" s="570">
        <v>41145</v>
      </c>
      <c r="D61" s="561" t="s">
        <v>353</v>
      </c>
      <c r="E61" s="561" t="s">
        <v>376</v>
      </c>
      <c r="F61" s="499" t="s">
        <v>439</v>
      </c>
      <c r="G61" s="571" t="s">
        <v>415</v>
      </c>
      <c r="H61" s="571" t="s">
        <v>422</v>
      </c>
      <c r="I61" s="571" t="str">
        <f>Table1[[#This Row],[Staff]]</f>
        <v>Nicole</v>
      </c>
      <c r="J61" s="570">
        <f>Table1[[#This Row],[Date]]</f>
        <v>41145</v>
      </c>
      <c r="K61" s="526"/>
      <c r="L61" s="526"/>
    </row>
    <row r="62" spans="1:12" hidden="1">
      <c r="A62" s="569">
        <v>1</v>
      </c>
      <c r="B62" s="37">
        <v>60</v>
      </c>
      <c r="C62" s="570">
        <v>41145</v>
      </c>
      <c r="D62" s="561" t="s">
        <v>353</v>
      </c>
      <c r="E62" s="561" t="s">
        <v>376</v>
      </c>
      <c r="F62" s="499" t="s">
        <v>440</v>
      </c>
      <c r="G62" s="571" t="s">
        <v>415</v>
      </c>
      <c r="H62" s="571" t="s">
        <v>422</v>
      </c>
      <c r="I62" s="571" t="str">
        <f>Table1[[#This Row],[Staff]]</f>
        <v>Nicole</v>
      </c>
      <c r="J62" s="570">
        <f>Table1[[#This Row],[Date]]</f>
        <v>41145</v>
      </c>
      <c r="K62" s="526"/>
      <c r="L62" s="526"/>
    </row>
    <row r="63" spans="1:12" hidden="1">
      <c r="A63" s="569">
        <v>1</v>
      </c>
      <c r="B63" s="37">
        <v>61</v>
      </c>
      <c r="C63" s="570">
        <v>41145</v>
      </c>
      <c r="D63" s="561" t="s">
        <v>353</v>
      </c>
      <c r="E63" s="561" t="s">
        <v>379</v>
      </c>
      <c r="F63" s="499" t="s">
        <v>431</v>
      </c>
      <c r="G63" s="571" t="s">
        <v>415</v>
      </c>
      <c r="H63" s="571" t="s">
        <v>422</v>
      </c>
      <c r="I63" s="571" t="str">
        <f>Table1[[#This Row],[Staff]]</f>
        <v>Nicole</v>
      </c>
      <c r="J63" s="570">
        <f>Table1[[#This Row],[Date]]</f>
        <v>41145</v>
      </c>
      <c r="K63" s="526"/>
      <c r="L63" s="526"/>
    </row>
    <row r="64" spans="1:12" hidden="1">
      <c r="A64" s="569">
        <v>1</v>
      </c>
      <c r="B64" s="37">
        <v>62</v>
      </c>
      <c r="C64" s="570">
        <v>41145</v>
      </c>
      <c r="D64" s="561" t="s">
        <v>353</v>
      </c>
      <c r="E64" s="561" t="s">
        <v>379</v>
      </c>
      <c r="F64" s="499" t="s">
        <v>441</v>
      </c>
      <c r="G64" s="571" t="s">
        <v>415</v>
      </c>
      <c r="H64" s="571" t="s">
        <v>422</v>
      </c>
      <c r="I64" s="571" t="str">
        <f>Table1[[#This Row],[Staff]]</f>
        <v>Nicole</v>
      </c>
      <c r="J64" s="570">
        <f>Table1[[#This Row],[Date]]</f>
        <v>41145</v>
      </c>
      <c r="K64" s="526"/>
      <c r="L64" s="526"/>
    </row>
    <row r="65" spans="1:12" hidden="1">
      <c r="A65" s="569">
        <v>1</v>
      </c>
      <c r="B65" s="37">
        <v>63</v>
      </c>
      <c r="C65" s="570">
        <v>41145</v>
      </c>
      <c r="D65" s="561" t="s">
        <v>353</v>
      </c>
      <c r="E65" s="561" t="s">
        <v>379</v>
      </c>
      <c r="F65" s="499" t="s">
        <v>442</v>
      </c>
      <c r="G65" s="571" t="s">
        <v>415</v>
      </c>
      <c r="H65" s="571" t="s">
        <v>422</v>
      </c>
      <c r="I65" s="571" t="str">
        <f>Table1[[#This Row],[Staff]]</f>
        <v>Nicole</v>
      </c>
      <c r="J65" s="570">
        <f>Table1[[#This Row],[Date]]</f>
        <v>41145</v>
      </c>
      <c r="K65" s="526"/>
      <c r="L65" s="526"/>
    </row>
    <row r="66" spans="1:12" hidden="1">
      <c r="A66" s="569">
        <v>1</v>
      </c>
      <c r="B66" s="37">
        <v>64</v>
      </c>
      <c r="C66" s="570">
        <v>41145</v>
      </c>
      <c r="D66" s="561" t="s">
        <v>353</v>
      </c>
      <c r="E66" s="561" t="s">
        <v>379</v>
      </c>
      <c r="F66" s="499" t="s">
        <v>443</v>
      </c>
      <c r="G66" s="571" t="s">
        <v>415</v>
      </c>
      <c r="H66" s="571" t="s">
        <v>422</v>
      </c>
      <c r="I66" s="571" t="str">
        <f>Table1[[#This Row],[Staff]]</f>
        <v>Nicole</v>
      </c>
      <c r="J66" s="570">
        <f>Table1[[#This Row],[Date]]</f>
        <v>41145</v>
      </c>
      <c r="K66" s="526"/>
      <c r="L66" s="526"/>
    </row>
    <row r="67" spans="1:12" hidden="1">
      <c r="A67" s="569">
        <v>1</v>
      </c>
      <c r="B67" s="37">
        <v>65</v>
      </c>
      <c r="C67" s="570">
        <v>41145</v>
      </c>
      <c r="D67" s="561" t="s">
        <v>353</v>
      </c>
      <c r="E67" s="561" t="s">
        <v>379</v>
      </c>
      <c r="F67" s="499" t="s">
        <v>444</v>
      </c>
      <c r="G67" s="571" t="s">
        <v>415</v>
      </c>
      <c r="H67" s="571" t="s">
        <v>422</v>
      </c>
      <c r="I67" s="571" t="str">
        <f>Table1[[#This Row],[Staff]]</f>
        <v>Nicole</v>
      </c>
      <c r="J67" s="570">
        <f>Table1[[#This Row],[Date]]</f>
        <v>41145</v>
      </c>
      <c r="K67" s="526"/>
      <c r="L67" s="526"/>
    </row>
    <row r="68" spans="1:12" hidden="1">
      <c r="A68" s="569">
        <v>1</v>
      </c>
      <c r="B68" s="37">
        <v>66</v>
      </c>
      <c r="C68" s="570">
        <v>41145</v>
      </c>
      <c r="D68" s="561" t="s">
        <v>353</v>
      </c>
      <c r="E68" s="561" t="s">
        <v>379</v>
      </c>
      <c r="F68" s="499" t="s">
        <v>445</v>
      </c>
      <c r="G68" s="571" t="s">
        <v>415</v>
      </c>
      <c r="H68" s="571" t="s">
        <v>422</v>
      </c>
      <c r="I68" s="571" t="str">
        <f>Table1[[#This Row],[Staff]]</f>
        <v>Nicole</v>
      </c>
      <c r="J68" s="570">
        <f>Table1[[#This Row],[Date]]</f>
        <v>41145</v>
      </c>
      <c r="K68" s="526"/>
      <c r="L68" s="526"/>
    </row>
    <row r="69" spans="1:12" hidden="1">
      <c r="A69" s="569">
        <v>1</v>
      </c>
      <c r="B69" s="37">
        <v>67</v>
      </c>
      <c r="C69" s="570">
        <v>41145</v>
      </c>
      <c r="D69" s="561" t="s">
        <v>353</v>
      </c>
      <c r="E69" s="561" t="s">
        <v>379</v>
      </c>
      <c r="F69" s="499" t="s">
        <v>446</v>
      </c>
      <c r="G69" s="571" t="s">
        <v>415</v>
      </c>
      <c r="H69" s="571" t="s">
        <v>422</v>
      </c>
      <c r="I69" s="571" t="str">
        <f>Table1[[#This Row],[Staff]]</f>
        <v>Nicole</v>
      </c>
      <c r="J69" s="570">
        <f>Table1[[#This Row],[Date]]</f>
        <v>41145</v>
      </c>
      <c r="K69" s="526"/>
      <c r="L69" s="526"/>
    </row>
    <row r="70" spans="1:12" hidden="1">
      <c r="A70" s="569">
        <v>1</v>
      </c>
      <c r="B70" s="37">
        <v>68</v>
      </c>
      <c r="C70" s="570">
        <v>41145</v>
      </c>
      <c r="D70" s="561" t="s">
        <v>353</v>
      </c>
      <c r="E70" s="561" t="s">
        <v>379</v>
      </c>
      <c r="F70" s="499" t="s">
        <v>447</v>
      </c>
      <c r="G70" s="571" t="s">
        <v>415</v>
      </c>
      <c r="H70" s="571" t="s">
        <v>422</v>
      </c>
      <c r="I70" s="571" t="str">
        <f>Table1[[#This Row],[Staff]]</f>
        <v>Nicole</v>
      </c>
      <c r="J70" s="570">
        <f>Table1[[#This Row],[Date]]</f>
        <v>41145</v>
      </c>
      <c r="K70" s="526"/>
      <c r="L70" s="526"/>
    </row>
    <row r="71" spans="1:12" hidden="1">
      <c r="A71" s="569">
        <v>1</v>
      </c>
      <c r="B71" s="37">
        <v>69</v>
      </c>
      <c r="C71" s="570">
        <v>41145</v>
      </c>
      <c r="D71" s="561" t="s">
        <v>353</v>
      </c>
      <c r="E71" s="561" t="s">
        <v>376</v>
      </c>
      <c r="F71" s="499" t="s">
        <v>448</v>
      </c>
      <c r="G71" s="571" t="s">
        <v>449</v>
      </c>
      <c r="H71" s="571" t="s">
        <v>450</v>
      </c>
      <c r="I71" s="571" t="str">
        <f>Table1[[#This Row],[Staff]]</f>
        <v>Nicole</v>
      </c>
      <c r="J71" s="570">
        <f>Table1[[#This Row],[Date]]</f>
        <v>41145</v>
      </c>
      <c r="K71" s="526"/>
      <c r="L71" s="526"/>
    </row>
    <row r="72" spans="1:12" hidden="1">
      <c r="A72" s="569">
        <v>1</v>
      </c>
      <c r="B72" s="37">
        <v>70</v>
      </c>
      <c r="C72" s="570">
        <v>41145</v>
      </c>
      <c r="D72" s="561" t="s">
        <v>353</v>
      </c>
      <c r="E72" s="561" t="s">
        <v>61</v>
      </c>
      <c r="F72" s="499" t="s">
        <v>416</v>
      </c>
      <c r="G72" s="571" t="s">
        <v>415</v>
      </c>
      <c r="H72" s="571" t="s">
        <v>422</v>
      </c>
      <c r="I72" s="571" t="str">
        <f>Table1[[#This Row],[Staff]]</f>
        <v>Nicole</v>
      </c>
      <c r="J72" s="570">
        <f>Table1[[#This Row],[Date]]</f>
        <v>41145</v>
      </c>
      <c r="K72" s="526"/>
      <c r="L72" s="526"/>
    </row>
    <row r="73" spans="1:12" hidden="1">
      <c r="A73" s="569">
        <v>1</v>
      </c>
      <c r="B73" s="37">
        <v>71</v>
      </c>
      <c r="C73" s="570">
        <v>41145</v>
      </c>
      <c r="D73" s="561" t="s">
        <v>353</v>
      </c>
      <c r="E73" s="561" t="s">
        <v>61</v>
      </c>
      <c r="F73" s="499" t="s">
        <v>451</v>
      </c>
      <c r="G73" s="571" t="s">
        <v>415</v>
      </c>
      <c r="H73" s="571" t="s">
        <v>422</v>
      </c>
      <c r="I73" s="571" t="str">
        <f>Table1[[#This Row],[Staff]]</f>
        <v>Nicole</v>
      </c>
      <c r="J73" s="570">
        <f>Table1[[#This Row],[Date]]</f>
        <v>41145</v>
      </c>
      <c r="K73" s="526"/>
      <c r="L73" s="526"/>
    </row>
    <row r="74" spans="1:12" hidden="1">
      <c r="A74" s="569">
        <v>1</v>
      </c>
      <c r="B74" s="37">
        <v>72</v>
      </c>
      <c r="C74" s="570">
        <v>41145</v>
      </c>
      <c r="D74" s="561" t="s">
        <v>353</v>
      </c>
      <c r="E74" s="561" t="s">
        <v>61</v>
      </c>
      <c r="F74" s="499" t="s">
        <v>452</v>
      </c>
      <c r="G74" s="571" t="s">
        <v>415</v>
      </c>
      <c r="H74" s="571" t="s">
        <v>422</v>
      </c>
      <c r="I74" s="571" t="str">
        <f>Table1[[#This Row],[Staff]]</f>
        <v>Nicole</v>
      </c>
      <c r="J74" s="570">
        <f>Table1[[#This Row],[Date]]</f>
        <v>41145</v>
      </c>
      <c r="K74" s="526"/>
      <c r="L74" s="526"/>
    </row>
    <row r="75" spans="1:12" hidden="1">
      <c r="A75" s="569">
        <v>1</v>
      </c>
      <c r="B75" s="37">
        <v>73</v>
      </c>
      <c r="C75" s="570">
        <v>41145</v>
      </c>
      <c r="D75" s="561" t="s">
        <v>353</v>
      </c>
      <c r="E75" s="561" t="s">
        <v>61</v>
      </c>
      <c r="F75" s="499" t="s">
        <v>453</v>
      </c>
      <c r="G75" s="571" t="s">
        <v>415</v>
      </c>
      <c r="H75" s="571" t="s">
        <v>422</v>
      </c>
      <c r="I75" s="571" t="str">
        <f>Table1[[#This Row],[Staff]]</f>
        <v>Nicole</v>
      </c>
      <c r="J75" s="570">
        <f>Table1[[#This Row],[Date]]</f>
        <v>41145</v>
      </c>
      <c r="K75" s="526"/>
      <c r="L75" s="526"/>
    </row>
    <row r="76" spans="1:12" hidden="1">
      <c r="A76" s="569">
        <v>1</v>
      </c>
      <c r="B76" s="37">
        <v>74</v>
      </c>
      <c r="C76" s="570">
        <v>41145</v>
      </c>
      <c r="D76" s="561" t="s">
        <v>353</v>
      </c>
      <c r="E76" s="561" t="s">
        <v>61</v>
      </c>
      <c r="F76" s="499" t="s">
        <v>454</v>
      </c>
      <c r="G76" s="571" t="s">
        <v>415</v>
      </c>
      <c r="H76" s="571" t="s">
        <v>422</v>
      </c>
      <c r="I76" s="571" t="str">
        <f>Table1[[#This Row],[Staff]]</f>
        <v>Nicole</v>
      </c>
      <c r="J76" s="570">
        <f>Table1[[#This Row],[Date]]</f>
        <v>41145</v>
      </c>
      <c r="K76" s="526"/>
      <c r="L76" s="526"/>
    </row>
    <row r="77" spans="1:12" hidden="1">
      <c r="A77" s="569">
        <v>1</v>
      </c>
      <c r="B77" s="37">
        <v>75</v>
      </c>
      <c r="C77" s="570">
        <v>41145</v>
      </c>
      <c r="D77" s="561" t="s">
        <v>353</v>
      </c>
      <c r="E77" s="561" t="s">
        <v>61</v>
      </c>
      <c r="F77" s="499" t="s">
        <v>455</v>
      </c>
      <c r="G77" s="571" t="s">
        <v>415</v>
      </c>
      <c r="H77" s="571" t="s">
        <v>422</v>
      </c>
      <c r="I77" s="571" t="str">
        <f>Table1[[#This Row],[Staff]]</f>
        <v>Nicole</v>
      </c>
      <c r="J77" s="570">
        <f>Table1[[#This Row],[Date]]</f>
        <v>41145</v>
      </c>
      <c r="K77" s="526"/>
      <c r="L77" s="526"/>
    </row>
    <row r="78" spans="1:12" hidden="1">
      <c r="A78" s="569">
        <v>1</v>
      </c>
      <c r="B78" s="37">
        <v>76</v>
      </c>
      <c r="C78" s="570">
        <v>41145</v>
      </c>
      <c r="D78" s="574" t="s">
        <v>353</v>
      </c>
      <c r="E78" s="561" t="s">
        <v>384</v>
      </c>
      <c r="F78" s="499" t="s">
        <v>456</v>
      </c>
      <c r="G78" s="571" t="s">
        <v>415</v>
      </c>
      <c r="H78" s="571" t="s">
        <v>422</v>
      </c>
      <c r="I78" s="571" t="str">
        <f>Table1[[#This Row],[Staff]]</f>
        <v>Nicole</v>
      </c>
      <c r="J78" s="570">
        <f>Table1[[#This Row],[Date]]</f>
        <v>41145</v>
      </c>
      <c r="K78" s="526"/>
      <c r="L78" s="526"/>
    </row>
    <row r="79" spans="1:12" hidden="1">
      <c r="A79" s="569">
        <v>1</v>
      </c>
      <c r="B79" s="37">
        <v>77</v>
      </c>
      <c r="C79" s="570">
        <v>41145</v>
      </c>
      <c r="D79" s="574" t="s">
        <v>353</v>
      </c>
      <c r="E79" s="561" t="s">
        <v>384</v>
      </c>
      <c r="F79" s="499" t="s">
        <v>457</v>
      </c>
      <c r="G79" s="571" t="s">
        <v>415</v>
      </c>
      <c r="H79" s="571" t="s">
        <v>422</v>
      </c>
      <c r="I79" s="571" t="str">
        <f>Table1[[#This Row],[Staff]]</f>
        <v>Nicole</v>
      </c>
      <c r="J79" s="570">
        <f>Table1[[#This Row],[Date]]</f>
        <v>41145</v>
      </c>
      <c r="K79" s="526"/>
      <c r="L79" s="526"/>
    </row>
    <row r="80" spans="1:12" hidden="1">
      <c r="A80" s="569">
        <v>1</v>
      </c>
      <c r="B80" s="37">
        <v>78</v>
      </c>
      <c r="C80" s="570">
        <v>41145</v>
      </c>
      <c r="D80" s="574" t="s">
        <v>353</v>
      </c>
      <c r="E80" s="561" t="s">
        <v>384</v>
      </c>
      <c r="F80" s="499" t="s">
        <v>418</v>
      </c>
      <c r="G80" s="571" t="s">
        <v>415</v>
      </c>
      <c r="H80" s="571" t="s">
        <v>422</v>
      </c>
      <c r="I80" s="571" t="str">
        <f>Table1[[#This Row],[Staff]]</f>
        <v>Nicole</v>
      </c>
      <c r="J80" s="570">
        <f>Table1[[#This Row],[Date]]</f>
        <v>41145</v>
      </c>
      <c r="K80" s="526"/>
      <c r="L80" s="526"/>
    </row>
    <row r="81" spans="1:35" hidden="1">
      <c r="A81" s="569">
        <v>1</v>
      </c>
      <c r="B81" s="37">
        <v>79</v>
      </c>
      <c r="C81" s="570">
        <v>41145</v>
      </c>
      <c r="D81" s="574" t="s">
        <v>353</v>
      </c>
      <c r="E81" s="561" t="s">
        <v>384</v>
      </c>
      <c r="F81" s="499" t="s">
        <v>458</v>
      </c>
      <c r="G81" s="571" t="s">
        <v>415</v>
      </c>
      <c r="H81" s="571" t="s">
        <v>422</v>
      </c>
      <c r="I81" s="571" t="str">
        <f>Table1[[#This Row],[Staff]]</f>
        <v>Nicole</v>
      </c>
      <c r="J81" s="570">
        <f>Table1[[#This Row],[Date]]</f>
        <v>41145</v>
      </c>
      <c r="K81" s="526"/>
      <c r="L81" s="526"/>
    </row>
    <row r="82" spans="1:35" hidden="1">
      <c r="A82" s="569">
        <v>1</v>
      </c>
      <c r="B82" s="37">
        <v>80</v>
      </c>
      <c r="C82" s="570">
        <v>41145</v>
      </c>
      <c r="D82" s="574" t="s">
        <v>353</v>
      </c>
      <c r="E82" s="561" t="s">
        <v>384</v>
      </c>
      <c r="F82" s="499" t="s">
        <v>459</v>
      </c>
      <c r="G82" s="571" t="s">
        <v>415</v>
      </c>
      <c r="H82" s="571" t="s">
        <v>422</v>
      </c>
      <c r="I82" s="571" t="str">
        <f>Table1[[#This Row],[Staff]]</f>
        <v>Nicole</v>
      </c>
      <c r="J82" s="570">
        <f>Table1[[#This Row],[Date]]</f>
        <v>41145</v>
      </c>
      <c r="K82" s="526"/>
      <c r="L82" s="526"/>
    </row>
    <row r="83" spans="1:35" hidden="1">
      <c r="A83" s="569">
        <v>1</v>
      </c>
      <c r="B83" s="37">
        <v>81</v>
      </c>
      <c r="C83" s="570">
        <v>41145</v>
      </c>
      <c r="D83" s="574" t="s">
        <v>353</v>
      </c>
      <c r="E83" s="561" t="s">
        <v>384</v>
      </c>
      <c r="F83" s="499" t="s">
        <v>460</v>
      </c>
      <c r="G83" s="571" t="s">
        <v>415</v>
      </c>
      <c r="H83" s="571" t="s">
        <v>422</v>
      </c>
      <c r="I83" s="571" t="str">
        <f>Table1[[#This Row],[Staff]]</f>
        <v>Nicole</v>
      </c>
      <c r="J83" s="570">
        <f>Table1[[#This Row],[Date]]</f>
        <v>41145</v>
      </c>
      <c r="K83" s="526"/>
      <c r="L83" s="526"/>
    </row>
    <row r="84" spans="1:35" hidden="1">
      <c r="A84" s="569">
        <v>1</v>
      </c>
      <c r="B84" s="37">
        <v>82</v>
      </c>
      <c r="C84" s="570">
        <v>41148</v>
      </c>
      <c r="D84" s="576" t="s">
        <v>353</v>
      </c>
      <c r="E84" s="576" t="s">
        <v>386</v>
      </c>
      <c r="F84" s="499" t="s">
        <v>456</v>
      </c>
      <c r="G84" s="571" t="s">
        <v>415</v>
      </c>
      <c r="H84" s="571" t="s">
        <v>422</v>
      </c>
      <c r="I84" s="571" t="str">
        <f>Table1[[#This Row],[Staff]]</f>
        <v>Nicole</v>
      </c>
      <c r="J84" s="570">
        <f>Table1[[#This Row],[Date]]</f>
        <v>41148</v>
      </c>
      <c r="K84" s="526"/>
      <c r="L84" s="526"/>
    </row>
    <row r="85" spans="1:35" s="574" customFormat="1" hidden="1">
      <c r="A85" s="569">
        <v>1</v>
      </c>
      <c r="B85" s="37">
        <v>83</v>
      </c>
      <c r="C85" s="570">
        <v>41148</v>
      </c>
      <c r="D85" s="576" t="s">
        <v>353</v>
      </c>
      <c r="E85" s="576" t="s">
        <v>386</v>
      </c>
      <c r="F85" s="499" t="s">
        <v>465</v>
      </c>
      <c r="G85" s="571" t="s">
        <v>415</v>
      </c>
      <c r="H85" s="571" t="s">
        <v>422</v>
      </c>
      <c r="I85" s="571" t="str">
        <f>Table1[[#This Row],[Staff]]</f>
        <v>Nicole</v>
      </c>
      <c r="J85" s="570">
        <f>Table1[[#This Row],[Date]]</f>
        <v>41148</v>
      </c>
      <c r="K85" s="526"/>
      <c r="L85" s="526"/>
      <c r="AF85" s="499"/>
      <c r="AG85" s="499"/>
      <c r="AH85" s="499"/>
      <c r="AI85" s="499"/>
    </row>
    <row r="86" spans="1:35" s="574" customFormat="1" hidden="1">
      <c r="A86" s="569">
        <v>1</v>
      </c>
      <c r="B86" s="37">
        <v>84</v>
      </c>
      <c r="C86" s="570">
        <v>41148</v>
      </c>
      <c r="D86" s="576" t="s">
        <v>353</v>
      </c>
      <c r="E86" s="576" t="s">
        <v>386</v>
      </c>
      <c r="F86" s="499" t="s">
        <v>457</v>
      </c>
      <c r="G86" s="571" t="s">
        <v>415</v>
      </c>
      <c r="H86" s="571" t="s">
        <v>422</v>
      </c>
      <c r="I86" s="571" t="str">
        <f>Table1[[#This Row],[Staff]]</f>
        <v>Nicole</v>
      </c>
      <c r="J86" s="570">
        <f>Table1[[#This Row],[Date]]</f>
        <v>41148</v>
      </c>
      <c r="K86" s="526"/>
      <c r="L86" s="526"/>
      <c r="AF86" s="499"/>
      <c r="AG86" s="499"/>
      <c r="AH86" s="499"/>
      <c r="AI86" s="499"/>
    </row>
    <row r="87" spans="1:35" s="574" customFormat="1" hidden="1">
      <c r="A87" s="569">
        <v>1</v>
      </c>
      <c r="B87" s="37">
        <v>85</v>
      </c>
      <c r="C87" s="570">
        <v>41148</v>
      </c>
      <c r="D87" s="576" t="s">
        <v>353</v>
      </c>
      <c r="E87" s="576" t="s">
        <v>386</v>
      </c>
      <c r="F87" s="499" t="s">
        <v>418</v>
      </c>
      <c r="G87" s="571" t="s">
        <v>415</v>
      </c>
      <c r="H87" s="571" t="s">
        <v>422</v>
      </c>
      <c r="I87" s="571" t="str">
        <f>Table1[[#This Row],[Staff]]</f>
        <v>Nicole</v>
      </c>
      <c r="J87" s="570">
        <f>Table1[[#This Row],[Date]]</f>
        <v>41148</v>
      </c>
      <c r="K87" s="526"/>
      <c r="L87" s="526"/>
      <c r="AF87" s="499"/>
      <c r="AG87" s="499"/>
      <c r="AH87" s="499"/>
      <c r="AI87" s="499"/>
    </row>
    <row r="88" spans="1:35" s="574" customFormat="1" hidden="1">
      <c r="A88" s="569">
        <v>1</v>
      </c>
      <c r="B88" s="37">
        <v>86</v>
      </c>
      <c r="C88" s="570">
        <v>41148</v>
      </c>
      <c r="D88" s="576" t="s">
        <v>353</v>
      </c>
      <c r="E88" s="576" t="s">
        <v>386</v>
      </c>
      <c r="F88" s="499" t="s">
        <v>458</v>
      </c>
      <c r="G88" s="571" t="s">
        <v>415</v>
      </c>
      <c r="H88" s="571" t="s">
        <v>422</v>
      </c>
      <c r="I88" s="571" t="str">
        <f>Table1[[#This Row],[Staff]]</f>
        <v>Nicole</v>
      </c>
      <c r="J88" s="570">
        <f>Table1[[#This Row],[Date]]</f>
        <v>41148</v>
      </c>
      <c r="K88" s="526"/>
      <c r="L88" s="526"/>
      <c r="AF88" s="499"/>
      <c r="AG88" s="499"/>
      <c r="AH88" s="499"/>
      <c r="AI88" s="499"/>
    </row>
    <row r="89" spans="1:35" s="574" customFormat="1" hidden="1">
      <c r="A89" s="569">
        <v>1</v>
      </c>
      <c r="B89" s="37">
        <v>87</v>
      </c>
      <c r="C89" s="570">
        <v>41148</v>
      </c>
      <c r="D89" s="576" t="s">
        <v>353</v>
      </c>
      <c r="E89" s="576" t="s">
        <v>386</v>
      </c>
      <c r="F89" s="499" t="s">
        <v>459</v>
      </c>
      <c r="G89" s="571" t="s">
        <v>415</v>
      </c>
      <c r="H89" s="571" t="s">
        <v>422</v>
      </c>
      <c r="I89" s="571" t="str">
        <f>Table1[[#This Row],[Staff]]</f>
        <v>Nicole</v>
      </c>
      <c r="J89" s="570">
        <f>Table1[[#This Row],[Date]]</f>
        <v>41148</v>
      </c>
      <c r="K89" s="526"/>
      <c r="L89" s="526"/>
      <c r="AF89" s="499"/>
      <c r="AG89" s="499"/>
      <c r="AH89" s="499"/>
      <c r="AI89" s="499"/>
    </row>
    <row r="90" spans="1:35" s="574" customFormat="1" hidden="1">
      <c r="A90" s="569">
        <v>1</v>
      </c>
      <c r="B90" s="37">
        <v>88</v>
      </c>
      <c r="C90" s="570">
        <v>41148</v>
      </c>
      <c r="D90" s="576" t="s">
        <v>353</v>
      </c>
      <c r="E90" s="576" t="s">
        <v>386</v>
      </c>
      <c r="F90" s="499" t="s">
        <v>460</v>
      </c>
      <c r="G90" s="571" t="s">
        <v>415</v>
      </c>
      <c r="H90" s="571" t="s">
        <v>422</v>
      </c>
      <c r="I90" s="571" t="str">
        <f>Table1[[#This Row],[Staff]]</f>
        <v>Nicole</v>
      </c>
      <c r="J90" s="570">
        <f>Table1[[#This Row],[Date]]</f>
        <v>41148</v>
      </c>
      <c r="K90" s="526"/>
      <c r="L90" s="526"/>
      <c r="AF90" s="499"/>
      <c r="AG90" s="499"/>
      <c r="AH90" s="499"/>
      <c r="AI90" s="499"/>
    </row>
    <row r="91" spans="1:35" s="574" customFormat="1" hidden="1">
      <c r="A91" s="569">
        <v>1</v>
      </c>
      <c r="B91" s="37">
        <v>89</v>
      </c>
      <c r="C91" s="570">
        <v>41148</v>
      </c>
      <c r="D91" s="576" t="s">
        <v>353</v>
      </c>
      <c r="E91" s="576" t="s">
        <v>392</v>
      </c>
      <c r="F91" s="499" t="s">
        <v>456</v>
      </c>
      <c r="G91" s="571" t="s">
        <v>415</v>
      </c>
      <c r="H91" s="571" t="s">
        <v>422</v>
      </c>
      <c r="I91" s="571" t="str">
        <f>Table1[[#This Row],[Staff]]</f>
        <v>Nicole</v>
      </c>
      <c r="J91" s="570">
        <f>Table1[[#This Row],[Date]]</f>
        <v>41148</v>
      </c>
      <c r="K91" s="526"/>
      <c r="L91" s="526"/>
      <c r="AF91" s="499"/>
      <c r="AG91" s="499"/>
      <c r="AH91" s="499"/>
      <c r="AI91" s="499"/>
    </row>
    <row r="92" spans="1:35" s="574" customFormat="1" hidden="1">
      <c r="A92" s="569">
        <v>1</v>
      </c>
      <c r="B92" s="37">
        <v>90</v>
      </c>
      <c r="C92" s="570">
        <v>41148</v>
      </c>
      <c r="D92" s="576" t="s">
        <v>353</v>
      </c>
      <c r="E92" s="576" t="s">
        <v>392</v>
      </c>
      <c r="F92" s="499" t="s">
        <v>457</v>
      </c>
      <c r="G92" s="571" t="s">
        <v>415</v>
      </c>
      <c r="H92" s="571" t="s">
        <v>422</v>
      </c>
      <c r="I92" s="571" t="str">
        <f>Table1[[#This Row],[Staff]]</f>
        <v>Nicole</v>
      </c>
      <c r="J92" s="570">
        <f>Table1[[#This Row],[Date]]</f>
        <v>41148</v>
      </c>
      <c r="K92" s="526"/>
      <c r="L92" s="526"/>
      <c r="AF92" s="499"/>
      <c r="AG92" s="499"/>
      <c r="AH92" s="499"/>
      <c r="AI92" s="499"/>
    </row>
    <row r="93" spans="1:35" s="574" customFormat="1" hidden="1">
      <c r="A93" s="569">
        <v>1</v>
      </c>
      <c r="B93" s="37">
        <v>91</v>
      </c>
      <c r="C93" s="570">
        <v>41148</v>
      </c>
      <c r="D93" s="576" t="s">
        <v>353</v>
      </c>
      <c r="E93" s="576" t="s">
        <v>392</v>
      </c>
      <c r="F93" s="499" t="s">
        <v>418</v>
      </c>
      <c r="G93" s="571" t="s">
        <v>415</v>
      </c>
      <c r="H93" s="571" t="s">
        <v>422</v>
      </c>
      <c r="I93" s="571" t="str">
        <f>Table1[[#This Row],[Staff]]</f>
        <v>Nicole</v>
      </c>
      <c r="J93" s="570">
        <f>Table1[[#This Row],[Date]]</f>
        <v>41148</v>
      </c>
      <c r="K93" s="526"/>
      <c r="L93" s="526"/>
      <c r="AF93" s="499"/>
      <c r="AG93" s="499"/>
      <c r="AH93" s="499"/>
      <c r="AI93" s="499"/>
    </row>
    <row r="94" spans="1:35" s="574" customFormat="1" hidden="1">
      <c r="A94" s="569">
        <v>1</v>
      </c>
      <c r="B94" s="37">
        <v>92</v>
      </c>
      <c r="C94" s="570">
        <v>41148</v>
      </c>
      <c r="D94" s="576" t="s">
        <v>353</v>
      </c>
      <c r="E94" s="576" t="s">
        <v>392</v>
      </c>
      <c r="F94" s="499" t="s">
        <v>458</v>
      </c>
      <c r="G94" s="571" t="s">
        <v>415</v>
      </c>
      <c r="H94" s="571" t="s">
        <v>422</v>
      </c>
      <c r="I94" s="571" t="str">
        <f>Table1[[#This Row],[Staff]]</f>
        <v>Nicole</v>
      </c>
      <c r="J94" s="570">
        <f>Table1[[#This Row],[Date]]</f>
        <v>41148</v>
      </c>
      <c r="K94" s="526"/>
      <c r="L94" s="526"/>
      <c r="AF94" s="499"/>
      <c r="AG94" s="499"/>
      <c r="AH94" s="499"/>
      <c r="AI94" s="499"/>
    </row>
    <row r="95" spans="1:35" s="574" customFormat="1" hidden="1">
      <c r="A95" s="569">
        <v>1</v>
      </c>
      <c r="B95" s="37">
        <v>93</v>
      </c>
      <c r="C95" s="570">
        <v>41148</v>
      </c>
      <c r="D95" s="576" t="s">
        <v>353</v>
      </c>
      <c r="E95" s="576" t="s">
        <v>392</v>
      </c>
      <c r="F95" s="499" t="s">
        <v>459</v>
      </c>
      <c r="G95" s="571" t="s">
        <v>415</v>
      </c>
      <c r="H95" s="571" t="s">
        <v>422</v>
      </c>
      <c r="I95" s="571" t="str">
        <f>Table1[[#This Row],[Staff]]</f>
        <v>Nicole</v>
      </c>
      <c r="J95" s="570">
        <f>Table1[[#This Row],[Date]]</f>
        <v>41148</v>
      </c>
      <c r="K95" s="526"/>
      <c r="L95" s="526"/>
      <c r="AF95" s="499"/>
      <c r="AG95" s="499"/>
      <c r="AH95" s="499"/>
      <c r="AI95" s="499"/>
    </row>
    <row r="96" spans="1:35" s="574" customFormat="1" hidden="1">
      <c r="A96" s="569">
        <v>1</v>
      </c>
      <c r="B96" s="37">
        <v>94</v>
      </c>
      <c r="C96" s="570">
        <v>41148</v>
      </c>
      <c r="D96" s="576" t="s">
        <v>353</v>
      </c>
      <c r="E96" s="576" t="s">
        <v>392</v>
      </c>
      <c r="F96" s="499" t="s">
        <v>460</v>
      </c>
      <c r="G96" s="571" t="s">
        <v>415</v>
      </c>
      <c r="H96" s="571" t="s">
        <v>422</v>
      </c>
      <c r="I96" s="571" t="str">
        <f>Table1[[#This Row],[Staff]]</f>
        <v>Nicole</v>
      </c>
      <c r="J96" s="570">
        <f>Table1[[#This Row],[Date]]</f>
        <v>41148</v>
      </c>
      <c r="K96" s="526"/>
      <c r="L96" s="526"/>
      <c r="AF96" s="499"/>
      <c r="AG96" s="499"/>
      <c r="AH96" s="499"/>
      <c r="AI96" s="499"/>
    </row>
    <row r="97" spans="1:35" s="574" customFormat="1" hidden="1">
      <c r="A97" s="569">
        <v>1</v>
      </c>
      <c r="B97" s="37">
        <v>95</v>
      </c>
      <c r="C97" s="570">
        <v>41148</v>
      </c>
      <c r="D97" s="576" t="s">
        <v>353</v>
      </c>
      <c r="E97" s="576" t="s">
        <v>392</v>
      </c>
      <c r="F97" s="499" t="s">
        <v>466</v>
      </c>
      <c r="G97" s="571" t="s">
        <v>415</v>
      </c>
      <c r="H97" s="571" t="s">
        <v>422</v>
      </c>
      <c r="I97" s="571" t="str">
        <f>Table1[[#This Row],[Staff]]</f>
        <v>Nicole</v>
      </c>
      <c r="J97" s="570">
        <f>Table1[[#This Row],[Date]]</f>
        <v>41148</v>
      </c>
      <c r="K97" s="526"/>
      <c r="L97" s="526"/>
      <c r="AF97" s="499"/>
      <c r="AG97" s="499"/>
      <c r="AH97" s="499"/>
      <c r="AI97" s="499"/>
    </row>
    <row r="98" spans="1:35" s="574" customFormat="1" hidden="1">
      <c r="A98" s="569">
        <v>1</v>
      </c>
      <c r="B98" s="37">
        <v>96</v>
      </c>
      <c r="C98" s="570">
        <v>41148</v>
      </c>
      <c r="D98" s="576" t="s">
        <v>353</v>
      </c>
      <c r="E98" s="576" t="s">
        <v>392</v>
      </c>
      <c r="F98" s="499" t="s">
        <v>467</v>
      </c>
      <c r="G98" s="571" t="s">
        <v>415</v>
      </c>
      <c r="H98" s="571" t="s">
        <v>422</v>
      </c>
      <c r="I98" s="571" t="str">
        <f>Table1[[#This Row],[Staff]]</f>
        <v>Nicole</v>
      </c>
      <c r="J98" s="570">
        <f>Table1[[#This Row],[Date]]</f>
        <v>41148</v>
      </c>
      <c r="K98" s="526"/>
      <c r="L98" s="526"/>
      <c r="AF98" s="499"/>
      <c r="AG98" s="499"/>
      <c r="AH98" s="499"/>
      <c r="AI98" s="499"/>
    </row>
    <row r="99" spans="1:35" s="574" customFormat="1" hidden="1">
      <c r="A99" s="569">
        <v>1</v>
      </c>
      <c r="B99" s="37">
        <v>97</v>
      </c>
      <c r="C99" s="570">
        <v>41148</v>
      </c>
      <c r="D99" s="576" t="s">
        <v>353</v>
      </c>
      <c r="E99" s="579" t="s">
        <v>397</v>
      </c>
      <c r="F99" s="499" t="s">
        <v>456</v>
      </c>
      <c r="G99" s="571" t="s">
        <v>415</v>
      </c>
      <c r="H99" s="571" t="s">
        <v>422</v>
      </c>
      <c r="I99" s="571" t="str">
        <f>Table1[[#This Row],[Staff]]</f>
        <v>Nicole</v>
      </c>
      <c r="J99" s="570">
        <f>Table1[[#This Row],[Date]]</f>
        <v>41148</v>
      </c>
      <c r="K99" s="526"/>
      <c r="L99" s="526"/>
      <c r="AF99" s="499"/>
      <c r="AG99" s="499"/>
      <c r="AH99" s="499"/>
      <c r="AI99" s="499"/>
    </row>
    <row r="100" spans="1:35" s="574" customFormat="1" hidden="1">
      <c r="A100" s="569">
        <v>1</v>
      </c>
      <c r="B100" s="37">
        <v>98</v>
      </c>
      <c r="C100" s="570">
        <v>41148</v>
      </c>
      <c r="D100" s="576" t="s">
        <v>353</v>
      </c>
      <c r="E100" s="579" t="s">
        <v>397</v>
      </c>
      <c r="F100" s="499" t="s">
        <v>457</v>
      </c>
      <c r="G100" s="571" t="s">
        <v>415</v>
      </c>
      <c r="H100" s="571" t="s">
        <v>422</v>
      </c>
      <c r="I100" s="571" t="str">
        <f>Table1[[#This Row],[Staff]]</f>
        <v>Nicole</v>
      </c>
      <c r="J100" s="570">
        <f>Table1[[#This Row],[Date]]</f>
        <v>41148</v>
      </c>
      <c r="K100" s="526"/>
      <c r="L100" s="526"/>
      <c r="AF100" s="499"/>
      <c r="AG100" s="499"/>
      <c r="AH100" s="499"/>
      <c r="AI100" s="499"/>
    </row>
    <row r="101" spans="1:35" s="574" customFormat="1" hidden="1">
      <c r="A101" s="569">
        <v>1</v>
      </c>
      <c r="B101" s="37">
        <v>99</v>
      </c>
      <c r="C101" s="570">
        <v>41148</v>
      </c>
      <c r="D101" s="579" t="s">
        <v>353</v>
      </c>
      <c r="E101" s="579" t="s">
        <v>397</v>
      </c>
      <c r="F101" s="499" t="s">
        <v>418</v>
      </c>
      <c r="G101" s="571" t="s">
        <v>415</v>
      </c>
      <c r="H101" s="571" t="s">
        <v>422</v>
      </c>
      <c r="I101" s="571" t="str">
        <f>Table1[[#This Row],[Staff]]</f>
        <v>Nicole</v>
      </c>
      <c r="J101" s="570">
        <f>Table1[[#This Row],[Date]]</f>
        <v>41148</v>
      </c>
      <c r="K101" s="526"/>
      <c r="L101" s="526"/>
      <c r="AF101" s="499"/>
      <c r="AG101" s="499"/>
      <c r="AH101" s="499"/>
      <c r="AI101" s="499"/>
    </row>
    <row r="102" spans="1:35" s="574" customFormat="1" hidden="1">
      <c r="A102" s="569">
        <v>1</v>
      </c>
      <c r="B102" s="37">
        <v>100</v>
      </c>
      <c r="C102" s="570">
        <v>41148</v>
      </c>
      <c r="D102" s="579" t="s">
        <v>353</v>
      </c>
      <c r="E102" s="579" t="s">
        <v>397</v>
      </c>
      <c r="F102" s="499" t="s">
        <v>458</v>
      </c>
      <c r="G102" s="571" t="s">
        <v>415</v>
      </c>
      <c r="H102" s="571" t="s">
        <v>422</v>
      </c>
      <c r="I102" s="571" t="str">
        <f>Table1[[#This Row],[Staff]]</f>
        <v>Nicole</v>
      </c>
      <c r="J102" s="570">
        <f>Table1[[#This Row],[Date]]</f>
        <v>41148</v>
      </c>
      <c r="K102" s="526"/>
      <c r="L102" s="526"/>
      <c r="AF102" s="499"/>
      <c r="AG102" s="499"/>
      <c r="AH102" s="499"/>
      <c r="AI102" s="499"/>
    </row>
    <row r="103" spans="1:35" s="574" customFormat="1" hidden="1">
      <c r="A103" s="569">
        <v>1</v>
      </c>
      <c r="B103" s="37">
        <v>101</v>
      </c>
      <c r="C103" s="570">
        <v>41148</v>
      </c>
      <c r="D103" s="579" t="s">
        <v>353</v>
      </c>
      <c r="E103" s="579" t="s">
        <v>397</v>
      </c>
      <c r="F103" s="499" t="s">
        <v>459</v>
      </c>
      <c r="G103" s="571" t="s">
        <v>415</v>
      </c>
      <c r="H103" s="571" t="s">
        <v>422</v>
      </c>
      <c r="I103" s="571" t="str">
        <f>Table1[[#This Row],[Staff]]</f>
        <v>Nicole</v>
      </c>
      <c r="J103" s="570">
        <f>Table1[[#This Row],[Date]]</f>
        <v>41148</v>
      </c>
      <c r="K103" s="526"/>
      <c r="L103" s="526"/>
      <c r="AF103" s="499"/>
      <c r="AG103" s="499"/>
      <c r="AH103" s="499"/>
      <c r="AI103" s="499"/>
    </row>
    <row r="104" spans="1:35" s="574" customFormat="1" hidden="1">
      <c r="A104" s="569">
        <v>1</v>
      </c>
      <c r="B104" s="37">
        <v>102</v>
      </c>
      <c r="C104" s="570">
        <v>41148</v>
      </c>
      <c r="D104" s="579" t="s">
        <v>353</v>
      </c>
      <c r="E104" s="579" t="s">
        <v>397</v>
      </c>
      <c r="F104" s="499" t="s">
        <v>460</v>
      </c>
      <c r="G104" s="571" t="s">
        <v>415</v>
      </c>
      <c r="H104" s="571" t="s">
        <v>422</v>
      </c>
      <c r="I104" s="571" t="str">
        <f>Table1[[#This Row],[Staff]]</f>
        <v>Nicole</v>
      </c>
      <c r="J104" s="570">
        <f>Table1[[#This Row],[Date]]</f>
        <v>41148</v>
      </c>
      <c r="K104" s="526"/>
      <c r="L104" s="526"/>
      <c r="AF104" s="499"/>
      <c r="AG104" s="499"/>
      <c r="AH104" s="499"/>
      <c r="AI104" s="499"/>
    </row>
    <row r="105" spans="1:35" s="574" customFormat="1" hidden="1">
      <c r="A105" s="569">
        <v>1</v>
      </c>
      <c r="B105" s="37">
        <v>103</v>
      </c>
      <c r="C105" s="570">
        <v>41148</v>
      </c>
      <c r="D105" s="579" t="s">
        <v>353</v>
      </c>
      <c r="E105" s="579" t="s">
        <v>400</v>
      </c>
      <c r="F105" s="499" t="s">
        <v>456</v>
      </c>
      <c r="G105" s="571" t="s">
        <v>415</v>
      </c>
      <c r="H105" s="571" t="s">
        <v>422</v>
      </c>
      <c r="I105" s="571" t="str">
        <f>Table1[[#This Row],[Staff]]</f>
        <v>Nicole</v>
      </c>
      <c r="J105" s="570">
        <f>Table1[[#This Row],[Date]]</f>
        <v>41148</v>
      </c>
      <c r="K105" s="526"/>
      <c r="L105" s="526"/>
      <c r="AF105" s="499"/>
      <c r="AG105" s="499"/>
      <c r="AH105" s="499"/>
      <c r="AI105" s="499"/>
    </row>
    <row r="106" spans="1:35" s="574" customFormat="1" hidden="1">
      <c r="A106" s="569">
        <v>1</v>
      </c>
      <c r="B106" s="37">
        <v>104</v>
      </c>
      <c r="C106" s="570">
        <v>41148</v>
      </c>
      <c r="D106" s="579" t="s">
        <v>353</v>
      </c>
      <c r="E106" s="579" t="s">
        <v>400</v>
      </c>
      <c r="F106" s="499" t="s">
        <v>457</v>
      </c>
      <c r="G106" s="571" t="s">
        <v>415</v>
      </c>
      <c r="H106" s="571" t="s">
        <v>422</v>
      </c>
      <c r="I106" s="571" t="str">
        <f>Table1[[#This Row],[Staff]]</f>
        <v>Nicole</v>
      </c>
      <c r="J106" s="570">
        <f>Table1[[#This Row],[Date]]</f>
        <v>41148</v>
      </c>
      <c r="K106" s="526"/>
      <c r="L106" s="526"/>
      <c r="AF106" s="499"/>
      <c r="AG106" s="499"/>
      <c r="AH106" s="499"/>
      <c r="AI106" s="499"/>
    </row>
    <row r="107" spans="1:35" s="574" customFormat="1" hidden="1">
      <c r="A107" s="569">
        <v>1</v>
      </c>
      <c r="B107" s="37">
        <v>105</v>
      </c>
      <c r="C107" s="570">
        <v>41148</v>
      </c>
      <c r="D107" s="579" t="s">
        <v>353</v>
      </c>
      <c r="E107" s="579" t="s">
        <v>77</v>
      </c>
      <c r="F107" s="499" t="s">
        <v>465</v>
      </c>
      <c r="G107" s="571" t="s">
        <v>415</v>
      </c>
      <c r="H107" s="571" t="s">
        <v>422</v>
      </c>
      <c r="I107" s="571" t="str">
        <f>Table1[[#This Row],[Staff]]</f>
        <v>Nicole</v>
      </c>
      <c r="J107" s="570">
        <f>Table1[[#This Row],[Date]]</f>
        <v>41148</v>
      </c>
      <c r="K107" s="526"/>
      <c r="L107" s="526"/>
      <c r="AF107" s="499"/>
      <c r="AG107" s="499"/>
      <c r="AH107" s="499"/>
      <c r="AI107" s="499"/>
    </row>
    <row r="108" spans="1:35" s="574" customFormat="1" hidden="1">
      <c r="A108" s="569">
        <v>1</v>
      </c>
      <c r="B108" s="37">
        <v>106</v>
      </c>
      <c r="C108" s="570">
        <v>41148</v>
      </c>
      <c r="D108" s="579" t="s">
        <v>353</v>
      </c>
      <c r="E108" s="579" t="s">
        <v>77</v>
      </c>
      <c r="F108" s="499" t="s">
        <v>468</v>
      </c>
      <c r="G108" s="571" t="s">
        <v>415</v>
      </c>
      <c r="H108" s="571" t="s">
        <v>422</v>
      </c>
      <c r="I108" s="571" t="str">
        <f>Table1[[#This Row],[Staff]]</f>
        <v>Nicole</v>
      </c>
      <c r="J108" s="570">
        <f>Table1[[#This Row],[Date]]</f>
        <v>41148</v>
      </c>
      <c r="K108" s="526"/>
      <c r="L108" s="526"/>
      <c r="AF108" s="499"/>
      <c r="AG108" s="499"/>
      <c r="AH108" s="499"/>
      <c r="AI108" s="499"/>
    </row>
    <row r="109" spans="1:35" s="574" customFormat="1" hidden="1">
      <c r="A109" s="569">
        <v>1</v>
      </c>
      <c r="B109" s="37">
        <v>107</v>
      </c>
      <c r="C109" s="570">
        <v>41148</v>
      </c>
      <c r="D109" s="579" t="s">
        <v>353</v>
      </c>
      <c r="E109" s="579" t="s">
        <v>77</v>
      </c>
      <c r="F109" s="499" t="s">
        <v>469</v>
      </c>
      <c r="G109" s="571" t="s">
        <v>415</v>
      </c>
      <c r="H109" s="571" t="s">
        <v>422</v>
      </c>
      <c r="I109" s="571" t="str">
        <f>Table1[[#This Row],[Staff]]</f>
        <v>Nicole</v>
      </c>
      <c r="J109" s="570">
        <f>Table1[[#This Row],[Date]]</f>
        <v>41148</v>
      </c>
      <c r="K109" s="526"/>
      <c r="L109" s="526"/>
      <c r="AF109" s="499"/>
      <c r="AG109" s="499"/>
      <c r="AH109" s="499"/>
      <c r="AI109" s="499"/>
    </row>
    <row r="110" spans="1:35" s="574" customFormat="1" hidden="1">
      <c r="A110" s="569">
        <v>1</v>
      </c>
      <c r="B110" s="37">
        <v>108</v>
      </c>
      <c r="C110" s="570">
        <v>41148</v>
      </c>
      <c r="D110" s="579" t="s">
        <v>353</v>
      </c>
      <c r="E110" s="579" t="s">
        <v>77</v>
      </c>
      <c r="F110" s="499" t="s">
        <v>470</v>
      </c>
      <c r="G110" s="571" t="s">
        <v>415</v>
      </c>
      <c r="H110" s="571" t="s">
        <v>422</v>
      </c>
      <c r="I110" s="571" t="str">
        <f>Table1[[#This Row],[Staff]]</f>
        <v>Nicole</v>
      </c>
      <c r="J110" s="570">
        <f>Table1[[#This Row],[Date]]</f>
        <v>41148</v>
      </c>
      <c r="K110" s="526"/>
      <c r="L110" s="526"/>
      <c r="AF110" s="499"/>
      <c r="AG110" s="499"/>
      <c r="AH110" s="499"/>
      <c r="AI110" s="499"/>
    </row>
    <row r="111" spans="1:35" hidden="1">
      <c r="A111" s="569">
        <v>1</v>
      </c>
      <c r="B111" s="37">
        <v>109</v>
      </c>
      <c r="C111" s="570">
        <v>41148</v>
      </c>
      <c r="D111" s="579" t="s">
        <v>353</v>
      </c>
      <c r="E111" s="579" t="s">
        <v>77</v>
      </c>
      <c r="F111" s="499" t="s">
        <v>471</v>
      </c>
      <c r="G111" s="571" t="s">
        <v>415</v>
      </c>
      <c r="H111" s="571" t="s">
        <v>422</v>
      </c>
      <c r="I111" s="571" t="str">
        <f>Table1[[#This Row],[Staff]]</f>
        <v>Nicole</v>
      </c>
      <c r="J111" s="570">
        <f>Table1[[#This Row],[Date]]</f>
        <v>41148</v>
      </c>
      <c r="K111" s="526"/>
      <c r="L111" s="526"/>
    </row>
    <row r="112" spans="1:35" hidden="1">
      <c r="A112" s="569">
        <v>1</v>
      </c>
      <c r="B112" s="37">
        <v>110</v>
      </c>
      <c r="C112" s="570">
        <v>41148</v>
      </c>
      <c r="D112" s="579" t="s">
        <v>353</v>
      </c>
      <c r="E112" s="579" t="s">
        <v>77</v>
      </c>
      <c r="F112" s="499" t="s">
        <v>472</v>
      </c>
      <c r="G112" s="571" t="s">
        <v>415</v>
      </c>
      <c r="H112" s="571" t="s">
        <v>422</v>
      </c>
      <c r="I112" s="571" t="str">
        <f>Table1[[#This Row],[Staff]]</f>
        <v>Nicole</v>
      </c>
      <c r="J112" s="570">
        <f>Table1[[#This Row],[Date]]</f>
        <v>41148</v>
      </c>
      <c r="K112" s="526"/>
      <c r="L112" s="526"/>
    </row>
    <row r="113" spans="1:35" s="574" customFormat="1" hidden="1">
      <c r="A113" s="569">
        <v>1</v>
      </c>
      <c r="B113" s="37">
        <v>111</v>
      </c>
      <c r="C113" s="570">
        <v>41148</v>
      </c>
      <c r="D113" s="579" t="s">
        <v>353</v>
      </c>
      <c r="E113" s="579" t="s">
        <v>86</v>
      </c>
      <c r="F113" s="499" t="s">
        <v>456</v>
      </c>
      <c r="G113" s="571" t="s">
        <v>415</v>
      </c>
      <c r="H113" s="571" t="s">
        <v>422</v>
      </c>
      <c r="I113" s="571" t="str">
        <f>Table1[[#This Row],[Staff]]</f>
        <v>Nicole</v>
      </c>
      <c r="J113" s="570">
        <f>Table1[[#This Row],[Date]]</f>
        <v>41148</v>
      </c>
      <c r="K113" s="526"/>
      <c r="L113" s="526"/>
      <c r="AF113" s="499"/>
      <c r="AG113" s="499"/>
      <c r="AH113" s="499"/>
      <c r="AI113" s="499"/>
    </row>
    <row r="114" spans="1:35" s="574" customFormat="1" hidden="1">
      <c r="A114" s="569">
        <v>1</v>
      </c>
      <c r="B114" s="37">
        <v>112</v>
      </c>
      <c r="C114" s="570">
        <v>41148</v>
      </c>
      <c r="D114" s="579" t="s">
        <v>353</v>
      </c>
      <c r="E114" s="579" t="s">
        <v>86</v>
      </c>
      <c r="F114" s="499" t="s">
        <v>457</v>
      </c>
      <c r="G114" s="571" t="s">
        <v>415</v>
      </c>
      <c r="H114" s="571" t="s">
        <v>422</v>
      </c>
      <c r="I114" s="571" t="str">
        <f>Table1[[#This Row],[Staff]]</f>
        <v>Nicole</v>
      </c>
      <c r="J114" s="570">
        <f>Table1[[#This Row],[Date]]</f>
        <v>41148</v>
      </c>
      <c r="K114" s="526"/>
      <c r="L114" s="526"/>
      <c r="AF114" s="499"/>
      <c r="AG114" s="499"/>
      <c r="AH114" s="499"/>
      <c r="AI114" s="499"/>
    </row>
    <row r="115" spans="1:35" s="574" customFormat="1" hidden="1">
      <c r="A115" s="569">
        <v>1</v>
      </c>
      <c r="B115" s="37">
        <v>113</v>
      </c>
      <c r="C115" s="570">
        <v>41148</v>
      </c>
      <c r="D115" s="579" t="s">
        <v>353</v>
      </c>
      <c r="E115" s="579" t="s">
        <v>86</v>
      </c>
      <c r="F115" s="499" t="s">
        <v>418</v>
      </c>
      <c r="G115" s="571" t="s">
        <v>415</v>
      </c>
      <c r="H115" s="571" t="s">
        <v>422</v>
      </c>
      <c r="I115" s="571" t="str">
        <f>Table1[[#This Row],[Staff]]</f>
        <v>Nicole</v>
      </c>
      <c r="J115" s="570">
        <f>Table1[[#This Row],[Date]]</f>
        <v>41148</v>
      </c>
      <c r="K115" s="526"/>
      <c r="L115" s="526"/>
      <c r="AF115" s="499"/>
      <c r="AG115" s="499"/>
      <c r="AH115" s="499"/>
      <c r="AI115" s="499"/>
    </row>
    <row r="116" spans="1:35" s="574" customFormat="1" hidden="1">
      <c r="A116" s="569">
        <v>1</v>
      </c>
      <c r="B116" s="37">
        <v>114</v>
      </c>
      <c r="C116" s="570">
        <v>41148</v>
      </c>
      <c r="D116" s="579" t="s">
        <v>353</v>
      </c>
      <c r="E116" s="579" t="s">
        <v>86</v>
      </c>
      <c r="F116" s="499" t="s">
        <v>458</v>
      </c>
      <c r="G116" s="571" t="s">
        <v>415</v>
      </c>
      <c r="H116" s="571" t="s">
        <v>422</v>
      </c>
      <c r="I116" s="571" t="str">
        <f>Table1[[#This Row],[Staff]]</f>
        <v>Nicole</v>
      </c>
      <c r="J116" s="570">
        <f>Table1[[#This Row],[Date]]</f>
        <v>41148</v>
      </c>
      <c r="K116" s="526"/>
      <c r="L116" s="526"/>
      <c r="AF116" s="499"/>
      <c r="AG116" s="499"/>
      <c r="AH116" s="499"/>
      <c r="AI116" s="499"/>
    </row>
    <row r="117" spans="1:35" s="574" customFormat="1" hidden="1">
      <c r="A117" s="569">
        <v>1</v>
      </c>
      <c r="B117" s="37">
        <v>115</v>
      </c>
      <c r="C117" s="570">
        <v>41148</v>
      </c>
      <c r="D117" s="579" t="s">
        <v>353</v>
      </c>
      <c r="E117" s="579" t="s">
        <v>86</v>
      </c>
      <c r="F117" s="499" t="s">
        <v>459</v>
      </c>
      <c r="G117" s="571" t="s">
        <v>415</v>
      </c>
      <c r="H117" s="571" t="s">
        <v>422</v>
      </c>
      <c r="I117" s="571" t="str">
        <f>Table1[[#This Row],[Staff]]</f>
        <v>Nicole</v>
      </c>
      <c r="J117" s="570">
        <f>Table1[[#This Row],[Date]]</f>
        <v>41148</v>
      </c>
      <c r="K117" s="526"/>
      <c r="L117" s="526"/>
      <c r="AF117" s="499"/>
      <c r="AG117" s="499"/>
      <c r="AH117" s="499"/>
      <c r="AI117" s="499"/>
    </row>
    <row r="118" spans="1:35" s="574" customFormat="1" hidden="1">
      <c r="A118" s="569">
        <v>1</v>
      </c>
      <c r="B118" s="37">
        <v>116</v>
      </c>
      <c r="C118" s="570">
        <v>41148</v>
      </c>
      <c r="D118" s="579" t="s">
        <v>353</v>
      </c>
      <c r="E118" s="579" t="s">
        <v>86</v>
      </c>
      <c r="F118" s="499" t="s">
        <v>460</v>
      </c>
      <c r="G118" s="571" t="s">
        <v>415</v>
      </c>
      <c r="H118" s="571" t="s">
        <v>422</v>
      </c>
      <c r="I118" s="571" t="str">
        <f>Table1[[#This Row],[Staff]]</f>
        <v>Nicole</v>
      </c>
      <c r="J118" s="570">
        <f>Table1[[#This Row],[Date]]</f>
        <v>41148</v>
      </c>
      <c r="K118" s="526"/>
      <c r="L118" s="526"/>
      <c r="AF118" s="499"/>
      <c r="AG118" s="499"/>
      <c r="AH118" s="499"/>
      <c r="AI118" s="499"/>
    </row>
    <row r="119" spans="1:35" s="574" customFormat="1" hidden="1">
      <c r="A119" s="569">
        <v>1</v>
      </c>
      <c r="B119" s="37">
        <v>117</v>
      </c>
      <c r="C119" s="570">
        <v>41148</v>
      </c>
      <c r="D119" s="579" t="s">
        <v>353</v>
      </c>
      <c r="E119" s="579" t="s">
        <v>86</v>
      </c>
      <c r="F119" s="499" t="s">
        <v>466</v>
      </c>
      <c r="G119" s="571" t="s">
        <v>415</v>
      </c>
      <c r="H119" s="571" t="s">
        <v>422</v>
      </c>
      <c r="I119" s="571" t="str">
        <f>Table1[[#This Row],[Staff]]</f>
        <v>Nicole</v>
      </c>
      <c r="J119" s="570">
        <f>Table1[[#This Row],[Date]]</f>
        <v>41148</v>
      </c>
      <c r="K119" s="526"/>
      <c r="L119" s="526"/>
      <c r="AF119" s="499"/>
      <c r="AG119" s="499"/>
      <c r="AH119" s="499"/>
      <c r="AI119" s="499"/>
    </row>
    <row r="120" spans="1:35" s="574" customFormat="1" hidden="1">
      <c r="A120" s="569">
        <v>1</v>
      </c>
      <c r="B120" s="37">
        <v>118</v>
      </c>
      <c r="C120" s="570">
        <v>41148</v>
      </c>
      <c r="D120" s="579" t="s">
        <v>353</v>
      </c>
      <c r="E120" s="579" t="s">
        <v>86</v>
      </c>
      <c r="F120" s="499" t="s">
        <v>467</v>
      </c>
      <c r="G120" s="571" t="s">
        <v>415</v>
      </c>
      <c r="H120" s="571" t="s">
        <v>422</v>
      </c>
      <c r="I120" s="571" t="str">
        <f>Table1[[#This Row],[Staff]]</f>
        <v>Nicole</v>
      </c>
      <c r="J120" s="570">
        <f>Table1[[#This Row],[Date]]</f>
        <v>41148</v>
      </c>
      <c r="K120" s="526"/>
      <c r="L120" s="526"/>
      <c r="AF120" s="499"/>
      <c r="AG120" s="499"/>
      <c r="AH120" s="499"/>
      <c r="AI120" s="499"/>
    </row>
    <row r="121" spans="1:35" s="574" customFormat="1" hidden="1">
      <c r="A121" s="569">
        <v>1</v>
      </c>
      <c r="B121" s="37">
        <v>119</v>
      </c>
      <c r="C121" s="570">
        <v>41148</v>
      </c>
      <c r="D121" s="579" t="s">
        <v>353</v>
      </c>
      <c r="E121" s="579" t="s">
        <v>86</v>
      </c>
      <c r="F121" s="499" t="s">
        <v>473</v>
      </c>
      <c r="G121" s="571" t="s">
        <v>415</v>
      </c>
      <c r="H121" s="571" t="s">
        <v>422</v>
      </c>
      <c r="I121" s="571" t="str">
        <f>Table1[[#This Row],[Staff]]</f>
        <v>Nicole</v>
      </c>
      <c r="J121" s="570">
        <f>Table1[[#This Row],[Date]]</f>
        <v>41148</v>
      </c>
      <c r="K121" s="526"/>
      <c r="L121" s="526"/>
      <c r="AF121" s="499"/>
      <c r="AG121" s="499"/>
      <c r="AH121" s="499"/>
      <c r="AI121" s="499"/>
    </row>
    <row r="122" spans="1:35" s="574" customFormat="1" hidden="1">
      <c r="A122" s="569">
        <v>1</v>
      </c>
      <c r="B122" s="37">
        <v>120</v>
      </c>
      <c r="C122" s="570">
        <v>41148</v>
      </c>
      <c r="D122" s="579" t="s">
        <v>353</v>
      </c>
      <c r="E122" s="579" t="s">
        <v>86</v>
      </c>
      <c r="F122" s="499" t="s">
        <v>474</v>
      </c>
      <c r="G122" s="571" t="s">
        <v>415</v>
      </c>
      <c r="H122" s="571" t="s">
        <v>422</v>
      </c>
      <c r="I122" s="571" t="str">
        <f>Table1[[#This Row],[Staff]]</f>
        <v>Nicole</v>
      </c>
      <c r="J122" s="570">
        <f>Table1[[#This Row],[Date]]</f>
        <v>41148</v>
      </c>
      <c r="K122" s="526"/>
      <c r="L122" s="526"/>
      <c r="AF122" s="499"/>
      <c r="AG122" s="499"/>
      <c r="AH122" s="499"/>
      <c r="AI122" s="499"/>
    </row>
    <row r="123" spans="1:35" s="574" customFormat="1" hidden="1">
      <c r="A123" s="569">
        <v>1</v>
      </c>
      <c r="B123" s="37">
        <v>121</v>
      </c>
      <c r="C123" s="570">
        <v>41148</v>
      </c>
      <c r="D123" s="579" t="s">
        <v>353</v>
      </c>
      <c r="E123" s="579" t="s">
        <v>86</v>
      </c>
      <c r="F123" s="499" t="s">
        <v>475</v>
      </c>
      <c r="G123" s="571" t="s">
        <v>415</v>
      </c>
      <c r="H123" s="571" t="s">
        <v>422</v>
      </c>
      <c r="I123" s="571" t="str">
        <f>Table1[[#This Row],[Staff]]</f>
        <v>Nicole</v>
      </c>
      <c r="J123" s="570">
        <f>Table1[[#This Row],[Date]]</f>
        <v>41148</v>
      </c>
      <c r="K123" s="526"/>
      <c r="L123" s="526"/>
      <c r="AF123" s="499"/>
      <c r="AG123" s="499"/>
      <c r="AH123" s="499"/>
      <c r="AI123" s="499"/>
    </row>
    <row r="124" spans="1:35" s="574" customFormat="1" hidden="1">
      <c r="A124" s="569">
        <v>1</v>
      </c>
      <c r="B124" s="37">
        <v>122</v>
      </c>
      <c r="C124" s="570">
        <v>41148</v>
      </c>
      <c r="D124" s="579" t="s">
        <v>353</v>
      </c>
      <c r="E124" s="579" t="s">
        <v>86</v>
      </c>
      <c r="F124" s="499" t="s">
        <v>476</v>
      </c>
      <c r="G124" s="571" t="s">
        <v>415</v>
      </c>
      <c r="H124" s="571" t="s">
        <v>422</v>
      </c>
      <c r="I124" s="571" t="str">
        <f>Table1[[#This Row],[Staff]]</f>
        <v>Nicole</v>
      </c>
      <c r="J124" s="570">
        <f>Table1[[#This Row],[Date]]</f>
        <v>41148</v>
      </c>
      <c r="K124" s="526"/>
      <c r="L124" s="526"/>
      <c r="AF124" s="499"/>
      <c r="AG124" s="499"/>
      <c r="AH124" s="499"/>
      <c r="AI124" s="499"/>
    </row>
    <row r="125" spans="1:35" s="574" customFormat="1" hidden="1">
      <c r="A125" s="569">
        <v>1</v>
      </c>
      <c r="B125" s="37">
        <v>123</v>
      </c>
      <c r="C125" s="570">
        <v>41148</v>
      </c>
      <c r="D125" s="579" t="s">
        <v>353</v>
      </c>
      <c r="E125" s="579" t="s">
        <v>404</v>
      </c>
      <c r="F125" s="499" t="s">
        <v>477</v>
      </c>
      <c r="G125" s="571" t="s">
        <v>415</v>
      </c>
      <c r="H125" s="571" t="s">
        <v>422</v>
      </c>
      <c r="I125" s="571" t="str">
        <f>Table1[[#This Row],[Staff]]</f>
        <v>Nicole</v>
      </c>
      <c r="J125" s="570">
        <f>Table1[[#This Row],[Date]]</f>
        <v>41148</v>
      </c>
      <c r="K125" s="526"/>
      <c r="L125" s="526"/>
      <c r="AF125" s="499"/>
      <c r="AG125" s="499"/>
      <c r="AH125" s="499"/>
      <c r="AI125" s="499"/>
    </row>
    <row r="126" spans="1:35" s="574" customFormat="1" hidden="1">
      <c r="A126" s="569">
        <v>1</v>
      </c>
      <c r="B126" s="37">
        <v>124</v>
      </c>
      <c r="C126" s="570">
        <v>41148</v>
      </c>
      <c r="D126" s="579" t="s">
        <v>353</v>
      </c>
      <c r="E126" s="579" t="s">
        <v>404</v>
      </c>
      <c r="F126" s="499" t="s">
        <v>478</v>
      </c>
      <c r="G126" s="571" t="s">
        <v>415</v>
      </c>
      <c r="H126" s="571" t="s">
        <v>422</v>
      </c>
      <c r="I126" s="571" t="str">
        <f>Table1[[#This Row],[Staff]]</f>
        <v>Nicole</v>
      </c>
      <c r="J126" s="570">
        <f>Table1[[#This Row],[Date]]</f>
        <v>41148</v>
      </c>
      <c r="K126" s="526"/>
      <c r="L126" s="526"/>
      <c r="AF126" s="499"/>
      <c r="AG126" s="499"/>
      <c r="AH126" s="499"/>
      <c r="AI126" s="499"/>
    </row>
    <row r="127" spans="1:35" s="574" customFormat="1" hidden="1">
      <c r="A127" s="569">
        <v>1</v>
      </c>
      <c r="B127" s="37">
        <v>125</v>
      </c>
      <c r="C127" s="570">
        <v>41148</v>
      </c>
      <c r="D127" s="579" t="s">
        <v>353</v>
      </c>
      <c r="E127" s="579" t="s">
        <v>404</v>
      </c>
      <c r="F127" s="499" t="s">
        <v>479</v>
      </c>
      <c r="G127" s="571" t="s">
        <v>415</v>
      </c>
      <c r="H127" s="571" t="s">
        <v>422</v>
      </c>
      <c r="I127" s="571" t="str">
        <f>Table1[[#This Row],[Staff]]</f>
        <v>Nicole</v>
      </c>
      <c r="J127" s="570">
        <f>Table1[[#This Row],[Date]]</f>
        <v>41148</v>
      </c>
      <c r="K127" s="526"/>
      <c r="L127" s="526"/>
      <c r="AF127" s="499"/>
      <c r="AG127" s="499"/>
      <c r="AH127" s="499"/>
      <c r="AI127" s="499"/>
    </row>
    <row r="128" spans="1:35" s="574" customFormat="1" hidden="1">
      <c r="A128" s="569">
        <v>1</v>
      </c>
      <c r="B128" s="37">
        <v>126</v>
      </c>
      <c r="C128" s="570">
        <v>41148</v>
      </c>
      <c r="D128" s="579" t="s">
        <v>353</v>
      </c>
      <c r="E128" s="579" t="s">
        <v>404</v>
      </c>
      <c r="F128" s="499" t="s">
        <v>480</v>
      </c>
      <c r="G128" s="571" t="s">
        <v>415</v>
      </c>
      <c r="H128" s="571" t="s">
        <v>422</v>
      </c>
      <c r="I128" s="571" t="str">
        <f>Table1[[#This Row],[Staff]]</f>
        <v>Nicole</v>
      </c>
      <c r="J128" s="570">
        <f>Table1[[#This Row],[Date]]</f>
        <v>41148</v>
      </c>
      <c r="K128" s="526"/>
      <c r="L128" s="526"/>
      <c r="AF128" s="499"/>
      <c r="AG128" s="499"/>
      <c r="AH128" s="499"/>
      <c r="AI128" s="499"/>
    </row>
    <row r="129" spans="1:35" s="574" customFormat="1" hidden="1">
      <c r="A129" s="569">
        <v>1</v>
      </c>
      <c r="B129" s="37">
        <v>127</v>
      </c>
      <c r="C129" s="570">
        <v>41148</v>
      </c>
      <c r="D129" s="579" t="s">
        <v>353</v>
      </c>
      <c r="E129" s="579" t="s">
        <v>404</v>
      </c>
      <c r="F129" s="499" t="s">
        <v>481</v>
      </c>
      <c r="G129" s="571" t="s">
        <v>415</v>
      </c>
      <c r="H129" s="571" t="s">
        <v>422</v>
      </c>
      <c r="I129" s="571" t="str">
        <f>Table1[[#This Row],[Staff]]</f>
        <v>Nicole</v>
      </c>
      <c r="J129" s="570">
        <f>Table1[[#This Row],[Date]]</f>
        <v>41148</v>
      </c>
      <c r="K129" s="526"/>
      <c r="L129" s="526"/>
      <c r="AF129" s="499"/>
      <c r="AG129" s="499"/>
      <c r="AH129" s="499"/>
      <c r="AI129" s="499"/>
    </row>
    <row r="130" spans="1:35" s="574" customFormat="1" hidden="1">
      <c r="A130" s="569">
        <v>1</v>
      </c>
      <c r="B130" s="37">
        <v>128</v>
      </c>
      <c r="C130" s="570">
        <v>41148</v>
      </c>
      <c r="D130" s="579" t="s">
        <v>353</v>
      </c>
      <c r="E130" s="579" t="s">
        <v>404</v>
      </c>
      <c r="F130" s="499" t="s">
        <v>482</v>
      </c>
      <c r="G130" s="571" t="s">
        <v>415</v>
      </c>
      <c r="H130" s="571" t="s">
        <v>422</v>
      </c>
      <c r="I130" s="571" t="str">
        <f>Table1[[#This Row],[Staff]]</f>
        <v>Nicole</v>
      </c>
      <c r="J130" s="570">
        <f>Table1[[#This Row],[Date]]</f>
        <v>41148</v>
      </c>
      <c r="K130" s="526"/>
      <c r="L130" s="526"/>
      <c r="AF130" s="499"/>
      <c r="AG130" s="499"/>
      <c r="AH130" s="499"/>
      <c r="AI130" s="499"/>
    </row>
    <row r="131" spans="1:35" s="574" customFormat="1" hidden="1">
      <c r="A131" s="569">
        <v>1</v>
      </c>
      <c r="B131" s="37">
        <v>129</v>
      </c>
      <c r="C131" s="570">
        <v>41148</v>
      </c>
      <c r="D131" s="579" t="s">
        <v>353</v>
      </c>
      <c r="E131" s="579" t="s">
        <v>404</v>
      </c>
      <c r="F131" s="499" t="s">
        <v>483</v>
      </c>
      <c r="G131" s="571" t="s">
        <v>415</v>
      </c>
      <c r="H131" s="571" t="s">
        <v>422</v>
      </c>
      <c r="I131" s="571" t="str">
        <f>Table1[[#This Row],[Staff]]</f>
        <v>Nicole</v>
      </c>
      <c r="J131" s="570">
        <f>Table1[[#This Row],[Date]]</f>
        <v>41148</v>
      </c>
      <c r="K131" s="526"/>
      <c r="L131" s="526"/>
      <c r="AF131" s="499"/>
      <c r="AG131" s="499"/>
      <c r="AH131" s="499"/>
      <c r="AI131" s="499"/>
    </row>
    <row r="132" spans="1:35" s="574" customFormat="1" hidden="1">
      <c r="A132" s="569">
        <v>1</v>
      </c>
      <c r="B132" s="37">
        <v>130</v>
      </c>
      <c r="C132" s="570">
        <v>41148</v>
      </c>
      <c r="D132" s="579" t="s">
        <v>353</v>
      </c>
      <c r="E132" s="579" t="s">
        <v>404</v>
      </c>
      <c r="F132" s="499" t="s">
        <v>484</v>
      </c>
      <c r="G132" s="571" t="s">
        <v>415</v>
      </c>
      <c r="H132" s="571" t="s">
        <v>422</v>
      </c>
      <c r="I132" s="571" t="str">
        <f>Table1[[#This Row],[Staff]]</f>
        <v>Nicole</v>
      </c>
      <c r="J132" s="570">
        <f>Table1[[#This Row],[Date]]</f>
        <v>41148</v>
      </c>
      <c r="K132" s="526"/>
      <c r="L132" s="526"/>
      <c r="AF132" s="499"/>
      <c r="AG132" s="499"/>
      <c r="AH132" s="499"/>
      <c r="AI132" s="499"/>
    </row>
    <row r="133" spans="1:35" s="574" customFormat="1" hidden="1">
      <c r="A133" s="569">
        <v>1</v>
      </c>
      <c r="B133" s="37">
        <v>131</v>
      </c>
      <c r="C133" s="570">
        <v>41148</v>
      </c>
      <c r="D133" s="579" t="s">
        <v>353</v>
      </c>
      <c r="E133" s="579" t="s">
        <v>404</v>
      </c>
      <c r="F133" s="499" t="s">
        <v>485</v>
      </c>
      <c r="G133" s="571" t="s">
        <v>486</v>
      </c>
      <c r="H133" s="571" t="s">
        <v>487</v>
      </c>
      <c r="I133" s="571" t="str">
        <f>Table1[[#This Row],[Staff]]</f>
        <v>Nicole</v>
      </c>
      <c r="J133" s="570">
        <f>Table1[[#This Row],[Date]]</f>
        <v>41148</v>
      </c>
      <c r="K133" s="526"/>
      <c r="L133" s="526"/>
      <c r="AF133" s="499"/>
      <c r="AG133" s="499"/>
      <c r="AH133" s="499"/>
      <c r="AI133" s="499"/>
    </row>
    <row r="134" spans="1:35" s="574" customFormat="1" ht="27.6" hidden="1">
      <c r="A134" s="569">
        <v>1</v>
      </c>
      <c r="B134" s="37">
        <v>132</v>
      </c>
      <c r="C134" s="570">
        <v>41148</v>
      </c>
      <c r="D134" s="579" t="s">
        <v>353</v>
      </c>
      <c r="E134" s="579" t="s">
        <v>86</v>
      </c>
      <c r="F134" s="499" t="s">
        <v>488</v>
      </c>
      <c r="G134" s="571" t="s">
        <v>490</v>
      </c>
      <c r="H134" s="571" t="s">
        <v>489</v>
      </c>
      <c r="I134" s="571" t="str">
        <f>Table1[[#This Row],[Staff]]</f>
        <v>Nicole</v>
      </c>
      <c r="J134" s="570">
        <f>Table1[[#This Row],[Date]]</f>
        <v>41148</v>
      </c>
      <c r="K134" s="526"/>
      <c r="L134" s="526"/>
      <c r="AF134" s="499"/>
      <c r="AG134" s="499"/>
      <c r="AH134" s="499"/>
      <c r="AI134" s="499"/>
    </row>
    <row r="135" spans="1:35" s="574" customFormat="1" ht="27.6" hidden="1">
      <c r="A135" s="569">
        <v>1</v>
      </c>
      <c r="B135" s="37">
        <v>133</v>
      </c>
      <c r="C135" s="570">
        <v>41148</v>
      </c>
      <c r="D135" s="579" t="s">
        <v>353</v>
      </c>
      <c r="E135" s="579" t="s">
        <v>86</v>
      </c>
      <c r="F135" s="499" t="s">
        <v>491</v>
      </c>
      <c r="G135" s="571" t="s">
        <v>492</v>
      </c>
      <c r="H135" s="571" t="s">
        <v>493</v>
      </c>
      <c r="I135" s="571" t="str">
        <f>Table1[[#This Row],[Staff]]</f>
        <v>Nicole</v>
      </c>
      <c r="J135" s="570">
        <f>Table1[[#This Row],[Date]]</f>
        <v>41148</v>
      </c>
      <c r="K135" s="526"/>
      <c r="L135" s="526"/>
      <c r="AF135" s="499"/>
      <c r="AG135" s="499"/>
      <c r="AH135" s="499"/>
      <c r="AI135" s="499"/>
    </row>
    <row r="136" spans="1:35" s="574" customFormat="1" hidden="1">
      <c r="A136" s="569">
        <v>1</v>
      </c>
      <c r="B136" s="37">
        <v>134</v>
      </c>
      <c r="C136" s="570">
        <v>41148</v>
      </c>
      <c r="D136" s="579" t="s">
        <v>353</v>
      </c>
      <c r="E136" s="579" t="s">
        <v>86</v>
      </c>
      <c r="F136" s="499" t="s">
        <v>494</v>
      </c>
      <c r="G136" s="571" t="s">
        <v>486</v>
      </c>
      <c r="H136" s="571" t="s">
        <v>495</v>
      </c>
      <c r="I136" s="571" t="str">
        <f>Table1[[#This Row],[Staff]]</f>
        <v>Nicole</v>
      </c>
      <c r="J136" s="570">
        <f>Table1[[#This Row],[Date]]</f>
        <v>41148</v>
      </c>
      <c r="K136" s="526"/>
      <c r="L136" s="526"/>
      <c r="AF136" s="499"/>
      <c r="AG136" s="499"/>
      <c r="AH136" s="499"/>
      <c r="AI136" s="499"/>
    </row>
    <row r="137" spans="1:35" s="574" customFormat="1" ht="27.6" hidden="1">
      <c r="A137" s="569">
        <v>1</v>
      </c>
      <c r="B137" s="37">
        <v>135</v>
      </c>
      <c r="C137" s="570">
        <v>41148</v>
      </c>
      <c r="D137" s="579" t="s">
        <v>353</v>
      </c>
      <c r="E137" s="579" t="s">
        <v>86</v>
      </c>
      <c r="F137" s="499" t="s">
        <v>497</v>
      </c>
      <c r="G137" s="571" t="s">
        <v>498</v>
      </c>
      <c r="H137" s="571" t="s">
        <v>499</v>
      </c>
      <c r="I137" s="571" t="str">
        <f>Table1[[#This Row],[Staff]]</f>
        <v>Nicole</v>
      </c>
      <c r="J137" s="570">
        <f>Table1[[#This Row],[Date]]</f>
        <v>41148</v>
      </c>
      <c r="K137" s="526"/>
      <c r="L137" s="526"/>
      <c r="AF137" s="499"/>
      <c r="AG137" s="499"/>
      <c r="AH137" s="499"/>
      <c r="AI137" s="499"/>
    </row>
    <row r="138" spans="1:35" s="574" customFormat="1" ht="27.6" hidden="1">
      <c r="A138" s="569">
        <v>1</v>
      </c>
      <c r="B138" s="37">
        <v>136</v>
      </c>
      <c r="C138" s="570">
        <v>41148</v>
      </c>
      <c r="D138" s="579" t="s">
        <v>353</v>
      </c>
      <c r="E138" s="579" t="s">
        <v>77</v>
      </c>
      <c r="F138" s="499" t="s">
        <v>500</v>
      </c>
      <c r="G138" s="571" t="s">
        <v>490</v>
      </c>
      <c r="H138" s="571" t="s">
        <v>489</v>
      </c>
      <c r="I138" s="571" t="str">
        <f>Table1[[#This Row],[Staff]]</f>
        <v>Nicole</v>
      </c>
      <c r="J138" s="570">
        <f>Table1[[#This Row],[Date]]</f>
        <v>41148</v>
      </c>
      <c r="K138" s="526"/>
      <c r="L138" s="526"/>
      <c r="AF138" s="499"/>
      <c r="AG138" s="499"/>
      <c r="AH138" s="499"/>
      <c r="AI138" s="499"/>
    </row>
    <row r="139" spans="1:35" s="574" customFormat="1" ht="27.6" hidden="1">
      <c r="A139" s="569">
        <v>1</v>
      </c>
      <c r="B139" s="37">
        <v>137</v>
      </c>
      <c r="C139" s="570">
        <v>41148</v>
      </c>
      <c r="D139" s="579" t="s">
        <v>353</v>
      </c>
      <c r="E139" s="579" t="s">
        <v>77</v>
      </c>
      <c r="F139" s="499" t="s">
        <v>502</v>
      </c>
      <c r="G139" s="571" t="s">
        <v>504</v>
      </c>
      <c r="H139" s="571" t="s">
        <v>503</v>
      </c>
      <c r="I139" s="571" t="str">
        <f>Table1[[#This Row],[Staff]]</f>
        <v>Nicole</v>
      </c>
      <c r="J139" s="570">
        <f>Table1[[#This Row],[Date]]</f>
        <v>41148</v>
      </c>
      <c r="K139" s="526"/>
      <c r="L139" s="526"/>
      <c r="AF139" s="499"/>
      <c r="AG139" s="499"/>
      <c r="AH139" s="499"/>
      <c r="AI139" s="499"/>
    </row>
    <row r="140" spans="1:35" s="574" customFormat="1" ht="27.6" hidden="1">
      <c r="A140" s="569">
        <v>1</v>
      </c>
      <c r="B140" s="37">
        <v>138</v>
      </c>
      <c r="C140" s="570">
        <v>41148</v>
      </c>
      <c r="D140" s="579" t="s">
        <v>353</v>
      </c>
      <c r="E140" s="579" t="s">
        <v>77</v>
      </c>
      <c r="F140" s="499" t="s">
        <v>505</v>
      </c>
      <c r="G140" s="571" t="s">
        <v>504</v>
      </c>
      <c r="H140" s="571" t="s">
        <v>503</v>
      </c>
      <c r="I140" s="571" t="str">
        <f>Table1[[#This Row],[Staff]]</f>
        <v>Nicole</v>
      </c>
      <c r="J140" s="570">
        <f>Table1[[#This Row],[Date]]</f>
        <v>41148</v>
      </c>
      <c r="K140" s="526"/>
      <c r="L140" s="526"/>
      <c r="AF140" s="499"/>
      <c r="AG140" s="499"/>
      <c r="AH140" s="499"/>
      <c r="AI140" s="499"/>
    </row>
    <row r="141" spans="1:35" s="574" customFormat="1" ht="41.4" hidden="1">
      <c r="A141" s="569">
        <v>1</v>
      </c>
      <c r="B141" s="37">
        <v>139</v>
      </c>
      <c r="C141" s="570">
        <v>41148</v>
      </c>
      <c r="D141" s="579" t="s">
        <v>353</v>
      </c>
      <c r="E141" s="579" t="s">
        <v>77</v>
      </c>
      <c r="F141" s="499" t="s">
        <v>506</v>
      </c>
      <c r="G141" s="571" t="s">
        <v>507</v>
      </c>
      <c r="H141" s="571" t="s">
        <v>508</v>
      </c>
      <c r="I141" s="571" t="str">
        <f>Table1[[#This Row],[Staff]]</f>
        <v>Nicole</v>
      </c>
      <c r="J141" s="570">
        <f>Table1[[#This Row],[Date]]</f>
        <v>41148</v>
      </c>
      <c r="K141" s="526"/>
      <c r="L141" s="526"/>
      <c r="AF141" s="499"/>
      <c r="AG141" s="499"/>
      <c r="AH141" s="499"/>
      <c r="AI141" s="499"/>
    </row>
    <row r="142" spans="1:35" s="574" customFormat="1" hidden="1">
      <c r="A142" s="569">
        <v>1</v>
      </c>
      <c r="B142" s="37">
        <v>140</v>
      </c>
      <c r="C142" s="570">
        <v>41148</v>
      </c>
      <c r="D142" s="579" t="s">
        <v>353</v>
      </c>
      <c r="E142" s="579" t="s">
        <v>400</v>
      </c>
      <c r="F142" s="499" t="s">
        <v>497</v>
      </c>
      <c r="G142" s="571" t="s">
        <v>498</v>
      </c>
      <c r="H142" s="571" t="s">
        <v>510</v>
      </c>
      <c r="I142" s="571" t="str">
        <f>Table1[[#This Row],[Staff]]</f>
        <v>Nicole</v>
      </c>
      <c r="J142" s="570">
        <f>Table1[[#This Row],[Date]]</f>
        <v>41148</v>
      </c>
      <c r="K142" s="526"/>
      <c r="L142" s="526"/>
      <c r="AF142" s="499"/>
      <c r="AG142" s="499"/>
      <c r="AH142" s="499"/>
      <c r="AI142" s="499"/>
    </row>
    <row r="143" spans="1:35" s="574" customFormat="1" ht="27.6" hidden="1">
      <c r="A143" s="569">
        <v>1</v>
      </c>
      <c r="B143" s="37">
        <v>141</v>
      </c>
      <c r="C143" s="570">
        <v>41148</v>
      </c>
      <c r="D143" s="579" t="s">
        <v>353</v>
      </c>
      <c r="E143" s="579" t="s">
        <v>400</v>
      </c>
      <c r="F143" s="499" t="s">
        <v>488</v>
      </c>
      <c r="G143" s="571" t="s">
        <v>490</v>
      </c>
      <c r="H143" s="571" t="s">
        <v>489</v>
      </c>
      <c r="I143" s="571" t="str">
        <f>Table1[[#This Row],[Staff]]</f>
        <v>Nicole</v>
      </c>
      <c r="J143" s="570">
        <f>Table1[[#This Row],[Date]]</f>
        <v>41148</v>
      </c>
      <c r="K143" s="526"/>
      <c r="L143" s="526"/>
      <c r="AF143" s="499"/>
      <c r="AG143" s="499"/>
      <c r="AH143" s="499"/>
      <c r="AI143" s="499"/>
    </row>
    <row r="144" spans="1:35" s="574" customFormat="1" ht="27.6" hidden="1">
      <c r="A144" s="569">
        <v>1</v>
      </c>
      <c r="B144" s="37">
        <v>142</v>
      </c>
      <c r="C144" s="570">
        <v>41148</v>
      </c>
      <c r="D144" s="579" t="s">
        <v>353</v>
      </c>
      <c r="E144" s="579" t="s">
        <v>86</v>
      </c>
      <c r="F144" s="499" t="s">
        <v>497</v>
      </c>
      <c r="G144" s="571" t="s">
        <v>492</v>
      </c>
      <c r="H144" s="571" t="s">
        <v>493</v>
      </c>
      <c r="I144" s="571" t="str">
        <f>Table1[[#This Row],[Staff]]</f>
        <v>Nicole</v>
      </c>
      <c r="J144" s="570">
        <f>Table1[[#This Row],[Date]]</f>
        <v>41148</v>
      </c>
      <c r="K144" s="526"/>
      <c r="L144" s="526"/>
      <c r="AF144" s="499"/>
      <c r="AG144" s="499"/>
      <c r="AH144" s="499"/>
      <c r="AI144" s="499"/>
    </row>
    <row r="145" spans="1:35" s="574" customFormat="1" ht="27.6" hidden="1">
      <c r="A145" s="569">
        <v>1</v>
      </c>
      <c r="B145" s="37">
        <v>143</v>
      </c>
      <c r="C145" s="570">
        <v>41148</v>
      </c>
      <c r="D145" s="579" t="s">
        <v>353</v>
      </c>
      <c r="E145" s="579" t="s">
        <v>77</v>
      </c>
      <c r="F145" s="499" t="s">
        <v>497</v>
      </c>
      <c r="G145" s="571" t="s">
        <v>492</v>
      </c>
      <c r="H145" s="571" t="s">
        <v>493</v>
      </c>
      <c r="I145" s="571" t="str">
        <f>Table1[[#This Row],[Staff]]</f>
        <v>Nicole</v>
      </c>
      <c r="J145" s="570">
        <f>Table1[[#This Row],[Date]]</f>
        <v>41148</v>
      </c>
      <c r="K145" s="526"/>
      <c r="L145" s="526"/>
      <c r="AF145" s="499"/>
      <c r="AG145" s="499"/>
      <c r="AH145" s="499"/>
      <c r="AI145" s="499"/>
    </row>
    <row r="146" spans="1:35" s="574" customFormat="1" ht="27.6" hidden="1">
      <c r="A146" s="569">
        <v>1</v>
      </c>
      <c r="B146" s="37">
        <v>144</v>
      </c>
      <c r="C146" s="570">
        <v>41148</v>
      </c>
      <c r="D146" s="579" t="s">
        <v>353</v>
      </c>
      <c r="E146" s="579" t="s">
        <v>77</v>
      </c>
      <c r="F146" s="499" t="s">
        <v>488</v>
      </c>
      <c r="G146" s="571" t="s">
        <v>511</v>
      </c>
      <c r="H146" s="571" t="s">
        <v>493</v>
      </c>
      <c r="I146" s="571" t="str">
        <f>Table1[[#This Row],[Staff]]</f>
        <v>Nicole</v>
      </c>
      <c r="J146" s="570">
        <f>Table1[[#This Row],[Date]]</f>
        <v>41148</v>
      </c>
      <c r="K146" s="526"/>
      <c r="L146" s="526"/>
      <c r="AF146" s="499"/>
      <c r="AG146" s="499"/>
      <c r="AH146" s="499"/>
      <c r="AI146" s="499"/>
    </row>
    <row r="147" spans="1:35" s="574" customFormat="1" ht="27.6" hidden="1">
      <c r="A147" s="569">
        <v>1</v>
      </c>
      <c r="B147" s="37">
        <v>145</v>
      </c>
      <c r="C147" s="570">
        <v>41148</v>
      </c>
      <c r="D147" s="579" t="s">
        <v>353</v>
      </c>
      <c r="E147" s="579" t="s">
        <v>400</v>
      </c>
      <c r="F147" s="499" t="s">
        <v>497</v>
      </c>
      <c r="G147" s="571" t="s">
        <v>492</v>
      </c>
      <c r="H147" s="571" t="s">
        <v>493</v>
      </c>
      <c r="I147" s="571" t="str">
        <f>Table1[[#This Row],[Staff]]</f>
        <v>Nicole</v>
      </c>
      <c r="J147" s="570">
        <f>Table1[[#This Row],[Date]]</f>
        <v>41148</v>
      </c>
      <c r="K147" s="526"/>
      <c r="L147" s="526"/>
      <c r="AF147" s="499"/>
      <c r="AG147" s="499"/>
      <c r="AH147" s="499"/>
      <c r="AI147" s="499"/>
    </row>
    <row r="148" spans="1:35" s="574" customFormat="1" ht="27.6" hidden="1">
      <c r="A148" s="569">
        <v>1</v>
      </c>
      <c r="B148" s="37">
        <v>146</v>
      </c>
      <c r="C148" s="570">
        <v>41148</v>
      </c>
      <c r="D148" s="579" t="s">
        <v>353</v>
      </c>
      <c r="E148" s="579" t="s">
        <v>400</v>
      </c>
      <c r="F148" s="499" t="s">
        <v>488</v>
      </c>
      <c r="G148" s="571" t="s">
        <v>490</v>
      </c>
      <c r="H148" s="571" t="s">
        <v>489</v>
      </c>
      <c r="I148" s="571" t="str">
        <f>Table1[[#This Row],[Staff]]</f>
        <v>Nicole</v>
      </c>
      <c r="J148" s="570">
        <f>Table1[[#This Row],[Date]]</f>
        <v>41148</v>
      </c>
      <c r="K148" s="526"/>
      <c r="L148" s="526"/>
      <c r="AF148" s="499"/>
      <c r="AG148" s="499"/>
      <c r="AH148" s="499"/>
      <c r="AI148" s="499"/>
    </row>
    <row r="149" spans="1:35" s="574" customFormat="1" ht="27.6" hidden="1">
      <c r="A149" s="569">
        <v>1</v>
      </c>
      <c r="B149" s="37">
        <v>147</v>
      </c>
      <c r="C149" s="570">
        <v>41148</v>
      </c>
      <c r="D149" s="579" t="s">
        <v>353</v>
      </c>
      <c r="E149" s="579" t="s">
        <v>397</v>
      </c>
      <c r="F149" s="499" t="s">
        <v>491</v>
      </c>
      <c r="G149" s="571" t="s">
        <v>492</v>
      </c>
      <c r="H149" s="571" t="s">
        <v>493</v>
      </c>
      <c r="I149" s="571" t="str">
        <f>Table1[[#This Row],[Staff]]</f>
        <v>Nicole</v>
      </c>
      <c r="J149" s="570">
        <f>Table1[[#This Row],[Date]]</f>
        <v>41148</v>
      </c>
      <c r="K149" s="526"/>
      <c r="L149" s="526"/>
      <c r="AF149" s="499"/>
      <c r="AG149" s="499"/>
      <c r="AH149" s="499"/>
      <c r="AI149" s="499"/>
    </row>
    <row r="150" spans="1:35" s="574" customFormat="1" ht="27.6" hidden="1">
      <c r="A150" s="569">
        <v>1</v>
      </c>
      <c r="B150" s="37">
        <v>148</v>
      </c>
      <c r="C150" s="570">
        <v>41148</v>
      </c>
      <c r="D150" s="579" t="s">
        <v>353</v>
      </c>
      <c r="E150" s="579" t="s">
        <v>397</v>
      </c>
      <c r="F150" s="499" t="s">
        <v>497</v>
      </c>
      <c r="G150" s="571" t="s">
        <v>511</v>
      </c>
      <c r="H150" s="571" t="s">
        <v>493</v>
      </c>
      <c r="I150" s="571" t="str">
        <f>Table1[[#This Row],[Staff]]</f>
        <v>Nicole</v>
      </c>
      <c r="J150" s="570">
        <f>Table1[[#This Row],[Date]]</f>
        <v>41148</v>
      </c>
      <c r="K150" s="526"/>
      <c r="L150" s="526"/>
      <c r="AF150" s="499"/>
      <c r="AG150" s="499"/>
      <c r="AH150" s="499"/>
      <c r="AI150" s="499"/>
    </row>
    <row r="151" spans="1:35" s="574" customFormat="1" ht="27.6" hidden="1">
      <c r="A151" s="569">
        <v>1</v>
      </c>
      <c r="B151" s="37">
        <v>149</v>
      </c>
      <c r="C151" s="570">
        <v>41148</v>
      </c>
      <c r="D151" s="579" t="s">
        <v>353</v>
      </c>
      <c r="E151" s="579" t="s">
        <v>397</v>
      </c>
      <c r="F151" s="499" t="s">
        <v>497</v>
      </c>
      <c r="G151" s="571" t="s">
        <v>498</v>
      </c>
      <c r="H151" s="571" t="s">
        <v>513</v>
      </c>
      <c r="I151" s="571" t="str">
        <f>Table1[[#This Row],[Staff]]</f>
        <v>Nicole</v>
      </c>
      <c r="J151" s="570">
        <f>Table1[[#This Row],[Date]]</f>
        <v>41148</v>
      </c>
      <c r="K151" s="526"/>
      <c r="L151" s="526"/>
      <c r="AF151" s="499"/>
      <c r="AG151" s="499"/>
      <c r="AH151" s="499"/>
      <c r="AI151" s="499"/>
    </row>
    <row r="152" spans="1:35" s="574" customFormat="1" ht="27.6" hidden="1">
      <c r="A152" s="569">
        <v>1</v>
      </c>
      <c r="B152" s="37">
        <v>150</v>
      </c>
      <c r="C152" s="570">
        <v>41148</v>
      </c>
      <c r="D152" s="579" t="s">
        <v>353</v>
      </c>
      <c r="E152" s="579" t="s">
        <v>397</v>
      </c>
      <c r="F152" s="499" t="s">
        <v>488</v>
      </c>
      <c r="G152" s="571" t="s">
        <v>490</v>
      </c>
      <c r="H152" s="571" t="s">
        <v>489</v>
      </c>
      <c r="I152" s="571" t="str">
        <f>Table1[[#This Row],[Staff]]</f>
        <v>Nicole</v>
      </c>
      <c r="J152" s="570">
        <f>Table1[[#This Row],[Date]]</f>
        <v>41148</v>
      </c>
      <c r="K152" s="526"/>
      <c r="L152" s="526"/>
      <c r="AF152" s="499"/>
      <c r="AG152" s="499"/>
      <c r="AH152" s="499"/>
      <c r="AI152" s="499"/>
    </row>
    <row r="153" spans="1:35" s="574" customFormat="1" ht="27.6" hidden="1">
      <c r="A153" s="569">
        <v>1</v>
      </c>
      <c r="B153" s="37">
        <v>151</v>
      </c>
      <c r="C153" s="570">
        <v>41148</v>
      </c>
      <c r="D153" s="579" t="s">
        <v>353</v>
      </c>
      <c r="E153" s="579" t="s">
        <v>397</v>
      </c>
      <c r="F153" s="499" t="s">
        <v>514</v>
      </c>
      <c r="G153" s="571" t="s">
        <v>517</v>
      </c>
      <c r="H153" s="571" t="s">
        <v>515</v>
      </c>
      <c r="I153" s="571" t="str">
        <f>Table1[[#This Row],[Staff]]</f>
        <v>Nicole</v>
      </c>
      <c r="J153" s="570">
        <f>Table1[[#This Row],[Date]]</f>
        <v>41148</v>
      </c>
      <c r="K153" s="526"/>
      <c r="L153" s="526"/>
      <c r="AF153" s="499"/>
      <c r="AG153" s="499"/>
      <c r="AH153" s="499"/>
      <c r="AI153" s="499"/>
    </row>
    <row r="154" spans="1:35" s="574" customFormat="1" ht="27.6" hidden="1">
      <c r="A154" s="569">
        <v>1</v>
      </c>
      <c r="B154" s="37">
        <v>152</v>
      </c>
      <c r="C154" s="570">
        <v>41148</v>
      </c>
      <c r="D154" s="579" t="s">
        <v>353</v>
      </c>
      <c r="E154" s="579" t="s">
        <v>397</v>
      </c>
      <c r="F154" s="499" t="s">
        <v>516</v>
      </c>
      <c r="G154" s="571" t="s">
        <v>517</v>
      </c>
      <c r="H154" s="571" t="s">
        <v>515</v>
      </c>
      <c r="I154" s="571" t="str">
        <f>Table1[[#This Row],[Staff]]</f>
        <v>Nicole</v>
      </c>
      <c r="J154" s="570">
        <f>Table1[[#This Row],[Date]]</f>
        <v>41148</v>
      </c>
      <c r="K154" s="526"/>
      <c r="L154" s="526"/>
      <c r="AF154" s="499"/>
      <c r="AG154" s="499"/>
      <c r="AH154" s="499"/>
      <c r="AI154" s="499"/>
    </row>
    <row r="155" spans="1:35" s="574" customFormat="1" ht="27.6" hidden="1">
      <c r="A155" s="569">
        <v>1</v>
      </c>
      <c r="B155" s="37">
        <v>153</v>
      </c>
      <c r="C155" s="570">
        <v>41148</v>
      </c>
      <c r="D155" s="579" t="s">
        <v>353</v>
      </c>
      <c r="E155" s="579" t="s">
        <v>392</v>
      </c>
      <c r="F155" s="499" t="s">
        <v>497</v>
      </c>
      <c r="G155" s="571" t="s">
        <v>498</v>
      </c>
      <c r="H155" s="571" t="s">
        <v>519</v>
      </c>
      <c r="I155" s="571" t="str">
        <f>Table1[[#This Row],[Staff]]</f>
        <v>Nicole</v>
      </c>
      <c r="J155" s="570">
        <f>Table1[[#This Row],[Date]]</f>
        <v>41148</v>
      </c>
      <c r="K155" s="526"/>
      <c r="L155" s="526"/>
      <c r="AF155" s="499"/>
      <c r="AG155" s="499"/>
      <c r="AH155" s="499"/>
      <c r="AI155" s="499"/>
    </row>
    <row r="156" spans="1:35" s="574" customFormat="1" ht="27.6" hidden="1">
      <c r="A156" s="569">
        <v>1</v>
      </c>
      <c r="B156" s="37">
        <v>154</v>
      </c>
      <c r="C156" s="570">
        <v>41148</v>
      </c>
      <c r="D156" s="579" t="s">
        <v>353</v>
      </c>
      <c r="E156" s="579" t="s">
        <v>392</v>
      </c>
      <c r="F156" s="499" t="s">
        <v>488</v>
      </c>
      <c r="G156" s="571" t="s">
        <v>490</v>
      </c>
      <c r="H156" s="571" t="s">
        <v>489</v>
      </c>
      <c r="I156" s="571" t="str">
        <f>Table1[[#This Row],[Staff]]</f>
        <v>Nicole</v>
      </c>
      <c r="J156" s="570">
        <f>Table1[[#This Row],[Date]]</f>
        <v>41148</v>
      </c>
      <c r="K156" s="526"/>
      <c r="L156" s="526"/>
      <c r="AF156" s="499"/>
      <c r="AG156" s="499"/>
      <c r="AH156" s="499"/>
      <c r="AI156" s="499"/>
    </row>
    <row r="157" spans="1:35" s="574" customFormat="1" ht="27.6" hidden="1">
      <c r="A157" s="569">
        <v>1</v>
      </c>
      <c r="B157" s="37">
        <v>155</v>
      </c>
      <c r="C157" s="570">
        <v>41148</v>
      </c>
      <c r="D157" s="579" t="s">
        <v>353</v>
      </c>
      <c r="E157" s="579" t="s">
        <v>392</v>
      </c>
      <c r="F157" s="499" t="s">
        <v>491</v>
      </c>
      <c r="G157" s="571" t="s">
        <v>511</v>
      </c>
      <c r="H157" s="571" t="s">
        <v>493</v>
      </c>
      <c r="I157" s="571" t="str">
        <f>Table1[[#This Row],[Staff]]</f>
        <v>Nicole</v>
      </c>
      <c r="J157" s="570">
        <f>Table1[[#This Row],[Date]]</f>
        <v>41148</v>
      </c>
      <c r="K157" s="526"/>
      <c r="L157" s="526"/>
      <c r="AF157" s="499"/>
      <c r="AG157" s="499"/>
      <c r="AH157" s="499"/>
      <c r="AI157" s="499"/>
    </row>
    <row r="158" spans="1:35" s="574" customFormat="1" ht="27.6" hidden="1">
      <c r="A158" s="569">
        <v>1</v>
      </c>
      <c r="B158" s="37">
        <v>156</v>
      </c>
      <c r="C158" s="570">
        <v>41148</v>
      </c>
      <c r="D158" s="579" t="s">
        <v>353</v>
      </c>
      <c r="E158" s="579" t="s">
        <v>392</v>
      </c>
      <c r="F158" s="499" t="s">
        <v>497</v>
      </c>
      <c r="G158" s="571" t="s">
        <v>511</v>
      </c>
      <c r="H158" s="571" t="s">
        <v>493</v>
      </c>
      <c r="I158" s="571" t="str">
        <f>Table1[[#This Row],[Staff]]</f>
        <v>Nicole</v>
      </c>
      <c r="J158" s="570">
        <f>Table1[[#This Row],[Date]]</f>
        <v>41148</v>
      </c>
      <c r="K158" s="526"/>
      <c r="L158" s="526"/>
      <c r="AF158" s="499"/>
      <c r="AG158" s="499"/>
      <c r="AH158" s="499"/>
      <c r="AI158" s="499"/>
    </row>
    <row r="159" spans="1:35" s="574" customFormat="1" ht="27.6" hidden="1">
      <c r="A159" s="569">
        <v>1</v>
      </c>
      <c r="B159" s="37">
        <v>157</v>
      </c>
      <c r="C159" s="570">
        <v>41148</v>
      </c>
      <c r="D159" s="579" t="s">
        <v>353</v>
      </c>
      <c r="E159" s="579" t="s">
        <v>386</v>
      </c>
      <c r="F159" s="499" t="s">
        <v>491</v>
      </c>
      <c r="G159" s="571" t="s">
        <v>511</v>
      </c>
      <c r="H159" s="571" t="s">
        <v>493</v>
      </c>
      <c r="I159" s="571" t="str">
        <f>Table1[[#This Row],[Staff]]</f>
        <v>Nicole</v>
      </c>
      <c r="J159" s="570">
        <f>Table1[[#This Row],[Date]]</f>
        <v>41148</v>
      </c>
      <c r="K159" s="526"/>
      <c r="L159" s="526"/>
      <c r="AF159" s="499"/>
      <c r="AG159" s="499"/>
      <c r="AH159" s="499"/>
      <c r="AI159" s="499"/>
    </row>
    <row r="160" spans="1:35" s="574" customFormat="1" hidden="1">
      <c r="A160" s="569">
        <v>1</v>
      </c>
      <c r="B160" s="37">
        <v>158</v>
      </c>
      <c r="C160" s="570">
        <v>41148</v>
      </c>
      <c r="D160" s="579" t="s">
        <v>353</v>
      </c>
      <c r="E160" s="579" t="s">
        <v>386</v>
      </c>
      <c r="F160" s="499" t="s">
        <v>497</v>
      </c>
      <c r="G160" s="571" t="s">
        <v>498</v>
      </c>
      <c r="H160" s="571" t="s">
        <v>521</v>
      </c>
      <c r="I160" s="571" t="str">
        <f>Table1[[#This Row],[Staff]]</f>
        <v>Nicole</v>
      </c>
      <c r="J160" s="570">
        <f>Table1[[#This Row],[Date]]</f>
        <v>41148</v>
      </c>
      <c r="K160" s="526"/>
      <c r="L160" s="526"/>
      <c r="AF160" s="499"/>
      <c r="AG160" s="499"/>
      <c r="AH160" s="499"/>
      <c r="AI160" s="499"/>
    </row>
    <row r="161" spans="1:12" ht="27.6" hidden="1">
      <c r="A161" s="569">
        <v>1</v>
      </c>
      <c r="B161" s="37">
        <v>159</v>
      </c>
      <c r="C161" s="570">
        <v>41148</v>
      </c>
      <c r="D161" s="579" t="s">
        <v>353</v>
      </c>
      <c r="E161" s="579" t="s">
        <v>386</v>
      </c>
      <c r="F161" s="499" t="s">
        <v>497</v>
      </c>
      <c r="G161" s="571" t="s">
        <v>511</v>
      </c>
      <c r="H161" s="571" t="s">
        <v>493</v>
      </c>
      <c r="I161" s="571" t="s">
        <v>0</v>
      </c>
      <c r="J161" s="570">
        <f>Table1[[#This Row],[Date]]</f>
        <v>41148</v>
      </c>
      <c r="K161" s="526"/>
      <c r="L161" s="526"/>
    </row>
    <row r="162" spans="1:12" ht="27.6" hidden="1">
      <c r="A162" s="569">
        <v>1</v>
      </c>
      <c r="B162" s="37">
        <v>160</v>
      </c>
      <c r="C162" s="570">
        <v>41148</v>
      </c>
      <c r="D162" s="579" t="s">
        <v>353</v>
      </c>
      <c r="E162" s="579" t="s">
        <v>386</v>
      </c>
      <c r="F162" s="499" t="s">
        <v>488</v>
      </c>
      <c r="G162" s="571" t="s">
        <v>490</v>
      </c>
      <c r="H162" s="571" t="s">
        <v>489</v>
      </c>
      <c r="I162" s="571" t="s">
        <v>0</v>
      </c>
      <c r="J162" s="570">
        <f>Table1[[#This Row],[Date]]</f>
        <v>41148</v>
      </c>
      <c r="K162" s="526"/>
      <c r="L162" s="526"/>
    </row>
    <row r="163" spans="1:12" ht="27.6" hidden="1">
      <c r="A163" s="569">
        <v>1</v>
      </c>
      <c r="B163" s="37">
        <v>161</v>
      </c>
      <c r="C163" s="570">
        <v>41148</v>
      </c>
      <c r="D163" s="579" t="s">
        <v>353</v>
      </c>
      <c r="E163" s="579" t="s">
        <v>384</v>
      </c>
      <c r="F163" s="499" t="s">
        <v>491</v>
      </c>
      <c r="G163" s="571" t="s">
        <v>511</v>
      </c>
      <c r="H163" s="571" t="s">
        <v>493</v>
      </c>
      <c r="I163" s="571" t="s">
        <v>0</v>
      </c>
      <c r="J163" s="570">
        <f>Table1[[#This Row],[Date]]</f>
        <v>41148</v>
      </c>
      <c r="K163" s="526"/>
      <c r="L163" s="526"/>
    </row>
    <row r="164" spans="1:12" ht="27.6" hidden="1">
      <c r="A164" s="569">
        <v>1</v>
      </c>
      <c r="B164" s="37">
        <v>162</v>
      </c>
      <c r="C164" s="570">
        <v>41148</v>
      </c>
      <c r="D164" s="579" t="s">
        <v>353</v>
      </c>
      <c r="E164" s="579" t="s">
        <v>384</v>
      </c>
      <c r="F164" s="499" t="s">
        <v>497</v>
      </c>
      <c r="G164" s="571" t="s">
        <v>511</v>
      </c>
      <c r="H164" s="571" t="s">
        <v>493</v>
      </c>
      <c r="I164" s="571" t="s">
        <v>0</v>
      </c>
      <c r="J164" s="570">
        <f>Table1[[#This Row],[Date]]</f>
        <v>41148</v>
      </c>
      <c r="K164" s="526"/>
      <c r="L164" s="526"/>
    </row>
    <row r="165" spans="1:12" ht="27.6" hidden="1">
      <c r="A165" s="569">
        <v>1</v>
      </c>
      <c r="B165" s="37">
        <v>163</v>
      </c>
      <c r="C165" s="570">
        <v>41148</v>
      </c>
      <c r="D165" s="579" t="s">
        <v>353</v>
      </c>
      <c r="E165" s="579" t="s">
        <v>384</v>
      </c>
      <c r="F165" s="499" t="s">
        <v>488</v>
      </c>
      <c r="G165" s="571" t="s">
        <v>490</v>
      </c>
      <c r="H165" s="571" t="s">
        <v>489</v>
      </c>
      <c r="I165" s="571" t="s">
        <v>0</v>
      </c>
      <c r="J165" s="570">
        <f>Table1[[#This Row],[Date]]</f>
        <v>41148</v>
      </c>
      <c r="K165" s="526"/>
      <c r="L165" s="526"/>
    </row>
    <row r="166" spans="1:12" ht="27.6" hidden="1">
      <c r="A166" s="569">
        <v>1</v>
      </c>
      <c r="B166" s="37">
        <v>164</v>
      </c>
      <c r="C166" s="570">
        <v>41148</v>
      </c>
      <c r="D166" s="579" t="s">
        <v>353</v>
      </c>
      <c r="E166" s="579" t="s">
        <v>61</v>
      </c>
      <c r="F166" s="499" t="s">
        <v>491</v>
      </c>
      <c r="G166" s="571" t="s">
        <v>511</v>
      </c>
      <c r="H166" s="571" t="s">
        <v>493</v>
      </c>
      <c r="I166" s="571" t="s">
        <v>0</v>
      </c>
      <c r="J166" s="570">
        <f>Table1[[#This Row],[Date]]</f>
        <v>41148</v>
      </c>
      <c r="K166" s="526"/>
      <c r="L166" s="526"/>
    </row>
    <row r="167" spans="1:12" ht="27.6" hidden="1">
      <c r="A167" s="569">
        <v>1</v>
      </c>
      <c r="B167" s="37">
        <v>165</v>
      </c>
      <c r="C167" s="570">
        <v>41148</v>
      </c>
      <c r="D167" s="579" t="s">
        <v>353</v>
      </c>
      <c r="E167" s="579" t="s">
        <v>379</v>
      </c>
      <c r="F167" s="499" t="s">
        <v>491</v>
      </c>
      <c r="G167" s="571" t="s">
        <v>511</v>
      </c>
      <c r="H167" s="571" t="s">
        <v>493</v>
      </c>
      <c r="I167" s="571" t="s">
        <v>0</v>
      </c>
      <c r="J167" s="570">
        <f>Table1[[#This Row],[Date]]</f>
        <v>41148</v>
      </c>
      <c r="K167" s="526"/>
      <c r="L167" s="526"/>
    </row>
    <row r="168" spans="1:12" ht="27.6" hidden="1">
      <c r="A168" s="569">
        <v>1</v>
      </c>
      <c r="B168" s="37">
        <v>166</v>
      </c>
      <c r="C168" s="570">
        <v>41148</v>
      </c>
      <c r="D168" s="579" t="s">
        <v>353</v>
      </c>
      <c r="E168" s="579" t="s">
        <v>376</v>
      </c>
      <c r="F168" s="499" t="s">
        <v>514</v>
      </c>
      <c r="G168" s="571" t="s">
        <v>522</v>
      </c>
      <c r="H168" s="571" t="s">
        <v>523</v>
      </c>
      <c r="I168" s="571" t="s">
        <v>0</v>
      </c>
      <c r="J168" s="570">
        <f>Table1[[#This Row],[Date]]</f>
        <v>41148</v>
      </c>
      <c r="K168" s="526"/>
      <c r="L168" s="526"/>
    </row>
    <row r="169" spans="1:12" ht="27.6" hidden="1">
      <c r="A169" s="569">
        <v>1</v>
      </c>
      <c r="B169" s="37">
        <v>167</v>
      </c>
      <c r="C169" s="570">
        <v>41148</v>
      </c>
      <c r="D169" s="579" t="s">
        <v>353</v>
      </c>
      <c r="E169" s="579" t="s">
        <v>376</v>
      </c>
      <c r="F169" s="499" t="s">
        <v>524</v>
      </c>
      <c r="G169" s="571" t="s">
        <v>522</v>
      </c>
      <c r="H169" s="571" t="s">
        <v>523</v>
      </c>
      <c r="I169" s="571" t="s">
        <v>0</v>
      </c>
      <c r="J169" s="570">
        <f>Table1[[#This Row],[Date]]</f>
        <v>41148</v>
      </c>
      <c r="K169" s="526"/>
      <c r="L169" s="526"/>
    </row>
    <row r="170" spans="1:12" ht="27.6" hidden="1">
      <c r="A170" s="569">
        <v>1</v>
      </c>
      <c r="B170" s="37">
        <v>168</v>
      </c>
      <c r="C170" s="570">
        <v>41148</v>
      </c>
      <c r="D170" s="579" t="s">
        <v>353</v>
      </c>
      <c r="E170" s="579" t="s">
        <v>376</v>
      </c>
      <c r="F170" s="499" t="s">
        <v>525</v>
      </c>
      <c r="G170" s="571" t="s">
        <v>522</v>
      </c>
      <c r="H170" s="571" t="s">
        <v>523</v>
      </c>
      <c r="I170" s="571" t="s">
        <v>0</v>
      </c>
      <c r="J170" s="570">
        <f>Table1[[#This Row],[Date]]</f>
        <v>41148</v>
      </c>
      <c r="K170" s="526"/>
      <c r="L170" s="526"/>
    </row>
    <row r="171" spans="1:12" ht="27.6" hidden="1">
      <c r="A171" s="569">
        <v>1</v>
      </c>
      <c r="B171" s="37">
        <v>169</v>
      </c>
      <c r="C171" s="570">
        <v>41148</v>
      </c>
      <c r="D171" s="579" t="s">
        <v>353</v>
      </c>
      <c r="E171" s="579" t="s">
        <v>376</v>
      </c>
      <c r="F171" s="499" t="s">
        <v>526</v>
      </c>
      <c r="G171" s="571" t="s">
        <v>522</v>
      </c>
      <c r="H171" s="571" t="s">
        <v>523</v>
      </c>
      <c r="I171" s="571" t="s">
        <v>0</v>
      </c>
      <c r="J171" s="570">
        <f>Table1[[#This Row],[Date]]</f>
        <v>41148</v>
      </c>
      <c r="K171" s="526"/>
      <c r="L171" s="526"/>
    </row>
    <row r="172" spans="1:12" ht="27.6" hidden="1">
      <c r="A172" s="569">
        <v>1</v>
      </c>
      <c r="B172" s="37">
        <v>170</v>
      </c>
      <c r="C172" s="570">
        <v>41148</v>
      </c>
      <c r="D172" s="579" t="s">
        <v>353</v>
      </c>
      <c r="E172" s="579" t="s">
        <v>376</v>
      </c>
      <c r="F172" s="499" t="s">
        <v>527</v>
      </c>
      <c r="G172" s="571" t="s">
        <v>522</v>
      </c>
      <c r="H172" s="571" t="s">
        <v>523</v>
      </c>
      <c r="I172" s="571" t="s">
        <v>0</v>
      </c>
      <c r="J172" s="570">
        <f>Table1[[#This Row],[Date]]</f>
        <v>41148</v>
      </c>
      <c r="K172" s="526"/>
      <c r="L172" s="526"/>
    </row>
    <row r="173" spans="1:12" ht="27.6" hidden="1">
      <c r="A173" s="569">
        <v>1</v>
      </c>
      <c r="B173" s="37">
        <v>171</v>
      </c>
      <c r="C173" s="570">
        <v>41148</v>
      </c>
      <c r="D173" s="579" t="s">
        <v>353</v>
      </c>
      <c r="E173" s="579" t="s">
        <v>376</v>
      </c>
      <c r="F173" s="499" t="s">
        <v>528</v>
      </c>
      <c r="G173" s="571" t="s">
        <v>522</v>
      </c>
      <c r="H173" s="571" t="s">
        <v>523</v>
      </c>
      <c r="I173" s="571" t="s">
        <v>0</v>
      </c>
      <c r="J173" s="570">
        <f>Table1[[#This Row],[Date]]</f>
        <v>41148</v>
      </c>
      <c r="K173" s="526"/>
      <c r="L173" s="526"/>
    </row>
    <row r="174" spans="1:12" ht="27.6" hidden="1">
      <c r="A174" s="569">
        <v>1</v>
      </c>
      <c r="B174" s="37">
        <v>172</v>
      </c>
      <c r="C174" s="570">
        <v>41148</v>
      </c>
      <c r="D174" s="579" t="s">
        <v>353</v>
      </c>
      <c r="E174" s="579" t="s">
        <v>376</v>
      </c>
      <c r="F174" s="499" t="s">
        <v>529</v>
      </c>
      <c r="G174" s="571" t="s">
        <v>530</v>
      </c>
      <c r="H174" s="571" t="s">
        <v>531</v>
      </c>
      <c r="I174" s="581" t="str">
        <f>Table1[[#This Row],[Staff]]</f>
        <v>Nicole</v>
      </c>
      <c r="J174" s="570">
        <f>Table1[[#This Row],[Date]]</f>
        <v>41148</v>
      </c>
      <c r="K174" s="526"/>
      <c r="L174" s="526"/>
    </row>
    <row r="175" spans="1:12" ht="27.6" hidden="1">
      <c r="A175" s="569">
        <v>1</v>
      </c>
      <c r="B175" s="37">
        <v>173</v>
      </c>
      <c r="C175" s="570">
        <v>41148</v>
      </c>
      <c r="D175" s="579" t="s">
        <v>353</v>
      </c>
      <c r="E175" s="579" t="s">
        <v>376</v>
      </c>
      <c r="F175" s="499" t="s">
        <v>532</v>
      </c>
      <c r="G175" s="571" t="s">
        <v>530</v>
      </c>
      <c r="H175" s="571" t="s">
        <v>531</v>
      </c>
      <c r="I175" s="581" t="str">
        <f>Table1[[#This Row],[Staff]]</f>
        <v>Nicole</v>
      </c>
      <c r="J175" s="570">
        <f>Table1[[#This Row],[Date]]</f>
        <v>41148</v>
      </c>
      <c r="K175" s="526"/>
      <c r="L175" s="526"/>
    </row>
    <row r="176" spans="1:12" ht="27.6" hidden="1">
      <c r="A176" s="569">
        <v>1</v>
      </c>
      <c r="B176" s="37">
        <v>174</v>
      </c>
      <c r="C176" s="570">
        <v>41148</v>
      </c>
      <c r="D176" s="579" t="s">
        <v>353</v>
      </c>
      <c r="E176" s="579" t="s">
        <v>376</v>
      </c>
      <c r="F176" s="499" t="s">
        <v>533</v>
      </c>
      <c r="G176" s="571" t="s">
        <v>530</v>
      </c>
      <c r="H176" s="571" t="s">
        <v>531</v>
      </c>
      <c r="I176" s="581" t="str">
        <f>Table1[[#This Row],[Staff]]</f>
        <v>Nicole</v>
      </c>
      <c r="J176" s="570">
        <f>Table1[[#This Row],[Date]]</f>
        <v>41148</v>
      </c>
      <c r="K176" s="526"/>
      <c r="L176" s="526"/>
    </row>
    <row r="177" spans="1:12" ht="27.6" hidden="1">
      <c r="A177" s="569">
        <v>1</v>
      </c>
      <c r="B177" s="37">
        <v>175</v>
      </c>
      <c r="C177" s="570">
        <v>41148</v>
      </c>
      <c r="D177" s="579" t="s">
        <v>353</v>
      </c>
      <c r="E177" s="579" t="s">
        <v>376</v>
      </c>
      <c r="F177" s="499" t="s">
        <v>534</v>
      </c>
      <c r="G177" s="571" t="s">
        <v>530</v>
      </c>
      <c r="H177" s="571" t="s">
        <v>531</v>
      </c>
      <c r="I177" s="581" t="str">
        <f>Table1[[#This Row],[Staff]]</f>
        <v>Nicole</v>
      </c>
      <c r="J177" s="570">
        <f>Table1[[#This Row],[Date]]</f>
        <v>41148</v>
      </c>
      <c r="K177" s="526"/>
      <c r="L177" s="526"/>
    </row>
    <row r="178" spans="1:12" ht="27.6" hidden="1">
      <c r="A178" s="569">
        <v>1</v>
      </c>
      <c r="B178" s="37">
        <v>176</v>
      </c>
      <c r="C178" s="570">
        <v>41148</v>
      </c>
      <c r="D178" s="579" t="s">
        <v>353</v>
      </c>
      <c r="E178" s="579" t="s">
        <v>369</v>
      </c>
      <c r="F178" s="499" t="s">
        <v>535</v>
      </c>
      <c r="G178" s="571" t="s">
        <v>536</v>
      </c>
      <c r="H178" s="571" t="s">
        <v>493</v>
      </c>
      <c r="I178" s="581" t="str">
        <f>Table1[[#This Row],[Staff]]</f>
        <v>Nicole</v>
      </c>
      <c r="J178" s="570">
        <f>Table1[[#This Row],[Date]]</f>
        <v>41148</v>
      </c>
      <c r="K178" s="526"/>
      <c r="L178" s="526"/>
    </row>
    <row r="179" spans="1:12" ht="27.6" hidden="1">
      <c r="A179" s="569">
        <v>1</v>
      </c>
      <c r="B179" s="37">
        <v>177</v>
      </c>
      <c r="C179" s="570">
        <v>41148</v>
      </c>
      <c r="D179" s="579" t="s">
        <v>353</v>
      </c>
      <c r="E179" s="579" t="s">
        <v>369</v>
      </c>
      <c r="F179" s="499" t="s">
        <v>537</v>
      </c>
      <c r="G179" s="571" t="s">
        <v>538</v>
      </c>
      <c r="H179" s="571" t="s">
        <v>539</v>
      </c>
      <c r="I179" s="581" t="str">
        <f>Table1[[#This Row],[Staff]]</f>
        <v>Nicole</v>
      </c>
      <c r="J179" s="570">
        <f>Table1[[#This Row],[Date]]</f>
        <v>41148</v>
      </c>
      <c r="K179" s="526"/>
      <c r="L179" s="526"/>
    </row>
    <row r="180" spans="1:12" ht="27.6" hidden="1">
      <c r="A180" s="569">
        <v>1</v>
      </c>
      <c r="B180" s="37">
        <v>178</v>
      </c>
      <c r="C180" s="570">
        <v>41148</v>
      </c>
      <c r="D180" s="579" t="s">
        <v>353</v>
      </c>
      <c r="E180" s="579" t="s">
        <v>369</v>
      </c>
      <c r="F180" s="499" t="s">
        <v>540</v>
      </c>
      <c r="G180" s="571" t="s">
        <v>541</v>
      </c>
      <c r="H180" s="571" t="s">
        <v>542</v>
      </c>
      <c r="I180" s="581" t="str">
        <f>Table1[[#This Row],[Staff]]</f>
        <v>Nicole</v>
      </c>
      <c r="J180" s="570">
        <f>Table1[[#This Row],[Date]]</f>
        <v>41148</v>
      </c>
      <c r="K180" s="526"/>
      <c r="L180" s="526"/>
    </row>
    <row r="181" spans="1:12" ht="27.6" hidden="1">
      <c r="A181" s="569">
        <v>1</v>
      </c>
      <c r="B181" s="37">
        <v>179</v>
      </c>
      <c r="C181" s="570">
        <v>41148</v>
      </c>
      <c r="D181" s="580" t="s">
        <v>353</v>
      </c>
      <c r="E181" s="580" t="s">
        <v>158</v>
      </c>
      <c r="F181" s="499" t="s">
        <v>497</v>
      </c>
      <c r="G181" s="571" t="s">
        <v>543</v>
      </c>
      <c r="H181" s="571" t="s">
        <v>544</v>
      </c>
      <c r="I181" s="581" t="str">
        <f>Table1[[#This Row],[Staff]]</f>
        <v>Nicole</v>
      </c>
      <c r="J181" s="570">
        <f>Table1[[#This Row],[Date]]</f>
        <v>41148</v>
      </c>
      <c r="K181" s="526"/>
      <c r="L181" s="526"/>
    </row>
    <row r="182" spans="1:12" ht="27.6" hidden="1">
      <c r="A182" s="569">
        <v>1</v>
      </c>
      <c r="B182" s="37">
        <v>180</v>
      </c>
      <c r="C182" s="570">
        <v>41148</v>
      </c>
      <c r="D182" s="580" t="s">
        <v>353</v>
      </c>
      <c r="E182" s="580" t="s">
        <v>158</v>
      </c>
      <c r="F182" s="499" t="s">
        <v>514</v>
      </c>
      <c r="G182" s="571" t="s">
        <v>543</v>
      </c>
      <c r="H182" s="571" t="s">
        <v>544</v>
      </c>
      <c r="I182" s="581" t="str">
        <f>Table1[[#This Row],[Staff]]</f>
        <v>Nicole</v>
      </c>
      <c r="J182" s="570">
        <f>Table1[[#This Row],[Date]]</f>
        <v>41148</v>
      </c>
      <c r="K182" s="526"/>
      <c r="L182" s="526"/>
    </row>
    <row r="183" spans="1:12" ht="27.6" hidden="1">
      <c r="A183" s="569">
        <v>1</v>
      </c>
      <c r="B183" s="37">
        <v>181</v>
      </c>
      <c r="C183" s="570">
        <v>41148</v>
      </c>
      <c r="D183" s="580" t="s">
        <v>353</v>
      </c>
      <c r="E183" s="580" t="s">
        <v>158</v>
      </c>
      <c r="F183" s="499" t="s">
        <v>528</v>
      </c>
      <c r="G183" s="571" t="s">
        <v>543</v>
      </c>
      <c r="H183" s="571" t="s">
        <v>544</v>
      </c>
      <c r="I183" s="581" t="str">
        <f>Table1[[#This Row],[Staff]]</f>
        <v>Nicole</v>
      </c>
      <c r="J183" s="570">
        <f>Table1[[#This Row],[Date]]</f>
        <v>41148</v>
      </c>
      <c r="K183" s="526"/>
      <c r="L183" s="526"/>
    </row>
    <row r="184" spans="1:12" ht="27.6" hidden="1">
      <c r="A184" s="569">
        <v>1</v>
      </c>
      <c r="B184" s="37">
        <v>182</v>
      </c>
      <c r="C184" s="570">
        <v>41148</v>
      </c>
      <c r="D184" s="580" t="s">
        <v>353</v>
      </c>
      <c r="E184" s="580" t="s">
        <v>369</v>
      </c>
      <c r="F184" s="499" t="s">
        <v>506</v>
      </c>
      <c r="G184" s="571" t="s">
        <v>546</v>
      </c>
      <c r="H184" s="571" t="s">
        <v>463</v>
      </c>
      <c r="I184" s="581" t="str">
        <f>Table1[[#This Row],[Staff]]</f>
        <v>Nicole</v>
      </c>
      <c r="J184" s="570">
        <f>Table1[[#This Row],[Date]]</f>
        <v>41148</v>
      </c>
      <c r="K184" s="526"/>
      <c r="L184" s="526"/>
    </row>
    <row r="185" spans="1:12" hidden="1">
      <c r="A185" s="569">
        <v>1</v>
      </c>
      <c r="B185" s="37">
        <v>183</v>
      </c>
      <c r="C185" s="570">
        <v>41148</v>
      </c>
      <c r="D185" s="580" t="s">
        <v>353</v>
      </c>
      <c r="E185" s="580" t="s">
        <v>158</v>
      </c>
      <c r="F185" s="499" t="s">
        <v>550</v>
      </c>
      <c r="G185" s="571" t="s">
        <v>551</v>
      </c>
      <c r="H185" s="571" t="s">
        <v>552</v>
      </c>
      <c r="I185" s="581" t="str">
        <f>Table1[[#This Row],[Staff]]</f>
        <v>Nicole</v>
      </c>
      <c r="J185" s="570">
        <f>Table1[[#This Row],[Date]]</f>
        <v>41148</v>
      </c>
      <c r="K185" s="526"/>
      <c r="L185" s="526"/>
    </row>
    <row r="186" spans="1:12" hidden="1">
      <c r="A186" s="569">
        <v>1</v>
      </c>
      <c r="B186" s="37">
        <v>184</v>
      </c>
      <c r="C186" s="570">
        <v>41148</v>
      </c>
      <c r="D186" s="580" t="s">
        <v>353</v>
      </c>
      <c r="E186" s="580" t="s">
        <v>369</v>
      </c>
      <c r="F186" s="499" t="s">
        <v>553</v>
      </c>
      <c r="G186" s="571" t="s">
        <v>551</v>
      </c>
      <c r="H186" s="571" t="s">
        <v>552</v>
      </c>
      <c r="I186" s="581" t="str">
        <f>Table1[[#This Row],[Staff]]</f>
        <v>Nicole</v>
      </c>
      <c r="J186" s="570">
        <f>Table1[[#This Row],[Date]]</f>
        <v>41148</v>
      </c>
      <c r="K186" s="526"/>
      <c r="L186" s="526"/>
    </row>
    <row r="187" spans="1:12" hidden="1">
      <c r="A187" s="569">
        <v>1</v>
      </c>
      <c r="B187" s="37">
        <v>185</v>
      </c>
      <c r="C187" s="570">
        <v>41148</v>
      </c>
      <c r="D187" s="580" t="s">
        <v>353</v>
      </c>
      <c r="E187" s="580" t="s">
        <v>8</v>
      </c>
      <c r="F187" s="499" t="s">
        <v>553</v>
      </c>
      <c r="G187" s="571" t="s">
        <v>551</v>
      </c>
      <c r="H187" s="571" t="s">
        <v>552</v>
      </c>
      <c r="I187" s="581" t="str">
        <f>Table1[[#This Row],[Staff]]</f>
        <v>Nicole</v>
      </c>
      <c r="J187" s="570">
        <f>Table1[[#This Row],[Date]]</f>
        <v>41148</v>
      </c>
      <c r="K187" s="526"/>
      <c r="L187" s="526"/>
    </row>
    <row r="188" spans="1:12" hidden="1">
      <c r="A188" s="569">
        <v>1</v>
      </c>
      <c r="B188" s="37">
        <v>186</v>
      </c>
      <c r="C188" s="570">
        <v>41148</v>
      </c>
      <c r="D188" s="580" t="s">
        <v>353</v>
      </c>
      <c r="E188" s="580" t="s">
        <v>376</v>
      </c>
      <c r="F188" s="499" t="s">
        <v>553</v>
      </c>
      <c r="G188" s="571" t="s">
        <v>551</v>
      </c>
      <c r="H188" s="571" t="s">
        <v>552</v>
      </c>
      <c r="I188" s="581" t="str">
        <f>Table1[[#This Row],[Staff]]</f>
        <v>Nicole</v>
      </c>
      <c r="J188" s="570">
        <f>Table1[[#This Row],[Date]]</f>
        <v>41148</v>
      </c>
      <c r="K188" s="526"/>
      <c r="L188" s="526"/>
    </row>
    <row r="189" spans="1:12" hidden="1">
      <c r="A189" s="569">
        <v>1</v>
      </c>
      <c r="B189" s="37">
        <v>187</v>
      </c>
      <c r="C189" s="570">
        <v>41148</v>
      </c>
      <c r="D189" s="580" t="s">
        <v>353</v>
      </c>
      <c r="E189" s="580" t="s">
        <v>379</v>
      </c>
      <c r="F189" s="499" t="s">
        <v>553</v>
      </c>
      <c r="G189" s="571" t="s">
        <v>551</v>
      </c>
      <c r="H189" s="571" t="s">
        <v>552</v>
      </c>
      <c r="I189" s="581" t="str">
        <f>Table1[[#This Row],[Staff]]</f>
        <v>Nicole</v>
      </c>
      <c r="J189" s="570">
        <f>Table1[[#This Row],[Date]]</f>
        <v>41148</v>
      </c>
      <c r="K189" s="526"/>
      <c r="L189" s="526"/>
    </row>
    <row r="190" spans="1:12" hidden="1">
      <c r="A190" s="569">
        <v>1</v>
      </c>
      <c r="B190" s="37">
        <v>188</v>
      </c>
      <c r="C190" s="570">
        <v>41148</v>
      </c>
      <c r="D190" s="580" t="s">
        <v>353</v>
      </c>
      <c r="E190" s="580" t="s">
        <v>61</v>
      </c>
      <c r="F190" s="499" t="s">
        <v>553</v>
      </c>
      <c r="G190" s="571" t="s">
        <v>551</v>
      </c>
      <c r="H190" s="571" t="s">
        <v>552</v>
      </c>
      <c r="I190" s="581" t="str">
        <f>Table1[[#This Row],[Staff]]</f>
        <v>Nicole</v>
      </c>
      <c r="J190" s="570">
        <f>Table1[[#This Row],[Date]]</f>
        <v>41148</v>
      </c>
      <c r="K190" s="526"/>
      <c r="L190" s="526"/>
    </row>
    <row r="191" spans="1:12" hidden="1">
      <c r="A191" s="569">
        <v>1</v>
      </c>
      <c r="B191" s="37">
        <v>189</v>
      </c>
      <c r="C191" s="570">
        <v>41148</v>
      </c>
      <c r="D191" s="580" t="s">
        <v>353</v>
      </c>
      <c r="E191" s="580" t="s">
        <v>384</v>
      </c>
      <c r="F191" s="499" t="s">
        <v>553</v>
      </c>
      <c r="G191" s="571" t="s">
        <v>551</v>
      </c>
      <c r="H191" s="571" t="s">
        <v>552</v>
      </c>
      <c r="I191" s="581" t="str">
        <f>Table1[[#This Row],[Staff]]</f>
        <v>Nicole</v>
      </c>
      <c r="J191" s="570">
        <f>Table1[[#This Row],[Date]]</f>
        <v>41148</v>
      </c>
      <c r="K191" s="526"/>
      <c r="L191" s="526"/>
    </row>
    <row r="192" spans="1:12" hidden="1">
      <c r="A192" s="569">
        <v>1</v>
      </c>
      <c r="B192" s="37">
        <v>190</v>
      </c>
      <c r="C192" s="570">
        <v>41148</v>
      </c>
      <c r="D192" s="580" t="s">
        <v>353</v>
      </c>
      <c r="E192" s="580" t="s">
        <v>386</v>
      </c>
      <c r="F192" s="499" t="s">
        <v>553</v>
      </c>
      <c r="G192" s="571" t="s">
        <v>551</v>
      </c>
      <c r="H192" s="571" t="s">
        <v>552</v>
      </c>
      <c r="I192" s="581" t="str">
        <f>Table1[[#This Row],[Staff]]</f>
        <v>Nicole</v>
      </c>
      <c r="J192" s="570">
        <f>Table1[[#This Row],[Date]]</f>
        <v>41148</v>
      </c>
      <c r="K192" s="526"/>
      <c r="L192" s="526"/>
    </row>
    <row r="193" spans="1:12" hidden="1">
      <c r="A193" s="569">
        <v>1</v>
      </c>
      <c r="B193" s="37">
        <v>191</v>
      </c>
      <c r="C193" s="570">
        <v>41148</v>
      </c>
      <c r="D193" s="580" t="s">
        <v>353</v>
      </c>
      <c r="E193" s="580" t="s">
        <v>392</v>
      </c>
      <c r="F193" s="499" t="s">
        <v>553</v>
      </c>
      <c r="G193" s="571" t="s">
        <v>551</v>
      </c>
      <c r="H193" s="571" t="s">
        <v>552</v>
      </c>
      <c r="I193" s="581" t="str">
        <f>Table1[[#This Row],[Staff]]</f>
        <v>Nicole</v>
      </c>
      <c r="J193" s="570">
        <f>Table1[[#This Row],[Date]]</f>
        <v>41148</v>
      </c>
      <c r="K193" s="526"/>
      <c r="L193" s="526"/>
    </row>
    <row r="194" spans="1:12" hidden="1">
      <c r="A194" s="569">
        <v>1</v>
      </c>
      <c r="B194" s="37">
        <v>192</v>
      </c>
      <c r="C194" s="570">
        <v>41148</v>
      </c>
      <c r="D194" s="580" t="s">
        <v>353</v>
      </c>
      <c r="E194" s="580" t="s">
        <v>397</v>
      </c>
      <c r="F194" s="499" t="s">
        <v>553</v>
      </c>
      <c r="G194" s="571" t="s">
        <v>551</v>
      </c>
      <c r="H194" s="571" t="s">
        <v>552</v>
      </c>
      <c r="I194" s="581" t="str">
        <f>Table1[[#This Row],[Staff]]</f>
        <v>Nicole</v>
      </c>
      <c r="J194" s="570">
        <f>Table1[[#This Row],[Date]]</f>
        <v>41148</v>
      </c>
      <c r="K194" s="526"/>
      <c r="L194" s="526"/>
    </row>
    <row r="195" spans="1:12" hidden="1">
      <c r="A195" s="569">
        <v>1</v>
      </c>
      <c r="B195" s="37">
        <v>193</v>
      </c>
      <c r="C195" s="570">
        <v>41148</v>
      </c>
      <c r="D195" s="580" t="s">
        <v>353</v>
      </c>
      <c r="E195" s="580" t="s">
        <v>400</v>
      </c>
      <c r="F195" s="499" t="s">
        <v>553</v>
      </c>
      <c r="G195" s="571" t="s">
        <v>551</v>
      </c>
      <c r="H195" s="571" t="s">
        <v>552</v>
      </c>
      <c r="I195" s="581" t="str">
        <f>Table1[[#This Row],[Staff]]</f>
        <v>Nicole</v>
      </c>
      <c r="J195" s="570">
        <f>Table1[[#This Row],[Date]]</f>
        <v>41148</v>
      </c>
      <c r="K195" s="526"/>
      <c r="L195" s="526"/>
    </row>
    <row r="196" spans="1:12" hidden="1">
      <c r="A196" s="569">
        <v>1</v>
      </c>
      <c r="B196" s="37">
        <v>194</v>
      </c>
      <c r="C196" s="570">
        <v>41148</v>
      </c>
      <c r="D196" s="580" t="s">
        <v>353</v>
      </c>
      <c r="E196" s="580" t="s">
        <v>77</v>
      </c>
      <c r="F196" s="499" t="s">
        <v>553</v>
      </c>
      <c r="G196" s="571" t="s">
        <v>551</v>
      </c>
      <c r="H196" s="571" t="s">
        <v>552</v>
      </c>
      <c r="I196" s="581" t="str">
        <f>Table1[[#This Row],[Staff]]</f>
        <v>Nicole</v>
      </c>
      <c r="J196" s="570">
        <f>Table1[[#This Row],[Date]]</f>
        <v>41148</v>
      </c>
      <c r="K196" s="526"/>
      <c r="L196" s="526"/>
    </row>
    <row r="197" spans="1:12" hidden="1">
      <c r="A197" s="569">
        <v>1</v>
      </c>
      <c r="B197" s="37">
        <v>195</v>
      </c>
      <c r="C197" s="570">
        <v>41148</v>
      </c>
      <c r="D197" s="580" t="s">
        <v>353</v>
      </c>
      <c r="E197" s="580" t="s">
        <v>86</v>
      </c>
      <c r="F197" s="499" t="s">
        <v>553</v>
      </c>
      <c r="G197" s="571" t="s">
        <v>551</v>
      </c>
      <c r="H197" s="571" t="s">
        <v>552</v>
      </c>
      <c r="I197" s="581" t="str">
        <f>Table1[[#This Row],[Staff]]</f>
        <v>Nicole</v>
      </c>
      <c r="J197" s="570">
        <f>Table1[[#This Row],[Date]]</f>
        <v>41148</v>
      </c>
      <c r="K197" s="526"/>
      <c r="L197" s="526"/>
    </row>
    <row r="198" spans="1:12" hidden="1">
      <c r="A198" s="569">
        <v>1</v>
      </c>
      <c r="B198" s="37">
        <v>196</v>
      </c>
      <c r="C198" s="570">
        <v>41148</v>
      </c>
      <c r="D198" s="580" t="s">
        <v>353</v>
      </c>
      <c r="E198" s="580" t="s">
        <v>404</v>
      </c>
      <c r="F198" s="499" t="s">
        <v>553</v>
      </c>
      <c r="G198" s="571" t="s">
        <v>551</v>
      </c>
      <c r="H198" s="571" t="s">
        <v>552</v>
      </c>
      <c r="I198" s="581" t="str">
        <f>Table1[[#This Row],[Staff]]</f>
        <v>Nicole</v>
      </c>
      <c r="J198" s="570">
        <f>Table1[[#This Row],[Date]]</f>
        <v>41148</v>
      </c>
      <c r="K198" s="526"/>
      <c r="L198" s="526"/>
    </row>
    <row r="199" spans="1:12" ht="27.6" hidden="1">
      <c r="A199" s="569">
        <v>1</v>
      </c>
      <c r="B199" s="37">
        <v>197</v>
      </c>
      <c r="C199" s="570">
        <v>41148</v>
      </c>
      <c r="D199" s="580" t="s">
        <v>353</v>
      </c>
      <c r="E199" s="580" t="s">
        <v>360</v>
      </c>
      <c r="F199" s="499" t="s">
        <v>554</v>
      </c>
      <c r="G199" s="571" t="s">
        <v>555</v>
      </c>
      <c r="H199" s="571" t="s">
        <v>556</v>
      </c>
      <c r="I199" s="581" t="str">
        <f>Table1[[#This Row],[Staff]]</f>
        <v>Nicole</v>
      </c>
      <c r="J199" s="570">
        <f>Table1[[#This Row],[Date]]</f>
        <v>41148</v>
      </c>
      <c r="K199" s="526"/>
      <c r="L199" s="526"/>
    </row>
    <row r="200" spans="1:12" ht="27.6" hidden="1">
      <c r="A200" s="569">
        <v>1</v>
      </c>
      <c r="B200" s="37">
        <v>198</v>
      </c>
      <c r="C200" s="570">
        <v>41148</v>
      </c>
      <c r="D200" s="580" t="s">
        <v>353</v>
      </c>
      <c r="E200" s="580" t="s">
        <v>360</v>
      </c>
      <c r="F200" s="499" t="s">
        <v>557</v>
      </c>
      <c r="G200" s="571" t="s">
        <v>558</v>
      </c>
      <c r="H200" s="571" t="s">
        <v>493</v>
      </c>
      <c r="I200" s="581" t="str">
        <f>Table1[[#This Row],[Staff]]</f>
        <v>Nicole</v>
      </c>
      <c r="J200" s="570">
        <f>Table1[[#This Row],[Date]]</f>
        <v>41148</v>
      </c>
      <c r="K200" s="526"/>
      <c r="L200" s="526"/>
    </row>
    <row r="201" spans="1:12" hidden="1">
      <c r="A201" s="569">
        <v>1</v>
      </c>
      <c r="B201" s="37">
        <v>199</v>
      </c>
      <c r="C201" s="570">
        <v>41148</v>
      </c>
      <c r="D201" s="580" t="s">
        <v>353</v>
      </c>
      <c r="E201" s="580" t="s">
        <v>158</v>
      </c>
      <c r="F201" s="499" t="s">
        <v>559</v>
      </c>
      <c r="G201" s="571" t="s">
        <v>561</v>
      </c>
      <c r="H201" s="571" t="s">
        <v>562</v>
      </c>
      <c r="I201" s="581" t="str">
        <f>Table1[[#This Row],[Staff]]</f>
        <v>Nicole</v>
      </c>
      <c r="J201" s="570">
        <f>Table1[[#This Row],[Date]]</f>
        <v>41148</v>
      </c>
      <c r="K201" s="526"/>
      <c r="L201" s="526"/>
    </row>
    <row r="202" spans="1:12" hidden="1">
      <c r="A202" s="569">
        <v>1</v>
      </c>
      <c r="B202" s="37">
        <v>200</v>
      </c>
      <c r="C202" s="570">
        <v>41148</v>
      </c>
      <c r="D202" s="580" t="s">
        <v>353</v>
      </c>
      <c r="E202" s="580" t="s">
        <v>158</v>
      </c>
      <c r="F202" s="499" t="s">
        <v>560</v>
      </c>
      <c r="G202" s="571" t="s">
        <v>561</v>
      </c>
      <c r="H202" s="571" t="s">
        <v>562</v>
      </c>
      <c r="I202" s="581" t="str">
        <f>Table1[[#This Row],[Staff]]</f>
        <v>Nicole</v>
      </c>
      <c r="J202" s="570">
        <f>Table1[[#This Row],[Date]]</f>
        <v>41148</v>
      </c>
      <c r="K202" s="526"/>
      <c r="L202" s="526"/>
    </row>
    <row r="203" spans="1:12" ht="41.4" hidden="1">
      <c r="A203" s="569">
        <v>1</v>
      </c>
      <c r="B203" s="37">
        <v>201</v>
      </c>
      <c r="C203" s="570">
        <v>41148</v>
      </c>
      <c r="D203" s="580" t="s">
        <v>353</v>
      </c>
      <c r="E203" s="580" t="s">
        <v>61</v>
      </c>
      <c r="F203" s="499" t="s">
        <v>563</v>
      </c>
      <c r="G203" s="571" t="s">
        <v>564</v>
      </c>
      <c r="H203" s="571" t="s">
        <v>565</v>
      </c>
      <c r="I203" s="581" t="str">
        <f>Table1[[#This Row],[Staff]]</f>
        <v>Nicole</v>
      </c>
      <c r="J203" s="570">
        <f>Table1[[#This Row],[Date]]</f>
        <v>41148</v>
      </c>
      <c r="K203" s="526"/>
      <c r="L203" s="526"/>
    </row>
    <row r="204" spans="1:12" ht="27.6" hidden="1">
      <c r="A204" s="569">
        <v>1</v>
      </c>
      <c r="B204" s="37">
        <v>202</v>
      </c>
      <c r="C204" s="570">
        <v>41148</v>
      </c>
      <c r="D204" s="580" t="s">
        <v>353</v>
      </c>
      <c r="E204" s="580" t="s">
        <v>376</v>
      </c>
      <c r="F204" s="499" t="s">
        <v>563</v>
      </c>
      <c r="G204" s="571" t="s">
        <v>566</v>
      </c>
      <c r="H204" s="571" t="s">
        <v>567</v>
      </c>
      <c r="I204" s="581" t="str">
        <f>Table1[[#This Row],[Staff]]</f>
        <v>Nicole</v>
      </c>
      <c r="J204" s="570">
        <f>Table1[[#This Row],[Date]]</f>
        <v>41148</v>
      </c>
      <c r="K204" s="526"/>
      <c r="L204" s="526"/>
    </row>
    <row r="205" spans="1:12" ht="27.6" hidden="1">
      <c r="A205" s="569">
        <v>1</v>
      </c>
      <c r="B205" s="37">
        <v>203</v>
      </c>
      <c r="C205" s="570">
        <v>41148</v>
      </c>
      <c r="D205" s="580" t="s">
        <v>353</v>
      </c>
      <c r="E205" s="582" t="s">
        <v>376</v>
      </c>
      <c r="F205" s="499" t="s">
        <v>568</v>
      </c>
      <c r="G205" s="571" t="s">
        <v>566</v>
      </c>
      <c r="H205" s="571" t="s">
        <v>567</v>
      </c>
      <c r="I205" s="581" t="str">
        <f>Table1[[#This Row],[Staff]]</f>
        <v>Nicole</v>
      </c>
      <c r="J205" s="570">
        <f>Table1[[#This Row],[Date]]</f>
        <v>41148</v>
      </c>
      <c r="K205" s="526"/>
      <c r="L205" s="526"/>
    </row>
    <row r="206" spans="1:12" ht="27.6" hidden="1">
      <c r="A206" s="569">
        <v>1</v>
      </c>
      <c r="B206" s="37">
        <v>204</v>
      </c>
      <c r="C206" s="570">
        <v>41148</v>
      </c>
      <c r="D206" s="580" t="s">
        <v>353</v>
      </c>
      <c r="E206" s="582" t="s">
        <v>376</v>
      </c>
      <c r="F206" s="499" t="s">
        <v>569</v>
      </c>
      <c r="G206" s="571" t="s">
        <v>566</v>
      </c>
      <c r="H206" s="571" t="s">
        <v>567</v>
      </c>
      <c r="I206" s="581" t="str">
        <f>Table1[[#This Row],[Staff]]</f>
        <v>Nicole</v>
      </c>
      <c r="J206" s="570">
        <f>Table1[[#This Row],[Date]]</f>
        <v>41148</v>
      </c>
      <c r="K206" s="526"/>
      <c r="L206" s="526"/>
    </row>
    <row r="207" spans="1:12" ht="27.6" hidden="1">
      <c r="A207" s="569">
        <v>1</v>
      </c>
      <c r="B207" s="37">
        <v>205</v>
      </c>
      <c r="C207" s="570">
        <v>41148</v>
      </c>
      <c r="D207" s="580" t="s">
        <v>353</v>
      </c>
      <c r="E207" s="582" t="s">
        <v>376</v>
      </c>
      <c r="F207" s="499" t="s">
        <v>570</v>
      </c>
      <c r="G207" s="571" t="s">
        <v>566</v>
      </c>
      <c r="H207" s="571" t="s">
        <v>567</v>
      </c>
      <c r="I207" s="581" t="str">
        <f>Table1[[#This Row],[Staff]]</f>
        <v>Nicole</v>
      </c>
      <c r="J207" s="570">
        <f>Table1[[#This Row],[Date]]</f>
        <v>41148</v>
      </c>
      <c r="K207" s="526"/>
      <c r="L207" s="526"/>
    </row>
    <row r="208" spans="1:12" ht="27.6" hidden="1">
      <c r="A208" s="569">
        <v>1</v>
      </c>
      <c r="B208" s="37">
        <v>206</v>
      </c>
      <c r="C208" s="570">
        <v>41148</v>
      </c>
      <c r="D208" s="580" t="s">
        <v>353</v>
      </c>
      <c r="E208" s="582" t="s">
        <v>376</v>
      </c>
      <c r="F208" s="499" t="s">
        <v>571</v>
      </c>
      <c r="G208" s="571" t="s">
        <v>566</v>
      </c>
      <c r="H208" s="571" t="s">
        <v>567</v>
      </c>
      <c r="I208" s="581" t="str">
        <f>Table1[[#This Row],[Staff]]</f>
        <v>Nicole</v>
      </c>
      <c r="J208" s="570">
        <f>Table1[[#This Row],[Date]]</f>
        <v>41148</v>
      </c>
      <c r="K208" s="526"/>
      <c r="L208" s="526"/>
    </row>
    <row r="209" spans="1:35" ht="27.6" hidden="1">
      <c r="A209" s="569">
        <v>1</v>
      </c>
      <c r="B209" s="37">
        <v>207</v>
      </c>
      <c r="C209" s="570">
        <v>41148</v>
      </c>
      <c r="D209" s="580" t="s">
        <v>353</v>
      </c>
      <c r="E209" s="582" t="s">
        <v>376</v>
      </c>
      <c r="F209" s="499" t="s">
        <v>572</v>
      </c>
      <c r="G209" s="571" t="s">
        <v>566</v>
      </c>
      <c r="H209" s="571" t="s">
        <v>567</v>
      </c>
      <c r="I209" s="581" t="str">
        <f>Table1[[#This Row],[Staff]]</f>
        <v>Nicole</v>
      </c>
      <c r="J209" s="570">
        <f>Table1[[#This Row],[Date]]</f>
        <v>41148</v>
      </c>
      <c r="K209" s="526"/>
      <c r="L209" s="526"/>
    </row>
    <row r="210" spans="1:35" ht="27.6" hidden="1">
      <c r="A210" s="569">
        <v>1</v>
      </c>
      <c r="B210" s="37">
        <v>208</v>
      </c>
      <c r="C210" s="570">
        <v>41148</v>
      </c>
      <c r="D210" s="580" t="s">
        <v>353</v>
      </c>
      <c r="E210" s="582" t="s">
        <v>376</v>
      </c>
      <c r="F210" s="499" t="s">
        <v>573</v>
      </c>
      <c r="G210" s="571" t="s">
        <v>566</v>
      </c>
      <c r="H210" s="571" t="s">
        <v>567</v>
      </c>
      <c r="I210" s="581" t="str">
        <f>Table1[[#This Row],[Staff]]</f>
        <v>Nicole</v>
      </c>
      <c r="J210" s="570">
        <f>Table1[[#This Row],[Date]]</f>
        <v>41148</v>
      </c>
      <c r="K210" s="526"/>
      <c r="L210" s="526"/>
    </row>
    <row r="211" spans="1:35" ht="27.6" hidden="1">
      <c r="A211" s="569">
        <v>1</v>
      </c>
      <c r="B211" s="37">
        <v>209</v>
      </c>
      <c r="C211" s="570">
        <v>41148</v>
      </c>
      <c r="D211" s="580" t="s">
        <v>353</v>
      </c>
      <c r="E211" s="582" t="s">
        <v>376</v>
      </c>
      <c r="F211" s="499" t="s">
        <v>574</v>
      </c>
      <c r="G211" s="571" t="s">
        <v>566</v>
      </c>
      <c r="H211" s="571" t="s">
        <v>567</v>
      </c>
      <c r="I211" s="581" t="str">
        <f>Table1[[#This Row],[Staff]]</f>
        <v>Nicole</v>
      </c>
      <c r="J211" s="570">
        <f>Table1[[#This Row],[Date]]</f>
        <v>41148</v>
      </c>
      <c r="K211" s="526"/>
      <c r="L211" s="526"/>
    </row>
    <row r="212" spans="1:35" ht="27.6" hidden="1">
      <c r="A212" s="569">
        <v>1</v>
      </c>
      <c r="B212" s="37">
        <v>210</v>
      </c>
      <c r="C212" s="570">
        <v>41148</v>
      </c>
      <c r="D212" s="580" t="s">
        <v>353</v>
      </c>
      <c r="E212" s="582" t="s">
        <v>376</v>
      </c>
      <c r="F212" s="499" t="s">
        <v>575</v>
      </c>
      <c r="G212" s="571" t="s">
        <v>566</v>
      </c>
      <c r="H212" s="571" t="s">
        <v>567</v>
      </c>
      <c r="I212" s="581" t="str">
        <f>Table1[[#This Row],[Staff]]</f>
        <v>Nicole</v>
      </c>
      <c r="J212" s="570">
        <f>Table1[[#This Row],[Date]]</f>
        <v>41148</v>
      </c>
      <c r="K212" s="526"/>
      <c r="L212" s="526"/>
    </row>
    <row r="213" spans="1:35" ht="27.6" hidden="1">
      <c r="A213" s="569">
        <v>1</v>
      </c>
      <c r="B213" s="37">
        <v>211</v>
      </c>
      <c r="C213" s="570">
        <v>41148</v>
      </c>
      <c r="D213" s="580" t="s">
        <v>353</v>
      </c>
      <c r="E213" s="582" t="s">
        <v>376</v>
      </c>
      <c r="F213" s="499" t="s">
        <v>576</v>
      </c>
      <c r="G213" s="571" t="s">
        <v>566</v>
      </c>
      <c r="H213" s="571" t="s">
        <v>567</v>
      </c>
      <c r="I213" s="581" t="str">
        <f>Table1[[#This Row],[Staff]]</f>
        <v>Nicole</v>
      </c>
      <c r="J213" s="570">
        <f>Table1[[#This Row],[Date]]</f>
        <v>41148</v>
      </c>
      <c r="K213" s="526"/>
      <c r="L213" s="526"/>
    </row>
    <row r="214" spans="1:35" ht="41.4" hidden="1">
      <c r="A214" s="569">
        <v>1</v>
      </c>
      <c r="B214" s="37">
        <v>212</v>
      </c>
      <c r="C214" s="570">
        <v>41148</v>
      </c>
      <c r="D214" s="583" t="s">
        <v>353</v>
      </c>
      <c r="E214" s="583" t="s">
        <v>359</v>
      </c>
      <c r="F214" s="499" t="s">
        <v>577</v>
      </c>
      <c r="G214" s="571" t="s">
        <v>578</v>
      </c>
      <c r="H214" s="571" t="s">
        <v>579</v>
      </c>
      <c r="I214" s="581" t="s">
        <v>462</v>
      </c>
      <c r="J214" s="570">
        <f>Table1[[#This Row],[Date]]</f>
        <v>41148</v>
      </c>
      <c r="K214" s="526"/>
      <c r="L214" s="526"/>
    </row>
    <row r="215" spans="1:35" ht="27.6" hidden="1">
      <c r="A215" s="569">
        <v>1</v>
      </c>
      <c r="B215" s="37">
        <v>213</v>
      </c>
      <c r="C215" s="570">
        <v>41148</v>
      </c>
      <c r="D215" s="585" t="s">
        <v>462</v>
      </c>
      <c r="E215" s="585" t="s">
        <v>360</v>
      </c>
      <c r="G215" s="571" t="s">
        <v>580</v>
      </c>
      <c r="H215" s="571" t="s">
        <v>581</v>
      </c>
      <c r="I215" s="581" t="str">
        <f>IF(Table1[[#This Row],[Staff]]="","",Table1[[#This Row],[Staff]])</f>
        <v>Maggie</v>
      </c>
      <c r="J215" s="570">
        <f>Table1[[#This Row],[Date]]</f>
        <v>41148</v>
      </c>
      <c r="K215" s="526"/>
      <c r="L215" s="526"/>
    </row>
    <row r="216" spans="1:35" s="584" customFormat="1" hidden="1">
      <c r="A216" s="596">
        <v>1</v>
      </c>
      <c r="B216" s="597">
        <v>214</v>
      </c>
      <c r="C216" s="598">
        <v>41149</v>
      </c>
      <c r="D216" s="29" t="s">
        <v>353</v>
      </c>
      <c r="E216" s="29" t="s">
        <v>8</v>
      </c>
      <c r="F216" s="599" t="s">
        <v>416</v>
      </c>
      <c r="G216" s="600" t="s">
        <v>583</v>
      </c>
      <c r="H216" s="600" t="s">
        <v>585</v>
      </c>
      <c r="I216" s="601" t="str">
        <f>IF(Table1[[#This Row],[Staff]]="","",Table1[[#This Row],[Staff]])</f>
        <v>Nicole</v>
      </c>
      <c r="J216" s="598">
        <f>Table1[[#This Row],[Date]]</f>
        <v>41149</v>
      </c>
      <c r="K216" s="526"/>
      <c r="L216" s="526"/>
      <c r="AF216" s="499"/>
      <c r="AG216" s="499"/>
      <c r="AH216" s="499"/>
      <c r="AI216" s="499"/>
    </row>
    <row r="217" spans="1:35" s="584" customFormat="1" hidden="1">
      <c r="A217" s="569">
        <v>1</v>
      </c>
      <c r="B217" s="37">
        <v>215</v>
      </c>
      <c r="C217" s="570">
        <v>41149</v>
      </c>
      <c r="D217" s="588" t="s">
        <v>353</v>
      </c>
      <c r="E217" s="588" t="s">
        <v>8</v>
      </c>
      <c r="F217" s="499" t="s">
        <v>424</v>
      </c>
      <c r="G217" s="571" t="s">
        <v>583</v>
      </c>
      <c r="H217" s="571" t="s">
        <v>584</v>
      </c>
      <c r="I217" s="581" t="str">
        <f>IF(Table1[[#This Row],[Staff]]="","",Table1[[#This Row],[Staff]])</f>
        <v>Nicole</v>
      </c>
      <c r="J217" s="570">
        <f>Table1[[#This Row],[Date]]</f>
        <v>41149</v>
      </c>
      <c r="K217" s="526"/>
      <c r="L217" s="526"/>
      <c r="AF217" s="499"/>
      <c r="AG217" s="499"/>
      <c r="AH217" s="499"/>
      <c r="AI217" s="499"/>
    </row>
    <row r="218" spans="1:35" s="584" customFormat="1" hidden="1">
      <c r="A218" s="569">
        <v>1</v>
      </c>
      <c r="B218" s="37">
        <v>216</v>
      </c>
      <c r="C218" s="570">
        <v>41149</v>
      </c>
      <c r="D218" s="588" t="s">
        <v>353</v>
      </c>
      <c r="E218" s="588" t="s">
        <v>8</v>
      </c>
      <c r="F218" s="499" t="s">
        <v>417</v>
      </c>
      <c r="G218" s="571" t="s">
        <v>583</v>
      </c>
      <c r="H218" s="571" t="s">
        <v>584</v>
      </c>
      <c r="I218" s="581" t="str">
        <f>IF(Table1[[#This Row],[Staff]]="","",Table1[[#This Row],[Staff]])</f>
        <v>Nicole</v>
      </c>
      <c r="J218" s="570">
        <f>Table1[[#This Row],[Date]]</f>
        <v>41149</v>
      </c>
      <c r="K218" s="526"/>
      <c r="L218" s="526"/>
      <c r="AF218" s="499"/>
      <c r="AG218" s="499"/>
      <c r="AH218" s="499"/>
      <c r="AI218" s="499"/>
    </row>
    <row r="219" spans="1:35" s="584" customFormat="1" hidden="1">
      <c r="A219" s="569">
        <v>1</v>
      </c>
      <c r="B219" s="37">
        <v>217</v>
      </c>
      <c r="C219" s="570">
        <v>41149</v>
      </c>
      <c r="D219" s="588" t="s">
        <v>353</v>
      </c>
      <c r="E219" s="588" t="s">
        <v>8</v>
      </c>
      <c r="F219" s="499" t="s">
        <v>418</v>
      </c>
      <c r="G219" s="571" t="s">
        <v>583</v>
      </c>
      <c r="H219" s="571" t="s">
        <v>584</v>
      </c>
      <c r="I219" s="581" t="str">
        <f>IF(Table1[[#This Row],[Staff]]="","",Table1[[#This Row],[Staff]])</f>
        <v>Nicole</v>
      </c>
      <c r="J219" s="570">
        <f>Table1[[#This Row],[Date]]</f>
        <v>41149</v>
      </c>
      <c r="K219" s="526"/>
      <c r="L219" s="526"/>
      <c r="AF219" s="499"/>
      <c r="AG219" s="499"/>
      <c r="AH219" s="499"/>
      <c r="AI219" s="499"/>
    </row>
    <row r="220" spans="1:35" s="584" customFormat="1" hidden="1">
      <c r="A220" s="569">
        <v>1</v>
      </c>
      <c r="B220" s="37">
        <v>218</v>
      </c>
      <c r="C220" s="570">
        <v>41149</v>
      </c>
      <c r="D220" s="588" t="s">
        <v>353</v>
      </c>
      <c r="E220" s="588" t="s">
        <v>8</v>
      </c>
      <c r="F220" s="499" t="s">
        <v>419</v>
      </c>
      <c r="G220" s="571" t="s">
        <v>583</v>
      </c>
      <c r="H220" s="571" t="s">
        <v>584</v>
      </c>
      <c r="I220" s="581" t="str">
        <f>IF(Table1[[#This Row],[Staff]]="","",Table1[[#This Row],[Staff]])</f>
        <v>Nicole</v>
      </c>
      <c r="J220" s="570">
        <f>Table1[[#This Row],[Date]]</f>
        <v>41149</v>
      </c>
      <c r="K220" s="526"/>
      <c r="L220" s="526"/>
      <c r="AF220" s="499"/>
      <c r="AG220" s="499"/>
      <c r="AH220" s="499"/>
      <c r="AI220" s="499"/>
    </row>
    <row r="221" spans="1:35" s="584" customFormat="1" hidden="1">
      <c r="A221" s="569">
        <v>1</v>
      </c>
      <c r="B221" s="37">
        <v>219</v>
      </c>
      <c r="C221" s="570">
        <v>41149</v>
      </c>
      <c r="D221" s="588" t="s">
        <v>353</v>
      </c>
      <c r="E221" s="588" t="s">
        <v>376</v>
      </c>
      <c r="F221" s="499" t="s">
        <v>431</v>
      </c>
      <c r="G221" s="571" t="s">
        <v>583</v>
      </c>
      <c r="H221" s="571" t="s">
        <v>584</v>
      </c>
      <c r="I221" s="581" t="str">
        <f>IF(Table1[[#This Row],[Staff]]="","",Table1[[#This Row],[Staff]])</f>
        <v>Nicole</v>
      </c>
      <c r="J221" s="570">
        <f>Table1[[#This Row],[Date]]</f>
        <v>41149</v>
      </c>
      <c r="K221" s="526"/>
      <c r="L221" s="526"/>
      <c r="AF221" s="499"/>
      <c r="AG221" s="499"/>
      <c r="AH221" s="499"/>
      <c r="AI221" s="499"/>
    </row>
    <row r="222" spans="1:35" s="584" customFormat="1" hidden="1">
      <c r="A222" s="569">
        <v>1</v>
      </c>
      <c r="B222" s="37">
        <v>220</v>
      </c>
      <c r="C222" s="570">
        <v>41149</v>
      </c>
      <c r="D222" s="588" t="s">
        <v>353</v>
      </c>
      <c r="E222" s="588" t="s">
        <v>376</v>
      </c>
      <c r="F222" s="499" t="s">
        <v>432</v>
      </c>
      <c r="G222" s="571" t="s">
        <v>583</v>
      </c>
      <c r="H222" s="571" t="s">
        <v>584</v>
      </c>
      <c r="I222" s="581" t="str">
        <f>IF(Table1[[#This Row],[Staff]]="","",Table1[[#This Row],[Staff]])</f>
        <v>Nicole</v>
      </c>
      <c r="J222" s="570">
        <f>Table1[[#This Row],[Date]]</f>
        <v>41149</v>
      </c>
      <c r="K222" s="526"/>
      <c r="L222" s="526"/>
      <c r="AF222" s="499"/>
      <c r="AG222" s="499"/>
      <c r="AH222" s="499"/>
      <c r="AI222" s="499"/>
    </row>
    <row r="223" spans="1:35" s="584" customFormat="1" hidden="1">
      <c r="A223" s="569">
        <v>1</v>
      </c>
      <c r="B223" s="37">
        <v>221</v>
      </c>
      <c r="C223" s="570">
        <v>41149</v>
      </c>
      <c r="D223" s="588" t="s">
        <v>353</v>
      </c>
      <c r="E223" s="588" t="s">
        <v>376</v>
      </c>
      <c r="F223" s="499" t="s">
        <v>433</v>
      </c>
      <c r="G223" s="571" t="s">
        <v>583</v>
      </c>
      <c r="H223" s="571" t="s">
        <v>584</v>
      </c>
      <c r="I223" s="581" t="str">
        <f>IF(Table1[[#This Row],[Staff]]="","",Table1[[#This Row],[Staff]])</f>
        <v>Nicole</v>
      </c>
      <c r="J223" s="570">
        <f>Table1[[#This Row],[Date]]</f>
        <v>41149</v>
      </c>
      <c r="K223" s="526"/>
      <c r="L223" s="526"/>
      <c r="AF223" s="499"/>
      <c r="AG223" s="499"/>
      <c r="AH223" s="499"/>
      <c r="AI223" s="499"/>
    </row>
    <row r="224" spans="1:35" s="584" customFormat="1" hidden="1">
      <c r="A224" s="569">
        <v>1</v>
      </c>
      <c r="B224" s="37">
        <v>222</v>
      </c>
      <c r="C224" s="570">
        <v>41149</v>
      </c>
      <c r="D224" s="588" t="s">
        <v>353</v>
      </c>
      <c r="E224" s="588" t="s">
        <v>376</v>
      </c>
      <c r="F224" s="499" t="s">
        <v>434</v>
      </c>
      <c r="G224" s="571" t="s">
        <v>583</v>
      </c>
      <c r="H224" s="571" t="s">
        <v>584</v>
      </c>
      <c r="I224" s="581" t="str">
        <f>IF(Table1[[#This Row],[Staff]]="","",Table1[[#This Row],[Staff]])</f>
        <v>Nicole</v>
      </c>
      <c r="J224" s="570">
        <f>Table1[[#This Row],[Date]]</f>
        <v>41149</v>
      </c>
      <c r="K224" s="526"/>
      <c r="L224" s="526"/>
      <c r="AF224" s="499"/>
      <c r="AG224" s="499"/>
      <c r="AH224" s="499"/>
      <c r="AI224" s="499"/>
    </row>
    <row r="225" spans="1:35" s="584" customFormat="1" hidden="1">
      <c r="A225" s="569">
        <v>1</v>
      </c>
      <c r="B225" s="37">
        <v>223</v>
      </c>
      <c r="C225" s="570">
        <v>41149</v>
      </c>
      <c r="D225" s="588" t="s">
        <v>353</v>
      </c>
      <c r="E225" s="588" t="s">
        <v>376</v>
      </c>
      <c r="F225" s="499" t="s">
        <v>435</v>
      </c>
      <c r="G225" s="571" t="s">
        <v>583</v>
      </c>
      <c r="H225" s="571" t="s">
        <v>584</v>
      </c>
      <c r="I225" s="581" t="str">
        <f>IF(Table1[[#This Row],[Staff]]="","",Table1[[#This Row],[Staff]])</f>
        <v>Nicole</v>
      </c>
      <c r="J225" s="570">
        <f>Table1[[#This Row],[Date]]</f>
        <v>41149</v>
      </c>
      <c r="K225" s="526"/>
      <c r="L225" s="526"/>
      <c r="AF225" s="499"/>
      <c r="AG225" s="499"/>
      <c r="AH225" s="499"/>
      <c r="AI225" s="499"/>
    </row>
    <row r="226" spans="1:35" s="584" customFormat="1" hidden="1">
      <c r="A226" s="569">
        <v>1</v>
      </c>
      <c r="B226" s="37">
        <v>224</v>
      </c>
      <c r="C226" s="570">
        <v>41149</v>
      </c>
      <c r="D226" s="588" t="s">
        <v>353</v>
      </c>
      <c r="E226" s="588" t="s">
        <v>376</v>
      </c>
      <c r="F226" s="499" t="s">
        <v>436</v>
      </c>
      <c r="G226" s="571" t="s">
        <v>583</v>
      </c>
      <c r="H226" s="571" t="s">
        <v>584</v>
      </c>
      <c r="I226" s="581" t="str">
        <f>IF(Table1[[#This Row],[Staff]]="","",Table1[[#This Row],[Staff]])</f>
        <v>Nicole</v>
      </c>
      <c r="J226" s="570">
        <f>Table1[[#This Row],[Date]]</f>
        <v>41149</v>
      </c>
      <c r="K226" s="526"/>
      <c r="L226" s="526"/>
      <c r="AF226" s="499"/>
      <c r="AG226" s="499"/>
      <c r="AH226" s="499"/>
      <c r="AI226" s="499"/>
    </row>
    <row r="227" spans="1:35" s="584" customFormat="1" hidden="1">
      <c r="A227" s="569">
        <v>1</v>
      </c>
      <c r="B227" s="37">
        <v>225</v>
      </c>
      <c r="C227" s="570">
        <v>41149</v>
      </c>
      <c r="D227" s="588" t="s">
        <v>353</v>
      </c>
      <c r="E227" s="588" t="s">
        <v>376</v>
      </c>
      <c r="F227" s="499" t="s">
        <v>437</v>
      </c>
      <c r="G227" s="571" t="s">
        <v>583</v>
      </c>
      <c r="H227" s="571" t="s">
        <v>584</v>
      </c>
      <c r="I227" s="581" t="str">
        <f>IF(Table1[[#This Row],[Staff]]="","",Table1[[#This Row],[Staff]])</f>
        <v>Nicole</v>
      </c>
      <c r="J227" s="570">
        <f>Table1[[#This Row],[Date]]</f>
        <v>41149</v>
      </c>
      <c r="K227" s="526"/>
      <c r="L227" s="526"/>
      <c r="AF227" s="499"/>
      <c r="AG227" s="499"/>
      <c r="AH227" s="499"/>
      <c r="AI227" s="499"/>
    </row>
    <row r="228" spans="1:35" s="584" customFormat="1" hidden="1">
      <c r="A228" s="569">
        <v>1</v>
      </c>
      <c r="B228" s="37">
        <v>226</v>
      </c>
      <c r="C228" s="570">
        <v>41149</v>
      </c>
      <c r="D228" s="588" t="s">
        <v>353</v>
      </c>
      <c r="E228" s="588" t="s">
        <v>376</v>
      </c>
      <c r="F228" s="499" t="s">
        <v>438</v>
      </c>
      <c r="G228" s="571" t="s">
        <v>583</v>
      </c>
      <c r="H228" s="571" t="s">
        <v>584</v>
      </c>
      <c r="I228" s="581" t="str">
        <f>IF(Table1[[#This Row],[Staff]]="","",Table1[[#This Row],[Staff]])</f>
        <v>Nicole</v>
      </c>
      <c r="J228" s="570">
        <f>Table1[[#This Row],[Date]]</f>
        <v>41149</v>
      </c>
      <c r="K228" s="526"/>
      <c r="L228" s="526"/>
      <c r="AF228" s="499"/>
      <c r="AG228" s="499"/>
      <c r="AH228" s="499"/>
      <c r="AI228" s="499"/>
    </row>
    <row r="229" spans="1:35" s="584" customFormat="1" hidden="1">
      <c r="A229" s="569">
        <v>1</v>
      </c>
      <c r="B229" s="37">
        <v>227</v>
      </c>
      <c r="C229" s="570">
        <v>41149</v>
      </c>
      <c r="D229" s="588" t="s">
        <v>353</v>
      </c>
      <c r="E229" s="588" t="s">
        <v>376</v>
      </c>
      <c r="F229" s="499" t="s">
        <v>439</v>
      </c>
      <c r="G229" s="571" t="s">
        <v>583</v>
      </c>
      <c r="H229" s="571" t="s">
        <v>584</v>
      </c>
      <c r="I229" s="581" t="str">
        <f>IF(Table1[[#This Row],[Staff]]="","",Table1[[#This Row],[Staff]])</f>
        <v>Nicole</v>
      </c>
      <c r="J229" s="570">
        <f>Table1[[#This Row],[Date]]</f>
        <v>41149</v>
      </c>
      <c r="K229" s="526"/>
      <c r="L229" s="526"/>
      <c r="AF229" s="499"/>
      <c r="AG229" s="499"/>
      <c r="AH229" s="499"/>
      <c r="AI229" s="499"/>
    </row>
    <row r="230" spans="1:35" s="592" customFormat="1" ht="41.4" hidden="1">
      <c r="A230" s="589">
        <v>1</v>
      </c>
      <c r="B230" s="590">
        <v>228</v>
      </c>
      <c r="C230" s="591">
        <v>41149</v>
      </c>
      <c r="D230" s="592" t="s">
        <v>353</v>
      </c>
      <c r="E230" s="592" t="s">
        <v>376</v>
      </c>
      <c r="F230" s="593" t="s">
        <v>440</v>
      </c>
      <c r="G230" s="594" t="s">
        <v>583</v>
      </c>
      <c r="H230" s="594" t="s">
        <v>586</v>
      </c>
      <c r="I230" s="595" t="str">
        <f>IF(Table1[[#This Row],[Staff]]="","",Table1[[#This Row],[Staff]])</f>
        <v>Nicole</v>
      </c>
      <c r="J230" s="591">
        <f>Table1[[#This Row],[Date]]</f>
        <v>41149</v>
      </c>
      <c r="K230" s="602"/>
      <c r="L230" s="602"/>
      <c r="AF230" s="593"/>
      <c r="AG230" s="593"/>
      <c r="AH230" s="593"/>
      <c r="AI230" s="593"/>
    </row>
    <row r="231" spans="1:35" s="584" customFormat="1">
      <c r="A231" s="569">
        <v>1</v>
      </c>
      <c r="B231" s="37">
        <v>229</v>
      </c>
      <c r="C231" s="570"/>
      <c r="F231" s="499"/>
      <c r="G231" s="571"/>
      <c r="H231" s="571"/>
      <c r="I231" s="581" t="str">
        <f>IF(Table1[[#This Row],[Staff]]="","",Table1[[#This Row],[Staff]])</f>
        <v/>
      </c>
      <c r="J231" s="570">
        <f>Table1[[#This Row],[Date]]</f>
        <v>0</v>
      </c>
      <c r="K231" s="526"/>
      <c r="L231" s="526"/>
      <c r="AF231" s="499"/>
      <c r="AG231" s="499"/>
      <c r="AH231" s="499"/>
      <c r="AI231" s="499"/>
    </row>
    <row r="232" spans="1:35" s="584" customFormat="1">
      <c r="A232" s="569">
        <v>1</v>
      </c>
      <c r="B232" s="37">
        <v>230</v>
      </c>
      <c r="C232" s="570"/>
      <c r="F232" s="499"/>
      <c r="G232" s="571"/>
      <c r="H232" s="571"/>
      <c r="I232" s="581" t="str">
        <f>IF(Table1[[#This Row],[Staff]]="","",Table1[[#This Row],[Staff]])</f>
        <v/>
      </c>
      <c r="J232" s="570">
        <f>Table1[[#This Row],[Date]]</f>
        <v>0</v>
      </c>
      <c r="K232" s="526"/>
      <c r="L232" s="526"/>
      <c r="AF232" s="499"/>
      <c r="AG232" s="499"/>
      <c r="AH232" s="499"/>
      <c r="AI232" s="499"/>
    </row>
    <row r="233" spans="1:35" s="584" customFormat="1">
      <c r="A233" s="569">
        <v>1</v>
      </c>
      <c r="B233" s="37">
        <v>231</v>
      </c>
      <c r="C233" s="570"/>
      <c r="F233" s="499"/>
      <c r="G233" s="571"/>
      <c r="H233" s="571"/>
      <c r="I233" s="581" t="str">
        <f>IF(Table1[[#This Row],[Staff]]="","",Table1[[#This Row],[Staff]])</f>
        <v/>
      </c>
      <c r="J233" s="570">
        <f>Table1[[#This Row],[Date]]</f>
        <v>0</v>
      </c>
      <c r="K233" s="526"/>
      <c r="L233" s="526"/>
      <c r="AF233" s="499"/>
      <c r="AG233" s="499"/>
      <c r="AH233" s="499"/>
      <c r="AI233" s="499"/>
    </row>
    <row r="234" spans="1:35" s="584" customFormat="1">
      <c r="A234" s="569">
        <v>1</v>
      </c>
      <c r="B234" s="37">
        <v>232</v>
      </c>
      <c r="C234" s="570"/>
      <c r="F234" s="499"/>
      <c r="G234" s="571"/>
      <c r="H234" s="571"/>
      <c r="I234" s="581" t="str">
        <f>IF(Table1[[#This Row],[Staff]]="","",Table1[[#This Row],[Staff]])</f>
        <v/>
      </c>
      <c r="J234" s="570">
        <f>Table1[[#This Row],[Date]]</f>
        <v>0</v>
      </c>
      <c r="K234" s="526"/>
      <c r="L234" s="526"/>
      <c r="AF234" s="499"/>
      <c r="AG234" s="499"/>
      <c r="AH234" s="499"/>
      <c r="AI234" s="499"/>
    </row>
    <row r="235" spans="1:35" s="584" customFormat="1">
      <c r="A235" s="569">
        <v>1</v>
      </c>
      <c r="B235" s="37">
        <v>233</v>
      </c>
      <c r="C235" s="570"/>
      <c r="F235" s="499"/>
      <c r="G235" s="571"/>
      <c r="H235" s="571"/>
      <c r="I235" s="581" t="str">
        <f>IF(Table1[[#This Row],[Staff]]="","",Table1[[#This Row],[Staff]])</f>
        <v/>
      </c>
      <c r="J235" s="570">
        <f>Table1[[#This Row],[Date]]</f>
        <v>0</v>
      </c>
      <c r="K235" s="526"/>
      <c r="L235" s="526"/>
      <c r="AF235" s="499"/>
      <c r="AG235" s="499"/>
      <c r="AH235" s="499"/>
      <c r="AI235" s="499"/>
    </row>
    <row r="236" spans="1:35" s="584" customFormat="1">
      <c r="A236" s="569">
        <v>1</v>
      </c>
      <c r="B236" s="37">
        <v>234</v>
      </c>
      <c r="C236" s="570"/>
      <c r="F236" s="499"/>
      <c r="G236" s="571"/>
      <c r="H236" s="571"/>
      <c r="I236" s="581" t="str">
        <f>IF(Table1[[#This Row],[Staff]]="","",Table1[[#This Row],[Staff]])</f>
        <v/>
      </c>
      <c r="J236" s="570">
        <f>Table1[[#This Row],[Date]]</f>
        <v>0</v>
      </c>
      <c r="K236" s="526"/>
      <c r="L236" s="526"/>
      <c r="AF236" s="499"/>
      <c r="AG236" s="499"/>
      <c r="AH236" s="499"/>
      <c r="AI236" s="499"/>
    </row>
    <row r="237" spans="1:35" s="584" customFormat="1">
      <c r="A237" s="569">
        <v>1</v>
      </c>
      <c r="B237" s="37">
        <v>235</v>
      </c>
      <c r="C237" s="570"/>
      <c r="F237" s="499"/>
      <c r="G237" s="571"/>
      <c r="H237" s="571"/>
      <c r="I237" s="581" t="str">
        <f>IF(Table1[[#This Row],[Staff]]="","",Table1[[#This Row],[Staff]])</f>
        <v/>
      </c>
      <c r="J237" s="570">
        <f>Table1[[#This Row],[Date]]</f>
        <v>0</v>
      </c>
      <c r="K237" s="526"/>
      <c r="L237" s="526"/>
      <c r="AF237" s="499"/>
      <c r="AG237" s="499"/>
      <c r="AH237" s="499"/>
      <c r="AI237" s="499"/>
    </row>
    <row r="238" spans="1:35" s="584" customFormat="1">
      <c r="A238" s="569">
        <v>1</v>
      </c>
      <c r="B238" s="37">
        <v>236</v>
      </c>
      <c r="C238" s="570"/>
      <c r="F238" s="499"/>
      <c r="G238" s="571"/>
      <c r="H238" s="571"/>
      <c r="I238" s="581" t="str">
        <f>IF(Table1[[#This Row],[Staff]]="","",Table1[[#This Row],[Staff]])</f>
        <v/>
      </c>
      <c r="J238" s="570">
        <f>Table1[[#This Row],[Date]]</f>
        <v>0</v>
      </c>
      <c r="K238" s="526"/>
      <c r="L238" s="526"/>
      <c r="AF238" s="499"/>
      <c r="AG238" s="499"/>
      <c r="AH238" s="499"/>
      <c r="AI238" s="499"/>
    </row>
    <row r="239" spans="1:35" s="584" customFormat="1">
      <c r="A239" s="569">
        <v>1</v>
      </c>
      <c r="B239" s="37">
        <v>237</v>
      </c>
      <c r="C239" s="570"/>
      <c r="F239" s="499"/>
      <c r="G239" s="571"/>
      <c r="H239" s="571"/>
      <c r="I239" s="581" t="str">
        <f>IF(Table1[[#This Row],[Staff]]="","",Table1[[#This Row],[Staff]])</f>
        <v/>
      </c>
      <c r="J239" s="570">
        <f>Table1[[#This Row],[Date]]</f>
        <v>0</v>
      </c>
      <c r="K239" s="526"/>
      <c r="L239" s="526"/>
      <c r="AF239" s="499"/>
      <c r="AG239" s="499"/>
      <c r="AH239" s="499"/>
      <c r="AI239" s="499"/>
    </row>
    <row r="240" spans="1:35" s="584" customFormat="1">
      <c r="A240" s="569"/>
      <c r="B240" s="37">
        <v>238</v>
      </c>
      <c r="C240" s="570"/>
      <c r="F240" s="499"/>
      <c r="G240" s="571"/>
      <c r="H240" s="571"/>
      <c r="I240" s="581" t="str">
        <f>IF(Table1[[#This Row],[Staff]]="","",Table1[[#This Row],[Staff]])</f>
        <v/>
      </c>
      <c r="J240" s="570">
        <f>Table1[[#This Row],[Date]]</f>
        <v>0</v>
      </c>
      <c r="K240" s="526"/>
      <c r="L240" s="526"/>
      <c r="AF240" s="499"/>
      <c r="AG240" s="499"/>
      <c r="AH240" s="499"/>
      <c r="AI240" s="499"/>
    </row>
    <row r="241" spans="1:35" s="584" customFormat="1">
      <c r="A241" s="569"/>
      <c r="B241" s="37">
        <v>239</v>
      </c>
      <c r="C241" s="570"/>
      <c r="F241" s="499"/>
      <c r="G241" s="571"/>
      <c r="H241" s="571"/>
      <c r="I241" s="581" t="str">
        <f>IF(Table1[[#This Row],[Staff]]="","",Table1[[#This Row],[Staff]])</f>
        <v/>
      </c>
      <c r="J241" s="570">
        <f>Table1[[#This Row],[Date]]</f>
        <v>0</v>
      </c>
      <c r="K241" s="526"/>
      <c r="L241" s="526"/>
      <c r="AF241" s="499"/>
      <c r="AG241" s="499"/>
      <c r="AH241" s="499"/>
      <c r="AI241" s="499"/>
    </row>
    <row r="242" spans="1:35" s="584" customFormat="1">
      <c r="A242" s="569"/>
      <c r="B242" s="37">
        <v>240</v>
      </c>
      <c r="C242" s="570"/>
      <c r="F242" s="499"/>
      <c r="G242" s="571"/>
      <c r="H242" s="571"/>
      <c r="I242" s="581" t="str">
        <f>IF(Table1[[#This Row],[Staff]]="","",Table1[[#This Row],[Staff]])</f>
        <v/>
      </c>
      <c r="J242" s="570">
        <f>Table1[[#This Row],[Date]]</f>
        <v>0</v>
      </c>
      <c r="K242" s="526"/>
      <c r="L242" s="526"/>
      <c r="AF242" s="499"/>
      <c r="AG242" s="499"/>
      <c r="AH242" s="499"/>
      <c r="AI242" s="499"/>
    </row>
    <row r="243" spans="1:35" s="584" customFormat="1">
      <c r="A243" s="569"/>
      <c r="B243" s="37">
        <v>241</v>
      </c>
      <c r="C243" s="570"/>
      <c r="F243" s="499"/>
      <c r="G243" s="571"/>
      <c r="H243" s="571"/>
      <c r="I243" s="581" t="str">
        <f>IF(Table1[[#This Row],[Staff]]="","",Table1[[#This Row],[Staff]])</f>
        <v/>
      </c>
      <c r="J243" s="570">
        <f>Table1[[#This Row],[Date]]</f>
        <v>0</v>
      </c>
      <c r="K243" s="526"/>
      <c r="L243" s="526"/>
      <c r="AF243" s="499"/>
      <c r="AG243" s="499"/>
      <c r="AH243" s="499"/>
      <c r="AI243" s="499"/>
    </row>
    <row r="244" spans="1:35" s="584" customFormat="1">
      <c r="A244" s="569"/>
      <c r="B244" s="37">
        <v>242</v>
      </c>
      <c r="C244" s="570"/>
      <c r="F244" s="499"/>
      <c r="G244" s="571"/>
      <c r="H244" s="571"/>
      <c r="I244" s="581" t="str">
        <f>IF(Table1[[#This Row],[Staff]]="","",Table1[[#This Row],[Staff]])</f>
        <v/>
      </c>
      <c r="J244" s="570">
        <f>Table1[[#This Row],[Date]]</f>
        <v>0</v>
      </c>
      <c r="K244" s="526"/>
      <c r="L244" s="526"/>
      <c r="AF244" s="499"/>
      <c r="AG244" s="499"/>
      <c r="AH244" s="499"/>
      <c r="AI244" s="499"/>
    </row>
    <row r="245" spans="1:35" s="584" customFormat="1">
      <c r="A245" s="569"/>
      <c r="B245" s="37">
        <v>243</v>
      </c>
      <c r="C245" s="570"/>
      <c r="F245" s="499"/>
      <c r="G245" s="571"/>
      <c r="H245" s="571"/>
      <c r="I245" s="581" t="str">
        <f>IF(Table1[[#This Row],[Staff]]="","",Table1[[#This Row],[Staff]])</f>
        <v/>
      </c>
      <c r="J245" s="570">
        <f>Table1[[#This Row],[Date]]</f>
        <v>0</v>
      </c>
      <c r="K245" s="526"/>
      <c r="L245" s="526"/>
      <c r="AF245" s="499"/>
      <c r="AG245" s="499"/>
      <c r="AH245" s="499"/>
      <c r="AI245" s="499"/>
    </row>
    <row r="246" spans="1:35" s="584" customFormat="1">
      <c r="A246" s="569"/>
      <c r="B246" s="37">
        <v>244</v>
      </c>
      <c r="C246" s="570"/>
      <c r="F246" s="499"/>
      <c r="G246" s="571"/>
      <c r="H246" s="571"/>
      <c r="I246" s="581" t="str">
        <f>IF(Table1[[#This Row],[Staff]]="","",Table1[[#This Row],[Staff]])</f>
        <v/>
      </c>
      <c r="J246" s="570">
        <f>Table1[[#This Row],[Date]]</f>
        <v>0</v>
      </c>
      <c r="K246" s="526"/>
      <c r="L246" s="526"/>
      <c r="AF246" s="499"/>
      <c r="AG246" s="499"/>
      <c r="AH246" s="499"/>
      <c r="AI246" s="499"/>
    </row>
    <row r="247" spans="1:35" s="584" customFormat="1">
      <c r="A247" s="569"/>
      <c r="B247" s="37">
        <v>245</v>
      </c>
      <c r="C247" s="570"/>
      <c r="F247" s="499"/>
      <c r="G247" s="571"/>
      <c r="H247" s="571"/>
      <c r="I247" s="581" t="str">
        <f>IF(Table1[[#This Row],[Staff]]="","",Table1[[#This Row],[Staff]])</f>
        <v/>
      </c>
      <c r="J247" s="570">
        <f>Table1[[#This Row],[Date]]</f>
        <v>0</v>
      </c>
      <c r="K247" s="526"/>
      <c r="L247" s="526"/>
      <c r="AF247" s="499"/>
      <c r="AG247" s="499"/>
      <c r="AH247" s="499"/>
      <c r="AI247" s="499"/>
    </row>
    <row r="248" spans="1:35" s="584" customFormat="1">
      <c r="A248" s="569"/>
      <c r="B248" s="37">
        <v>246</v>
      </c>
      <c r="C248" s="570"/>
      <c r="F248" s="499"/>
      <c r="G248" s="571"/>
      <c r="H248" s="571"/>
      <c r="I248" s="581" t="str">
        <f>IF(Table1[[#This Row],[Staff]]="","",Table1[[#This Row],[Staff]])</f>
        <v/>
      </c>
      <c r="J248" s="570">
        <f>Table1[[#This Row],[Date]]</f>
        <v>0</v>
      </c>
      <c r="K248" s="526"/>
      <c r="L248" s="526"/>
      <c r="AF248" s="499"/>
      <c r="AG248" s="499"/>
      <c r="AH248" s="499"/>
      <c r="AI248" s="499"/>
    </row>
    <row r="249" spans="1:35" s="584" customFormat="1">
      <c r="A249" s="569"/>
      <c r="B249" s="37">
        <v>247</v>
      </c>
      <c r="C249" s="570"/>
      <c r="F249" s="499"/>
      <c r="G249" s="571"/>
      <c r="H249" s="571"/>
      <c r="I249" s="581" t="str">
        <f>IF(Table1[[#This Row],[Staff]]="","",Table1[[#This Row],[Staff]])</f>
        <v/>
      </c>
      <c r="J249" s="570">
        <f>Table1[[#This Row],[Date]]</f>
        <v>0</v>
      </c>
      <c r="K249" s="526"/>
      <c r="L249" s="526"/>
      <c r="AF249" s="499"/>
      <c r="AG249" s="499"/>
      <c r="AH249" s="499"/>
      <c r="AI249" s="499"/>
    </row>
    <row r="250" spans="1:35" s="584" customFormat="1">
      <c r="A250" s="569"/>
      <c r="B250" s="37">
        <v>248</v>
      </c>
      <c r="C250" s="570"/>
      <c r="F250" s="499"/>
      <c r="G250" s="571"/>
      <c r="H250" s="571"/>
      <c r="I250" s="581" t="str">
        <f>IF(Table1[[#This Row],[Staff]]="","",Table1[[#This Row],[Staff]])</f>
        <v/>
      </c>
      <c r="J250" s="570">
        <f>Table1[[#This Row],[Date]]</f>
        <v>0</v>
      </c>
      <c r="K250" s="526"/>
      <c r="L250" s="526"/>
      <c r="AF250" s="499"/>
      <c r="AG250" s="499"/>
      <c r="AH250" s="499"/>
      <c r="AI250" s="499"/>
    </row>
    <row r="251" spans="1:35" s="584" customFormat="1">
      <c r="A251" s="569"/>
      <c r="B251" s="37">
        <v>249</v>
      </c>
      <c r="C251" s="570"/>
      <c r="F251" s="499"/>
      <c r="G251" s="571"/>
      <c r="H251" s="571"/>
      <c r="I251" s="581" t="str">
        <f>IF(Table1[[#This Row],[Staff]]="","",Table1[[#This Row],[Staff]])</f>
        <v/>
      </c>
      <c r="J251" s="570">
        <f>Table1[[#This Row],[Date]]</f>
        <v>0</v>
      </c>
      <c r="K251" s="526"/>
      <c r="L251" s="526"/>
      <c r="AF251" s="499"/>
      <c r="AG251" s="499"/>
      <c r="AH251" s="499"/>
      <c r="AI251" s="499"/>
    </row>
    <row r="252" spans="1:35" s="584" customFormat="1">
      <c r="A252" s="569"/>
      <c r="B252" s="37">
        <v>250</v>
      </c>
      <c r="C252" s="570"/>
      <c r="F252" s="499"/>
      <c r="G252" s="571"/>
      <c r="H252" s="571"/>
      <c r="I252" s="581" t="str">
        <f>IF(Table1[[#This Row],[Staff]]="","",Table1[[#This Row],[Staff]])</f>
        <v/>
      </c>
      <c r="J252" s="570">
        <f>Table1[[#This Row],[Date]]</f>
        <v>0</v>
      </c>
      <c r="K252" s="526"/>
      <c r="L252" s="526"/>
      <c r="AF252" s="499"/>
      <c r="AG252" s="499"/>
      <c r="AH252" s="499"/>
      <c r="AI252" s="499"/>
    </row>
    <row r="253" spans="1:35" s="584" customFormat="1">
      <c r="A253" s="569"/>
      <c r="B253" s="37">
        <v>251</v>
      </c>
      <c r="C253" s="570"/>
      <c r="F253" s="499"/>
      <c r="G253" s="571"/>
      <c r="H253" s="571"/>
      <c r="I253" s="581" t="str">
        <f>IF(Table1[[#This Row],[Staff]]="","",Table1[[#This Row],[Staff]])</f>
        <v/>
      </c>
      <c r="J253" s="570">
        <f>Table1[[#This Row],[Date]]</f>
        <v>0</v>
      </c>
      <c r="K253" s="526"/>
      <c r="L253" s="526"/>
      <c r="AF253" s="499"/>
      <c r="AG253" s="499"/>
      <c r="AH253" s="499"/>
      <c r="AI253" s="499"/>
    </row>
    <row r="254" spans="1:35" s="584" customFormat="1">
      <c r="A254" s="569"/>
      <c r="B254" s="37">
        <v>252</v>
      </c>
      <c r="C254" s="570"/>
      <c r="F254" s="499"/>
      <c r="G254" s="571"/>
      <c r="H254" s="571"/>
      <c r="I254" s="581" t="str">
        <f>IF(Table1[[#This Row],[Staff]]="","",Table1[[#This Row],[Staff]])</f>
        <v/>
      </c>
      <c r="J254" s="570">
        <f>Table1[[#This Row],[Date]]</f>
        <v>0</v>
      </c>
      <c r="K254" s="526"/>
      <c r="L254" s="526"/>
      <c r="AF254" s="499"/>
      <c r="AG254" s="499"/>
      <c r="AH254" s="499"/>
      <c r="AI254" s="499"/>
    </row>
    <row r="255" spans="1:35" s="584" customFormat="1">
      <c r="A255" s="569"/>
      <c r="B255" s="37">
        <v>253</v>
      </c>
      <c r="C255" s="570"/>
      <c r="F255" s="499"/>
      <c r="G255" s="571"/>
      <c r="H255" s="571"/>
      <c r="I255" s="581" t="str">
        <f>IF(Table1[[#This Row],[Staff]]="","",Table1[[#This Row],[Staff]])</f>
        <v/>
      </c>
      <c r="J255" s="570">
        <f>Table1[[#This Row],[Date]]</f>
        <v>0</v>
      </c>
      <c r="K255" s="526"/>
      <c r="L255" s="526"/>
      <c r="AF255" s="499"/>
      <c r="AG255" s="499"/>
      <c r="AH255" s="499"/>
      <c r="AI255" s="499"/>
    </row>
    <row r="256" spans="1:35" s="584" customFormat="1">
      <c r="A256" s="569"/>
      <c r="B256" s="37">
        <v>254</v>
      </c>
      <c r="C256" s="570"/>
      <c r="F256" s="499"/>
      <c r="G256" s="571"/>
      <c r="H256" s="571"/>
      <c r="I256" s="581" t="str">
        <f>IF(Table1[[#This Row],[Staff]]="","",Table1[[#This Row],[Staff]])</f>
        <v/>
      </c>
      <c r="J256" s="570">
        <f>Table1[[#This Row],[Date]]</f>
        <v>0</v>
      </c>
      <c r="K256" s="526"/>
      <c r="L256" s="526"/>
      <c r="AF256" s="499"/>
      <c r="AG256" s="499"/>
      <c r="AH256" s="499"/>
      <c r="AI256" s="499"/>
    </row>
    <row r="257" spans="1:35" s="584" customFormat="1">
      <c r="A257" s="569"/>
      <c r="B257" s="37">
        <v>255</v>
      </c>
      <c r="C257" s="570"/>
      <c r="F257" s="499"/>
      <c r="G257" s="571"/>
      <c r="H257" s="571"/>
      <c r="I257" s="581" t="str">
        <f>IF(Table1[[#This Row],[Staff]]="","",Table1[[#This Row],[Staff]])</f>
        <v/>
      </c>
      <c r="J257" s="570">
        <f>Table1[[#This Row],[Date]]</f>
        <v>0</v>
      </c>
      <c r="K257" s="526"/>
      <c r="L257" s="526"/>
      <c r="AF257" s="499"/>
      <c r="AG257" s="499"/>
      <c r="AH257" s="499"/>
      <c r="AI257" s="499"/>
    </row>
    <row r="258" spans="1:35" s="584" customFormat="1">
      <c r="A258" s="569"/>
      <c r="B258" s="37">
        <v>256</v>
      </c>
      <c r="C258" s="570"/>
      <c r="F258" s="499"/>
      <c r="G258" s="571"/>
      <c r="H258" s="571"/>
      <c r="I258" s="581" t="str">
        <f>IF(Table1[[#This Row],[Staff]]="","",Table1[[#This Row],[Staff]])</f>
        <v/>
      </c>
      <c r="J258" s="570">
        <f>Table1[[#This Row],[Date]]</f>
        <v>0</v>
      </c>
      <c r="K258" s="526"/>
      <c r="L258" s="526"/>
      <c r="AF258" s="499"/>
      <c r="AG258" s="499"/>
      <c r="AH258" s="499"/>
      <c r="AI258" s="499"/>
    </row>
    <row r="259" spans="1:35" s="584" customFormat="1">
      <c r="A259" s="569"/>
      <c r="B259" s="37">
        <v>257</v>
      </c>
      <c r="C259" s="570"/>
      <c r="F259" s="499"/>
      <c r="G259" s="571"/>
      <c r="H259" s="571"/>
      <c r="I259" s="581" t="str">
        <f>IF(Table1[[#This Row],[Staff]]="","",Table1[[#This Row],[Staff]])</f>
        <v/>
      </c>
      <c r="J259" s="570">
        <f>Table1[[#This Row],[Date]]</f>
        <v>0</v>
      </c>
      <c r="K259" s="526"/>
      <c r="L259" s="526"/>
      <c r="AF259" s="499"/>
      <c r="AG259" s="499"/>
      <c r="AH259" s="499"/>
      <c r="AI259" s="499"/>
    </row>
    <row r="260" spans="1:35" s="584" customFormat="1">
      <c r="A260" s="569"/>
      <c r="B260" s="37">
        <v>258</v>
      </c>
      <c r="C260" s="570"/>
      <c r="F260" s="499"/>
      <c r="G260" s="571"/>
      <c r="H260" s="571"/>
      <c r="I260" s="581" t="str">
        <f>IF(Table1[[#This Row],[Staff]]="","",Table1[[#This Row],[Staff]])</f>
        <v/>
      </c>
      <c r="J260" s="570">
        <f>Table1[[#This Row],[Date]]</f>
        <v>0</v>
      </c>
      <c r="K260" s="526"/>
      <c r="L260" s="526"/>
      <c r="AF260" s="499"/>
      <c r="AG260" s="499"/>
      <c r="AH260" s="499"/>
      <c r="AI260" s="499"/>
    </row>
    <row r="261" spans="1:35" s="584" customFormat="1">
      <c r="A261" s="569"/>
      <c r="B261" s="37">
        <v>259</v>
      </c>
      <c r="C261" s="570"/>
      <c r="F261" s="499"/>
      <c r="G261" s="571"/>
      <c r="H261" s="571"/>
      <c r="I261" s="581" t="str">
        <f>IF(Table1[[#This Row],[Staff]]="","",Table1[[#This Row],[Staff]])</f>
        <v/>
      </c>
      <c r="J261" s="570">
        <f>Table1[[#This Row],[Date]]</f>
        <v>0</v>
      </c>
      <c r="K261" s="526"/>
      <c r="L261" s="526"/>
      <c r="AF261" s="499"/>
      <c r="AG261" s="499"/>
      <c r="AH261" s="499"/>
      <c r="AI261" s="499"/>
    </row>
    <row r="262" spans="1:35" s="584" customFormat="1">
      <c r="A262" s="569"/>
      <c r="B262" s="37">
        <v>260</v>
      </c>
      <c r="C262" s="570"/>
      <c r="F262" s="499"/>
      <c r="G262" s="571"/>
      <c r="H262" s="571"/>
      <c r="I262" s="581" t="str">
        <f>IF(Table1[[#This Row],[Staff]]="","",Table1[[#This Row],[Staff]])</f>
        <v/>
      </c>
      <c r="J262" s="570">
        <f>Table1[[#This Row],[Date]]</f>
        <v>0</v>
      </c>
      <c r="K262" s="526"/>
      <c r="L262" s="526"/>
      <c r="AF262" s="499"/>
      <c r="AG262" s="499"/>
      <c r="AH262" s="499"/>
      <c r="AI262" s="499"/>
    </row>
    <row r="263" spans="1:35" s="584" customFormat="1">
      <c r="A263" s="569"/>
      <c r="B263" s="37">
        <v>261</v>
      </c>
      <c r="C263" s="570"/>
      <c r="F263" s="499"/>
      <c r="G263" s="571"/>
      <c r="H263" s="571"/>
      <c r="I263" s="581" t="str">
        <f>IF(Table1[[#This Row],[Staff]]="","",Table1[[#This Row],[Staff]])</f>
        <v/>
      </c>
      <c r="J263" s="570">
        <f>Table1[[#This Row],[Date]]</f>
        <v>0</v>
      </c>
      <c r="K263" s="526"/>
      <c r="L263" s="526"/>
      <c r="AF263" s="499"/>
      <c r="AG263" s="499"/>
      <c r="AH263" s="499"/>
      <c r="AI263" s="499"/>
    </row>
    <row r="264" spans="1:35" s="584" customFormat="1">
      <c r="A264" s="569"/>
      <c r="B264" s="37">
        <v>262</v>
      </c>
      <c r="C264" s="570"/>
      <c r="F264" s="499"/>
      <c r="G264" s="571"/>
      <c r="H264" s="571"/>
      <c r="I264" s="581" t="str">
        <f>IF(Table1[[#This Row],[Staff]]="","",Table1[[#This Row],[Staff]])</f>
        <v/>
      </c>
      <c r="J264" s="570">
        <f>Table1[[#This Row],[Date]]</f>
        <v>0</v>
      </c>
      <c r="K264" s="526"/>
      <c r="L264" s="526"/>
      <c r="AF264" s="499"/>
      <c r="AG264" s="499"/>
      <c r="AH264" s="499"/>
      <c r="AI264" s="499"/>
    </row>
    <row r="265" spans="1:35" s="584" customFormat="1">
      <c r="A265" s="569"/>
      <c r="B265" s="37">
        <v>263</v>
      </c>
      <c r="C265" s="570"/>
      <c r="F265" s="499"/>
      <c r="G265" s="571"/>
      <c r="H265" s="571"/>
      <c r="I265" s="581" t="str">
        <f>IF(Table1[[#This Row],[Staff]]="","",Table1[[#This Row],[Staff]])</f>
        <v/>
      </c>
      <c r="J265" s="570">
        <f>Table1[[#This Row],[Date]]</f>
        <v>0</v>
      </c>
      <c r="K265" s="526"/>
      <c r="L265" s="526"/>
      <c r="AF265" s="499"/>
      <c r="AG265" s="499"/>
      <c r="AH265" s="499"/>
      <c r="AI265" s="499"/>
    </row>
    <row r="266" spans="1:35" s="584" customFormat="1">
      <c r="A266" s="569"/>
      <c r="B266" s="37">
        <v>264</v>
      </c>
      <c r="C266" s="570"/>
      <c r="F266" s="499"/>
      <c r="G266" s="571"/>
      <c r="H266" s="571"/>
      <c r="I266" s="581" t="str">
        <f>IF(Table1[[#This Row],[Staff]]="","",Table1[[#This Row],[Staff]])</f>
        <v/>
      </c>
      <c r="J266" s="570">
        <f>Table1[[#This Row],[Date]]</f>
        <v>0</v>
      </c>
      <c r="K266" s="526"/>
      <c r="L266" s="526"/>
      <c r="AF266" s="499"/>
      <c r="AG266" s="499"/>
      <c r="AH266" s="499"/>
      <c r="AI266" s="499"/>
    </row>
    <row r="267" spans="1:35" s="584" customFormat="1">
      <c r="A267" s="569"/>
      <c r="B267" s="37">
        <v>265</v>
      </c>
      <c r="C267" s="570"/>
      <c r="F267" s="499"/>
      <c r="G267" s="571"/>
      <c r="H267" s="571"/>
      <c r="I267" s="581" t="str">
        <f>IF(Table1[[#This Row],[Staff]]="","",Table1[[#This Row],[Staff]])</f>
        <v/>
      </c>
      <c r="J267" s="570">
        <f>Table1[[#This Row],[Date]]</f>
        <v>0</v>
      </c>
      <c r="K267" s="526"/>
      <c r="L267" s="526"/>
      <c r="AF267" s="499"/>
      <c r="AG267" s="499"/>
      <c r="AH267" s="499"/>
      <c r="AI267" s="499"/>
    </row>
    <row r="268" spans="1:35" s="584" customFormat="1">
      <c r="A268" s="569"/>
      <c r="B268" s="37">
        <v>266</v>
      </c>
      <c r="C268" s="570"/>
      <c r="F268" s="499"/>
      <c r="G268" s="571"/>
      <c r="H268" s="571"/>
      <c r="I268" s="581" t="str">
        <f>IF(Table1[[#This Row],[Staff]]="","",Table1[[#This Row],[Staff]])</f>
        <v/>
      </c>
      <c r="J268" s="570">
        <f>Table1[[#This Row],[Date]]</f>
        <v>0</v>
      </c>
      <c r="K268" s="526"/>
      <c r="L268" s="526"/>
      <c r="AF268" s="499"/>
      <c r="AG268" s="499"/>
      <c r="AH268" s="499"/>
      <c r="AI268" s="499"/>
    </row>
    <row r="269" spans="1:35" s="584" customFormat="1">
      <c r="A269" s="569"/>
      <c r="B269" s="37">
        <v>267</v>
      </c>
      <c r="C269" s="570"/>
      <c r="F269" s="499"/>
      <c r="G269" s="571"/>
      <c r="H269" s="571"/>
      <c r="I269" s="581" t="str">
        <f>IF(Table1[[#This Row],[Staff]]="","",Table1[[#This Row],[Staff]])</f>
        <v/>
      </c>
      <c r="J269" s="570">
        <f>Table1[[#This Row],[Date]]</f>
        <v>0</v>
      </c>
      <c r="K269" s="526"/>
      <c r="L269" s="526"/>
      <c r="AF269" s="499"/>
      <c r="AG269" s="499"/>
      <c r="AH269" s="499"/>
      <c r="AI269" s="499"/>
    </row>
    <row r="270" spans="1:35" s="584" customFormat="1">
      <c r="A270" s="569"/>
      <c r="B270" s="37">
        <v>268</v>
      </c>
      <c r="C270" s="570"/>
      <c r="F270" s="499"/>
      <c r="G270" s="571"/>
      <c r="H270" s="571"/>
      <c r="I270" s="581" t="str">
        <f>IF(Table1[[#This Row],[Staff]]="","",Table1[[#This Row],[Staff]])</f>
        <v/>
      </c>
      <c r="J270" s="570">
        <f>Table1[[#This Row],[Date]]</f>
        <v>0</v>
      </c>
      <c r="K270" s="526"/>
      <c r="L270" s="526"/>
      <c r="AF270" s="499"/>
      <c r="AG270" s="499"/>
      <c r="AH270" s="499"/>
      <c r="AI270" s="499"/>
    </row>
    <row r="271" spans="1:35" s="584" customFormat="1">
      <c r="A271" s="569"/>
      <c r="B271" s="37">
        <v>269</v>
      </c>
      <c r="C271" s="570"/>
      <c r="F271" s="499"/>
      <c r="G271" s="571"/>
      <c r="H271" s="571"/>
      <c r="I271" s="581" t="str">
        <f>IF(Table1[[#This Row],[Staff]]="","",Table1[[#This Row],[Staff]])</f>
        <v/>
      </c>
      <c r="J271" s="570">
        <f>Table1[[#This Row],[Date]]</f>
        <v>0</v>
      </c>
      <c r="K271" s="526"/>
      <c r="L271" s="526"/>
      <c r="AF271" s="499"/>
      <c r="AG271" s="499"/>
      <c r="AH271" s="499"/>
      <c r="AI271" s="499"/>
    </row>
    <row r="272" spans="1:35" s="584" customFormat="1">
      <c r="A272" s="569"/>
      <c r="B272" s="37">
        <v>270</v>
      </c>
      <c r="C272" s="570"/>
      <c r="F272" s="499"/>
      <c r="G272" s="571"/>
      <c r="H272" s="571"/>
      <c r="I272" s="581" t="str">
        <f>IF(Table1[[#This Row],[Staff]]="","",Table1[[#This Row],[Staff]])</f>
        <v/>
      </c>
      <c r="J272" s="570">
        <f>Table1[[#This Row],[Date]]</f>
        <v>0</v>
      </c>
      <c r="K272" s="526"/>
      <c r="L272" s="526"/>
      <c r="AF272" s="499"/>
      <c r="AG272" s="499"/>
      <c r="AH272" s="499"/>
      <c r="AI272" s="499"/>
    </row>
    <row r="273" spans="1:35" s="584" customFormat="1">
      <c r="A273" s="569"/>
      <c r="B273" s="37">
        <v>271</v>
      </c>
      <c r="C273" s="570"/>
      <c r="F273" s="499"/>
      <c r="G273" s="571"/>
      <c r="H273" s="571"/>
      <c r="I273" s="581" t="str">
        <f>IF(Table1[[#This Row],[Staff]]="","",Table1[[#This Row],[Staff]])</f>
        <v/>
      </c>
      <c r="J273" s="570">
        <f>Table1[[#This Row],[Date]]</f>
        <v>0</v>
      </c>
      <c r="K273" s="526"/>
      <c r="L273" s="526"/>
      <c r="AF273" s="499"/>
      <c r="AG273" s="499"/>
      <c r="AH273" s="499"/>
      <c r="AI273" s="499"/>
    </row>
    <row r="274" spans="1:35" s="584" customFormat="1">
      <c r="A274" s="569"/>
      <c r="B274" s="37">
        <v>272</v>
      </c>
      <c r="C274" s="570"/>
      <c r="F274" s="499"/>
      <c r="G274" s="571"/>
      <c r="H274" s="571"/>
      <c r="I274" s="581" t="str">
        <f>IF(Table1[[#This Row],[Staff]]="","",Table1[[#This Row],[Staff]])</f>
        <v/>
      </c>
      <c r="J274" s="570">
        <f>Table1[[#This Row],[Date]]</f>
        <v>0</v>
      </c>
      <c r="K274" s="526"/>
      <c r="L274" s="526"/>
      <c r="AF274" s="499"/>
      <c r="AG274" s="499"/>
      <c r="AH274" s="499"/>
      <c r="AI274" s="499"/>
    </row>
    <row r="275" spans="1:35" s="584" customFormat="1">
      <c r="A275" s="569"/>
      <c r="B275" s="37">
        <v>273</v>
      </c>
      <c r="C275" s="570"/>
      <c r="F275" s="499"/>
      <c r="G275" s="571"/>
      <c r="H275" s="571"/>
      <c r="I275" s="581" t="str">
        <f>IF(Table1[[#This Row],[Staff]]="","",Table1[[#This Row],[Staff]])</f>
        <v/>
      </c>
      <c r="J275" s="570">
        <f>Table1[[#This Row],[Date]]</f>
        <v>0</v>
      </c>
      <c r="K275" s="526"/>
      <c r="L275" s="526"/>
      <c r="AF275" s="499"/>
      <c r="AG275" s="499"/>
      <c r="AH275" s="499"/>
      <c r="AI275" s="499"/>
    </row>
    <row r="276" spans="1:35" s="584" customFormat="1">
      <c r="A276" s="569"/>
      <c r="B276" s="37">
        <v>274</v>
      </c>
      <c r="C276" s="570"/>
      <c r="F276" s="499"/>
      <c r="G276" s="571"/>
      <c r="H276" s="571"/>
      <c r="I276" s="581" t="str">
        <f>IF(Table1[[#This Row],[Staff]]="","",Table1[[#This Row],[Staff]])</f>
        <v/>
      </c>
      <c r="J276" s="570">
        <f>Table1[[#This Row],[Date]]</f>
        <v>0</v>
      </c>
      <c r="K276" s="526"/>
      <c r="L276" s="526"/>
      <c r="AF276" s="499"/>
      <c r="AG276" s="499"/>
      <c r="AH276" s="499"/>
      <c r="AI276" s="499"/>
    </row>
    <row r="277" spans="1:35" s="584" customFormat="1">
      <c r="A277" s="569"/>
      <c r="B277" s="37">
        <v>275</v>
      </c>
      <c r="C277" s="570"/>
      <c r="F277" s="499"/>
      <c r="G277" s="571"/>
      <c r="H277" s="571"/>
      <c r="I277" s="581" t="str">
        <f>IF(Table1[[#This Row],[Staff]]="","",Table1[[#This Row],[Staff]])</f>
        <v/>
      </c>
      <c r="J277" s="570">
        <f>Table1[[#This Row],[Date]]</f>
        <v>0</v>
      </c>
      <c r="K277" s="526"/>
      <c r="L277" s="526"/>
      <c r="AF277" s="499"/>
      <c r="AG277" s="499"/>
      <c r="AH277" s="499"/>
      <c r="AI277" s="499"/>
    </row>
    <row r="278" spans="1:35" s="584" customFormat="1">
      <c r="A278" s="569"/>
      <c r="B278" s="37">
        <v>276</v>
      </c>
      <c r="C278" s="570"/>
      <c r="F278" s="499"/>
      <c r="G278" s="571"/>
      <c r="H278" s="571"/>
      <c r="I278" s="581" t="str">
        <f>IF(Table1[[#This Row],[Staff]]="","",Table1[[#This Row],[Staff]])</f>
        <v/>
      </c>
      <c r="J278" s="570">
        <f>Table1[[#This Row],[Date]]</f>
        <v>0</v>
      </c>
      <c r="K278" s="526"/>
      <c r="L278" s="526"/>
      <c r="AF278" s="499"/>
      <c r="AG278" s="499"/>
      <c r="AH278" s="499"/>
      <c r="AI278" s="499"/>
    </row>
    <row r="279" spans="1:35" s="584" customFormat="1">
      <c r="A279" s="569"/>
      <c r="B279" s="37">
        <v>277</v>
      </c>
      <c r="C279" s="570"/>
      <c r="F279" s="499"/>
      <c r="G279" s="571"/>
      <c r="H279" s="571"/>
      <c r="I279" s="581" t="str">
        <f>IF(Table1[[#This Row],[Staff]]="","",Table1[[#This Row],[Staff]])</f>
        <v/>
      </c>
      <c r="J279" s="570">
        <f>Table1[[#This Row],[Date]]</f>
        <v>0</v>
      </c>
      <c r="K279" s="526"/>
      <c r="L279" s="526"/>
      <c r="AF279" s="499"/>
      <c r="AG279" s="499"/>
      <c r="AH279" s="499"/>
      <c r="AI279" s="499"/>
    </row>
    <row r="280" spans="1:35" s="584" customFormat="1">
      <c r="A280" s="569"/>
      <c r="B280" s="37">
        <v>278</v>
      </c>
      <c r="C280" s="570"/>
      <c r="F280" s="499"/>
      <c r="G280" s="571"/>
      <c r="H280" s="571"/>
      <c r="I280" s="581" t="str">
        <f>IF(Table1[[#This Row],[Staff]]="","",Table1[[#This Row],[Staff]])</f>
        <v/>
      </c>
      <c r="J280" s="570">
        <f>Table1[[#This Row],[Date]]</f>
        <v>0</v>
      </c>
      <c r="K280" s="526"/>
      <c r="L280" s="526"/>
      <c r="AF280" s="499"/>
      <c r="AG280" s="499"/>
      <c r="AH280" s="499"/>
      <c r="AI280" s="499"/>
    </row>
    <row r="281" spans="1:35" s="584" customFormat="1">
      <c r="A281" s="569"/>
      <c r="B281" s="37">
        <v>279</v>
      </c>
      <c r="C281" s="570"/>
      <c r="F281" s="499"/>
      <c r="G281" s="571"/>
      <c r="H281" s="571"/>
      <c r="I281" s="581" t="str">
        <f>IF(Table1[[#This Row],[Staff]]="","",Table1[[#This Row],[Staff]])</f>
        <v/>
      </c>
      <c r="J281" s="570">
        <f>Table1[[#This Row],[Date]]</f>
        <v>0</v>
      </c>
      <c r="K281" s="526"/>
      <c r="L281" s="526"/>
      <c r="AF281" s="499"/>
      <c r="AG281" s="499"/>
      <c r="AH281" s="499"/>
      <c r="AI281" s="499"/>
    </row>
    <row r="282" spans="1:35" s="584" customFormat="1">
      <c r="A282" s="569"/>
      <c r="B282" s="37">
        <v>280</v>
      </c>
      <c r="C282" s="570"/>
      <c r="F282" s="499"/>
      <c r="G282" s="571"/>
      <c r="H282" s="571"/>
      <c r="I282" s="581" t="str">
        <f>IF(Table1[[#This Row],[Staff]]="","",Table1[[#This Row],[Staff]])</f>
        <v/>
      </c>
      <c r="J282" s="570">
        <f>Table1[[#This Row],[Date]]</f>
        <v>0</v>
      </c>
      <c r="K282" s="526"/>
      <c r="L282" s="526"/>
      <c r="AF282" s="499"/>
      <c r="AG282" s="499"/>
      <c r="AH282" s="499"/>
      <c r="AI282" s="499"/>
    </row>
    <row r="283" spans="1:35" s="584" customFormat="1">
      <c r="A283" s="569"/>
      <c r="B283" s="37">
        <v>281</v>
      </c>
      <c r="C283" s="570"/>
      <c r="F283" s="499"/>
      <c r="G283" s="571"/>
      <c r="H283" s="571"/>
      <c r="I283" s="581" t="str">
        <f>IF(Table1[[#This Row],[Staff]]="","",Table1[[#This Row],[Staff]])</f>
        <v/>
      </c>
      <c r="J283" s="570">
        <f>Table1[[#This Row],[Date]]</f>
        <v>0</v>
      </c>
      <c r="K283" s="526"/>
      <c r="L283" s="526"/>
      <c r="AF283" s="499"/>
      <c r="AG283" s="499"/>
      <c r="AH283" s="499"/>
      <c r="AI283" s="499"/>
    </row>
    <row r="284" spans="1:35" s="584" customFormat="1">
      <c r="A284" s="569"/>
      <c r="B284" s="37">
        <v>282</v>
      </c>
      <c r="C284" s="570"/>
      <c r="F284" s="499"/>
      <c r="G284" s="571"/>
      <c r="H284" s="571"/>
      <c r="I284" s="581" t="str">
        <f>IF(Table1[[#This Row],[Staff]]="","",Table1[[#This Row],[Staff]])</f>
        <v/>
      </c>
      <c r="J284" s="570">
        <f>Table1[[#This Row],[Date]]</f>
        <v>0</v>
      </c>
      <c r="K284" s="526"/>
      <c r="L284" s="526"/>
      <c r="AF284" s="499"/>
      <c r="AG284" s="499"/>
      <c r="AH284" s="499"/>
      <c r="AI284" s="499"/>
    </row>
    <row r="285" spans="1:35" s="584" customFormat="1">
      <c r="A285" s="569"/>
      <c r="B285" s="37">
        <v>283</v>
      </c>
      <c r="C285" s="570"/>
      <c r="F285" s="499"/>
      <c r="G285" s="571"/>
      <c r="H285" s="571"/>
      <c r="I285" s="581" t="str">
        <f>IF(Table1[[#This Row],[Staff]]="","",Table1[[#This Row],[Staff]])</f>
        <v/>
      </c>
      <c r="J285" s="570">
        <f>Table1[[#This Row],[Date]]</f>
        <v>0</v>
      </c>
      <c r="K285" s="526"/>
      <c r="L285" s="526"/>
      <c r="AF285" s="499"/>
      <c r="AG285" s="499"/>
      <c r="AH285" s="499"/>
      <c r="AI285" s="499"/>
    </row>
    <row r="286" spans="1:35" s="584" customFormat="1">
      <c r="A286" s="569"/>
      <c r="B286" s="37">
        <v>284</v>
      </c>
      <c r="C286" s="570"/>
      <c r="F286" s="499"/>
      <c r="G286" s="571"/>
      <c r="H286" s="571"/>
      <c r="I286" s="581" t="str">
        <f>IF(Table1[[#This Row],[Staff]]="","",Table1[[#This Row],[Staff]])</f>
        <v/>
      </c>
      <c r="J286" s="570">
        <f>Table1[[#This Row],[Date]]</f>
        <v>0</v>
      </c>
      <c r="K286" s="526"/>
      <c r="L286" s="526"/>
      <c r="AF286" s="499"/>
      <c r="AG286" s="499"/>
      <c r="AH286" s="499"/>
      <c r="AI286" s="499"/>
    </row>
    <row r="287" spans="1:35" s="584" customFormat="1">
      <c r="A287" s="569"/>
      <c r="B287" s="37">
        <v>285</v>
      </c>
      <c r="C287" s="570"/>
      <c r="F287" s="499"/>
      <c r="G287" s="571"/>
      <c r="H287" s="571"/>
      <c r="I287" s="581" t="str">
        <f>IF(Table1[[#This Row],[Staff]]="","",Table1[[#This Row],[Staff]])</f>
        <v/>
      </c>
      <c r="J287" s="570">
        <f>Table1[[#This Row],[Date]]</f>
        <v>0</v>
      </c>
      <c r="K287" s="526"/>
      <c r="L287" s="526"/>
      <c r="AF287" s="499"/>
      <c r="AG287" s="499"/>
      <c r="AH287" s="499"/>
      <c r="AI287" s="499"/>
    </row>
    <row r="288" spans="1:35" s="584" customFormat="1">
      <c r="A288" s="569"/>
      <c r="B288" s="37">
        <v>286</v>
      </c>
      <c r="C288" s="570"/>
      <c r="F288" s="499"/>
      <c r="G288" s="571"/>
      <c r="H288" s="571"/>
      <c r="I288" s="581" t="str">
        <f>IF(Table1[[#This Row],[Staff]]="","",Table1[[#This Row],[Staff]])</f>
        <v/>
      </c>
      <c r="J288" s="570">
        <f>Table1[[#This Row],[Date]]</f>
        <v>0</v>
      </c>
      <c r="K288" s="526"/>
      <c r="L288" s="526"/>
      <c r="AF288" s="499"/>
      <c r="AG288" s="499"/>
      <c r="AH288" s="499"/>
      <c r="AI288" s="499"/>
    </row>
    <row r="289" spans="1:35" s="584" customFormat="1">
      <c r="A289" s="569"/>
      <c r="B289" s="37">
        <v>287</v>
      </c>
      <c r="C289" s="570"/>
      <c r="F289" s="499"/>
      <c r="G289" s="571"/>
      <c r="H289" s="571"/>
      <c r="I289" s="581" t="str">
        <f>IF(Table1[[#This Row],[Staff]]="","",Table1[[#This Row],[Staff]])</f>
        <v/>
      </c>
      <c r="J289" s="570">
        <f>Table1[[#This Row],[Date]]</f>
        <v>0</v>
      </c>
      <c r="K289" s="526"/>
      <c r="L289" s="526"/>
      <c r="AF289" s="499"/>
      <c r="AG289" s="499"/>
      <c r="AH289" s="499"/>
      <c r="AI289" s="499"/>
    </row>
    <row r="290" spans="1:35" s="584" customFormat="1">
      <c r="A290" s="569"/>
      <c r="B290" s="37">
        <v>288</v>
      </c>
      <c r="C290" s="570"/>
      <c r="F290" s="499"/>
      <c r="G290" s="571"/>
      <c r="H290" s="571"/>
      <c r="I290" s="581" t="str">
        <f>IF(Table1[[#This Row],[Staff]]="","",Table1[[#This Row],[Staff]])</f>
        <v/>
      </c>
      <c r="J290" s="570">
        <f>Table1[[#This Row],[Date]]</f>
        <v>0</v>
      </c>
      <c r="K290" s="526"/>
      <c r="L290" s="526"/>
      <c r="AF290" s="499"/>
      <c r="AG290" s="499"/>
      <c r="AH290" s="499"/>
      <c r="AI290" s="499"/>
    </row>
    <row r="291" spans="1:35" s="584" customFormat="1">
      <c r="A291" s="569"/>
      <c r="B291" s="37">
        <v>289</v>
      </c>
      <c r="C291" s="570"/>
      <c r="F291" s="499"/>
      <c r="G291" s="571"/>
      <c r="H291" s="571"/>
      <c r="I291" s="581" t="str">
        <f>IF(Table1[[#This Row],[Staff]]="","",Table1[[#This Row],[Staff]])</f>
        <v/>
      </c>
      <c r="J291" s="570">
        <f>Table1[[#This Row],[Date]]</f>
        <v>0</v>
      </c>
      <c r="K291" s="526"/>
      <c r="L291" s="526"/>
      <c r="AF291" s="499"/>
      <c r="AG291" s="499"/>
      <c r="AH291" s="499"/>
      <c r="AI291" s="499"/>
    </row>
    <row r="292" spans="1:35" s="584" customFormat="1">
      <c r="A292" s="569"/>
      <c r="B292" s="37">
        <v>290</v>
      </c>
      <c r="C292" s="570"/>
      <c r="F292" s="499"/>
      <c r="G292" s="571"/>
      <c r="H292" s="571"/>
      <c r="I292" s="581" t="str">
        <f>IF(Table1[[#This Row],[Staff]]="","",Table1[[#This Row],[Staff]])</f>
        <v/>
      </c>
      <c r="J292" s="570">
        <f>Table1[[#This Row],[Date]]</f>
        <v>0</v>
      </c>
      <c r="K292" s="526"/>
      <c r="L292" s="526"/>
      <c r="AF292" s="499"/>
      <c r="AG292" s="499"/>
      <c r="AH292" s="499"/>
      <c r="AI292" s="499"/>
    </row>
    <row r="293" spans="1:35" s="584" customFormat="1">
      <c r="A293" s="569"/>
      <c r="B293" s="37">
        <v>291</v>
      </c>
      <c r="C293" s="570"/>
      <c r="F293" s="499"/>
      <c r="G293" s="571"/>
      <c r="H293" s="571"/>
      <c r="I293" s="581" t="str">
        <f>IF(Table1[[#This Row],[Staff]]="","",Table1[[#This Row],[Staff]])</f>
        <v/>
      </c>
      <c r="J293" s="570">
        <f>Table1[[#This Row],[Date]]</f>
        <v>0</v>
      </c>
      <c r="K293" s="526"/>
      <c r="L293" s="526"/>
      <c r="AF293" s="499"/>
      <c r="AG293" s="499"/>
      <c r="AH293" s="499"/>
      <c r="AI293" s="499"/>
    </row>
    <row r="294" spans="1:35" s="584" customFormat="1">
      <c r="A294" s="569"/>
      <c r="B294" s="37">
        <v>292</v>
      </c>
      <c r="C294" s="570"/>
      <c r="F294" s="499"/>
      <c r="G294" s="571"/>
      <c r="H294" s="571"/>
      <c r="I294" s="581" t="str">
        <f>IF(Table1[[#This Row],[Staff]]="","",Table1[[#This Row],[Staff]])</f>
        <v/>
      </c>
      <c r="J294" s="570">
        <f>Table1[[#This Row],[Date]]</f>
        <v>0</v>
      </c>
      <c r="K294" s="526"/>
      <c r="L294" s="526"/>
      <c r="AF294" s="499"/>
      <c r="AG294" s="499"/>
      <c r="AH294" s="499"/>
      <c r="AI294" s="499"/>
    </row>
    <row r="295" spans="1:35" s="584" customFormat="1">
      <c r="A295" s="569"/>
      <c r="B295" s="37">
        <v>293</v>
      </c>
      <c r="C295" s="570"/>
      <c r="F295" s="499"/>
      <c r="G295" s="571"/>
      <c r="H295" s="571"/>
      <c r="I295" s="581" t="str">
        <f>IF(Table1[[#This Row],[Staff]]="","",Table1[[#This Row],[Staff]])</f>
        <v/>
      </c>
      <c r="J295" s="570">
        <f>Table1[[#This Row],[Date]]</f>
        <v>0</v>
      </c>
      <c r="K295" s="526"/>
      <c r="L295" s="526"/>
      <c r="AF295" s="499"/>
      <c r="AG295" s="499"/>
      <c r="AH295" s="499"/>
      <c r="AI295" s="499"/>
    </row>
    <row r="296" spans="1:35" s="584" customFormat="1">
      <c r="A296" s="569"/>
      <c r="B296" s="37">
        <v>294</v>
      </c>
      <c r="C296" s="570"/>
      <c r="F296" s="499"/>
      <c r="G296" s="571"/>
      <c r="H296" s="571"/>
      <c r="I296" s="581" t="str">
        <f>IF(Table1[[#This Row],[Staff]]="","",Table1[[#This Row],[Staff]])</f>
        <v/>
      </c>
      <c r="J296" s="570">
        <f>Table1[[#This Row],[Date]]</f>
        <v>0</v>
      </c>
      <c r="K296" s="526"/>
      <c r="L296" s="526"/>
      <c r="AF296" s="499"/>
      <c r="AG296" s="499"/>
      <c r="AH296" s="499"/>
      <c r="AI296" s="499"/>
    </row>
    <row r="297" spans="1:35" s="584" customFormat="1">
      <c r="A297" s="569"/>
      <c r="B297" s="37">
        <v>295</v>
      </c>
      <c r="C297" s="570"/>
      <c r="F297" s="499"/>
      <c r="G297" s="571"/>
      <c r="H297" s="571"/>
      <c r="I297" s="581" t="str">
        <f>IF(Table1[[#This Row],[Staff]]="","",Table1[[#This Row],[Staff]])</f>
        <v/>
      </c>
      <c r="J297" s="570">
        <f>Table1[[#This Row],[Date]]</f>
        <v>0</v>
      </c>
      <c r="K297" s="526"/>
      <c r="L297" s="526"/>
      <c r="AF297" s="499"/>
      <c r="AG297" s="499"/>
      <c r="AH297" s="499"/>
      <c r="AI297" s="499"/>
    </row>
    <row r="298" spans="1:35" s="584" customFormat="1">
      <c r="A298" s="569"/>
      <c r="B298" s="37">
        <v>296</v>
      </c>
      <c r="C298" s="570"/>
      <c r="F298" s="499"/>
      <c r="G298" s="571"/>
      <c r="H298" s="571"/>
      <c r="I298" s="581" t="str">
        <f>IF(Table1[[#This Row],[Staff]]="","",Table1[[#This Row],[Staff]])</f>
        <v/>
      </c>
      <c r="J298" s="570">
        <f>Table1[[#This Row],[Date]]</f>
        <v>0</v>
      </c>
      <c r="K298" s="526"/>
      <c r="L298" s="526"/>
      <c r="AF298" s="499"/>
      <c r="AG298" s="499"/>
      <c r="AH298" s="499"/>
      <c r="AI298" s="499"/>
    </row>
    <row r="299" spans="1:35" s="584" customFormat="1">
      <c r="A299" s="569"/>
      <c r="B299" s="37">
        <v>297</v>
      </c>
      <c r="C299" s="570"/>
      <c r="F299" s="499"/>
      <c r="G299" s="571"/>
      <c r="H299" s="571"/>
      <c r="I299" s="581" t="str">
        <f>IF(Table1[[#This Row],[Staff]]="","",Table1[[#This Row],[Staff]])</f>
        <v/>
      </c>
      <c r="J299" s="570">
        <f>Table1[[#This Row],[Date]]</f>
        <v>0</v>
      </c>
      <c r="K299" s="526"/>
      <c r="L299" s="526"/>
      <c r="AF299" s="499"/>
      <c r="AG299" s="499"/>
      <c r="AH299" s="499"/>
      <c r="AI299" s="499"/>
    </row>
    <row r="300" spans="1:35" s="584" customFormat="1">
      <c r="A300" s="569"/>
      <c r="B300" s="37">
        <v>298</v>
      </c>
      <c r="C300" s="570"/>
      <c r="F300" s="499"/>
      <c r="G300" s="571"/>
      <c r="H300" s="571"/>
      <c r="I300" s="581" t="str">
        <f>IF(Table1[[#This Row],[Staff]]="","",Table1[[#This Row],[Staff]])</f>
        <v/>
      </c>
      <c r="J300" s="570">
        <f>Table1[[#This Row],[Date]]</f>
        <v>0</v>
      </c>
      <c r="K300" s="526"/>
      <c r="L300" s="526"/>
      <c r="AF300" s="499"/>
      <c r="AG300" s="499"/>
      <c r="AH300" s="499"/>
      <c r="AI300" s="499"/>
    </row>
    <row r="301" spans="1:35" s="584" customFormat="1">
      <c r="A301" s="569"/>
      <c r="B301" s="37">
        <v>299</v>
      </c>
      <c r="C301" s="570"/>
      <c r="F301" s="499"/>
      <c r="G301" s="571"/>
      <c r="H301" s="571"/>
      <c r="I301" s="581" t="str">
        <f>IF(Table1[[#This Row],[Staff]]="","",Table1[[#This Row],[Staff]])</f>
        <v/>
      </c>
      <c r="J301" s="570">
        <f>Table1[[#This Row],[Date]]</f>
        <v>0</v>
      </c>
      <c r="K301" s="526"/>
      <c r="L301" s="526"/>
      <c r="AF301" s="499"/>
      <c r="AG301" s="499"/>
      <c r="AH301" s="499"/>
      <c r="AI301" s="499"/>
    </row>
    <row r="302" spans="1:35" s="584" customFormat="1">
      <c r="A302" s="569"/>
      <c r="B302" s="37">
        <v>300</v>
      </c>
      <c r="C302" s="570"/>
      <c r="F302" s="499"/>
      <c r="G302" s="571"/>
      <c r="H302" s="571"/>
      <c r="I302" s="581" t="str">
        <f>IF(Table1[[#This Row],[Staff]]="","",Table1[[#This Row],[Staff]])</f>
        <v/>
      </c>
      <c r="J302" s="570">
        <f>Table1[[#This Row],[Date]]</f>
        <v>0</v>
      </c>
      <c r="K302" s="526"/>
      <c r="L302" s="526"/>
      <c r="AF302" s="499"/>
      <c r="AG302" s="499"/>
      <c r="AH302" s="499"/>
      <c r="AI302" s="499"/>
    </row>
    <row r="303" spans="1:35" s="584" customFormat="1">
      <c r="A303" s="569"/>
      <c r="B303" s="37">
        <v>301</v>
      </c>
      <c r="C303" s="570"/>
      <c r="F303" s="499"/>
      <c r="G303" s="571"/>
      <c r="H303" s="571"/>
      <c r="I303" s="581" t="str">
        <f>IF(Table1[[#This Row],[Staff]]="","",Table1[[#This Row],[Staff]])</f>
        <v/>
      </c>
      <c r="J303" s="570">
        <f>Table1[[#This Row],[Date]]</f>
        <v>0</v>
      </c>
      <c r="K303" s="526"/>
      <c r="L303" s="526"/>
      <c r="AF303" s="499"/>
      <c r="AG303" s="499"/>
      <c r="AH303" s="499"/>
      <c r="AI303" s="499"/>
    </row>
    <row r="304" spans="1:35" s="584" customFormat="1">
      <c r="A304" s="569"/>
      <c r="B304" s="37">
        <v>302</v>
      </c>
      <c r="C304" s="570"/>
      <c r="F304" s="499"/>
      <c r="G304" s="571"/>
      <c r="H304" s="571"/>
      <c r="I304" s="581" t="str">
        <f>IF(Table1[[#This Row],[Staff]]="","",Table1[[#This Row],[Staff]])</f>
        <v/>
      </c>
      <c r="J304" s="570">
        <f>Table1[[#This Row],[Date]]</f>
        <v>0</v>
      </c>
      <c r="K304" s="526"/>
      <c r="L304" s="526"/>
      <c r="AF304" s="499"/>
      <c r="AG304" s="499"/>
      <c r="AH304" s="499"/>
      <c r="AI304" s="499"/>
    </row>
    <row r="305" spans="1:35" s="584" customFormat="1">
      <c r="A305" s="569"/>
      <c r="B305" s="37">
        <v>303</v>
      </c>
      <c r="C305" s="570"/>
      <c r="F305" s="499"/>
      <c r="G305" s="571"/>
      <c r="H305" s="571"/>
      <c r="I305" s="581" t="str">
        <f>IF(Table1[[#This Row],[Staff]]="","",Table1[[#This Row],[Staff]])</f>
        <v/>
      </c>
      <c r="J305" s="570">
        <f>Table1[[#This Row],[Date]]</f>
        <v>0</v>
      </c>
      <c r="K305" s="526"/>
      <c r="L305" s="526"/>
      <c r="AF305" s="499"/>
      <c r="AG305" s="499"/>
      <c r="AH305" s="499"/>
      <c r="AI305" s="499"/>
    </row>
    <row r="306" spans="1:35" s="584" customFormat="1">
      <c r="A306" s="569"/>
      <c r="B306" s="37">
        <v>304</v>
      </c>
      <c r="C306" s="570"/>
      <c r="F306" s="499"/>
      <c r="G306" s="571"/>
      <c r="H306" s="571"/>
      <c r="I306" s="581" t="str">
        <f>IF(Table1[[#This Row],[Staff]]="","",Table1[[#This Row],[Staff]])</f>
        <v/>
      </c>
      <c r="J306" s="570">
        <f>Table1[[#This Row],[Date]]</f>
        <v>0</v>
      </c>
      <c r="K306" s="526"/>
      <c r="L306" s="526"/>
      <c r="AF306" s="499"/>
      <c r="AG306" s="499"/>
      <c r="AH306" s="499"/>
      <c r="AI306" s="499"/>
    </row>
    <row r="307" spans="1:35" s="584" customFormat="1">
      <c r="A307" s="569"/>
      <c r="B307" s="37">
        <v>305</v>
      </c>
      <c r="C307" s="570"/>
      <c r="F307" s="499"/>
      <c r="G307" s="571"/>
      <c r="H307" s="571"/>
      <c r="I307" s="581" t="str">
        <f>IF(Table1[[#This Row],[Staff]]="","",Table1[[#This Row],[Staff]])</f>
        <v/>
      </c>
      <c r="J307" s="570">
        <f>Table1[[#This Row],[Date]]</f>
        <v>0</v>
      </c>
      <c r="K307" s="526"/>
      <c r="L307" s="526"/>
      <c r="AF307" s="499"/>
      <c r="AG307" s="499"/>
      <c r="AH307" s="499"/>
      <c r="AI307" s="499"/>
    </row>
    <row r="308" spans="1:35" s="584" customFormat="1">
      <c r="A308" s="569"/>
      <c r="B308" s="37">
        <v>306</v>
      </c>
      <c r="C308" s="570"/>
      <c r="F308" s="499"/>
      <c r="G308" s="571"/>
      <c r="H308" s="571"/>
      <c r="I308" s="581" t="str">
        <f>IF(Table1[[#This Row],[Staff]]="","",Table1[[#This Row],[Staff]])</f>
        <v/>
      </c>
      <c r="J308" s="570">
        <f>Table1[[#This Row],[Date]]</f>
        <v>0</v>
      </c>
      <c r="K308" s="526"/>
      <c r="L308" s="526"/>
      <c r="AF308" s="499"/>
      <c r="AG308" s="499"/>
      <c r="AH308" s="499"/>
      <c r="AI308" s="499"/>
    </row>
    <row r="309" spans="1:35" s="584" customFormat="1">
      <c r="A309" s="569"/>
      <c r="B309" s="37">
        <v>307</v>
      </c>
      <c r="C309" s="570"/>
      <c r="F309" s="499"/>
      <c r="G309" s="571"/>
      <c r="H309" s="571"/>
      <c r="I309" s="581" t="str">
        <f>IF(Table1[[#This Row],[Staff]]="","",Table1[[#This Row],[Staff]])</f>
        <v/>
      </c>
      <c r="J309" s="570">
        <f>Table1[[#This Row],[Date]]</f>
        <v>0</v>
      </c>
      <c r="K309" s="526"/>
      <c r="L309" s="526"/>
      <c r="AF309" s="499"/>
      <c r="AG309" s="499"/>
      <c r="AH309" s="499"/>
      <c r="AI309" s="499"/>
    </row>
    <row r="310" spans="1:35" s="584" customFormat="1">
      <c r="A310" s="569"/>
      <c r="B310" s="37">
        <v>308</v>
      </c>
      <c r="C310" s="570"/>
      <c r="F310" s="499"/>
      <c r="G310" s="571"/>
      <c r="H310" s="571"/>
      <c r="I310" s="581" t="str">
        <f>IF(Table1[[#This Row],[Staff]]="","",Table1[[#This Row],[Staff]])</f>
        <v/>
      </c>
      <c r="J310" s="570">
        <f>Table1[[#This Row],[Date]]</f>
        <v>0</v>
      </c>
      <c r="K310" s="526"/>
      <c r="L310" s="526"/>
      <c r="AF310" s="499"/>
      <c r="AG310" s="499"/>
      <c r="AH310" s="499"/>
      <c r="AI310" s="499"/>
    </row>
    <row r="311" spans="1:35" s="584" customFormat="1">
      <c r="A311" s="569"/>
      <c r="B311" s="37">
        <v>309</v>
      </c>
      <c r="C311" s="570"/>
      <c r="F311" s="499"/>
      <c r="G311" s="571"/>
      <c r="H311" s="571"/>
      <c r="I311" s="581" t="str">
        <f>IF(Table1[[#This Row],[Staff]]="","",Table1[[#This Row],[Staff]])</f>
        <v/>
      </c>
      <c r="J311" s="570">
        <f>Table1[[#This Row],[Date]]</f>
        <v>0</v>
      </c>
      <c r="K311" s="526"/>
      <c r="L311" s="526"/>
      <c r="AF311" s="499"/>
      <c r="AG311" s="499"/>
      <c r="AH311" s="499"/>
      <c r="AI311" s="499"/>
    </row>
    <row r="312" spans="1:35">
      <c r="B312" s="37">
        <v>310</v>
      </c>
      <c r="C312" s="570" t="s">
        <v>0</v>
      </c>
      <c r="I312" s="581" t="str">
        <f>IF(Table1[[#This Row],[Staff]]="","",Table1[[#This Row],[Staff]])</f>
        <v/>
      </c>
      <c r="J312" s="570" t="str">
        <f>Table1[[#This Row],[Date]]</f>
        <v xml:space="preserve"> </v>
      </c>
      <c r="K312" s="526"/>
      <c r="L312" s="526"/>
    </row>
    <row r="313" spans="1:35">
      <c r="B313" s="37">
        <v>311</v>
      </c>
      <c r="C313" s="570" t="s">
        <v>0</v>
      </c>
      <c r="I313" s="581" t="str">
        <f>IF(Table1[[#This Row],[Staff]]="","",Table1[[#This Row],[Staff]])</f>
        <v/>
      </c>
      <c r="J313" s="570" t="str">
        <f>Table1[[#This Row],[Date]]</f>
        <v xml:space="preserve"> </v>
      </c>
      <c r="K313" s="526"/>
      <c r="L313" s="526"/>
    </row>
    <row r="314" spans="1:35">
      <c r="B314" s="37">
        <v>312</v>
      </c>
      <c r="C314" s="570" t="s">
        <v>0</v>
      </c>
      <c r="I314" s="581" t="str">
        <f>IF(Table1[[#This Row],[Staff]]="","",Table1[[#This Row],[Staff]])</f>
        <v/>
      </c>
      <c r="J314" s="570" t="str">
        <f>Table1[[#This Row],[Date]]</f>
        <v xml:space="preserve"> </v>
      </c>
      <c r="K314" s="526"/>
      <c r="L314" s="526"/>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20.xml><?xml version="1.0" encoding="utf-8"?>
<worksheet xmlns="http://schemas.openxmlformats.org/spreadsheetml/2006/main" xmlns:r="http://schemas.openxmlformats.org/officeDocument/2006/relationships">
  <dimension ref="A1"/>
  <sheetViews>
    <sheetView workbookViewId="0"/>
  </sheetViews>
  <sheetFormatPr defaultRowHeight="13.8"/>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4"/>
  <dimension ref="A1:AS42"/>
  <sheetViews>
    <sheetView showGridLines="0" topLeftCell="B1" zoomScaleNormal="100" workbookViewId="0">
      <selection activeCell="D4" sqref="D4:Q4"/>
    </sheetView>
  </sheetViews>
  <sheetFormatPr defaultColWidth="3.19921875" defaultRowHeight="20.399999999999999" outlineLevelCol="1"/>
  <cols>
    <col min="1" max="1" width="14" style="302" customWidth="1"/>
    <col min="2" max="2" width="2.59765625" style="161" customWidth="1"/>
    <col min="3" max="3" width="4" style="44" customWidth="1"/>
    <col min="4" max="4" width="27.09765625" style="433" customWidth="1"/>
    <col min="5" max="16" width="3.19921875" style="433" customWidth="1"/>
    <col min="17" max="17" width="14.3984375" style="433" customWidth="1"/>
    <col min="18" max="18" width="2.59765625" style="433" customWidth="1"/>
    <col min="19" max="19" width="2.59765625" customWidth="1"/>
    <col min="20" max="20" width="30.3984375" style="37" customWidth="1"/>
    <col min="21" max="21" width="24" hidden="1" customWidth="1" outlineLevel="1"/>
    <col min="22" max="22" width="14.8984375" style="38" hidden="1" customWidth="1" outlineLevel="1"/>
    <col min="23" max="23" width="24.59765625" customWidth="1" collapsed="1"/>
    <col min="24" max="24" width="16.5" customWidth="1"/>
    <col min="25" max="25" width="18" customWidth="1"/>
    <col min="26" max="34" width="31.097656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09" t="s">
        <v>9</v>
      </c>
      <c r="E2" s="609"/>
      <c r="F2" s="609"/>
      <c r="G2" s="609"/>
      <c r="H2" s="625">
        <f ca="1">TODAY()</f>
        <v>41744</v>
      </c>
      <c r="I2" s="625"/>
      <c r="J2" s="625"/>
      <c r="K2" s="625"/>
      <c r="L2" s="625"/>
      <c r="M2" s="625"/>
      <c r="N2" s="625"/>
      <c r="O2" s="625"/>
      <c r="P2" s="625"/>
      <c r="Q2" s="625"/>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50.25" customHeight="1">
      <c r="A4" s="29"/>
      <c r="B4" s="334"/>
      <c r="C4" s="43"/>
      <c r="D4" s="617" t="str">
        <f>R.1ProjectName</f>
        <v>Update Oregon State Implementation Plan for PM 2.5 National Ambient Air Quality Standards</v>
      </c>
      <c r="E4" s="617"/>
      <c r="F4" s="617"/>
      <c r="G4" s="617"/>
      <c r="H4" s="617"/>
      <c r="I4" s="617"/>
      <c r="J4" s="617"/>
      <c r="K4" s="617"/>
      <c r="L4" s="617"/>
      <c r="M4" s="617"/>
      <c r="N4" s="617"/>
      <c r="O4" s="617"/>
      <c r="P4" s="617"/>
      <c r="Q4" s="617"/>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10" t="s">
        <v>177</v>
      </c>
      <c r="D5" s="610"/>
      <c r="E5" s="610"/>
      <c r="F5" s="610"/>
      <c r="G5" s="610"/>
      <c r="H5" s="610"/>
      <c r="I5" s="610"/>
      <c r="J5" s="610"/>
      <c r="K5" s="610"/>
      <c r="L5" s="610"/>
      <c r="M5" s="610"/>
      <c r="N5" s="610"/>
      <c r="O5" s="610"/>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563" t="str">
        <f>'1ProjectRecord'!D2</f>
        <v>Project record</v>
      </c>
      <c r="E7" s="619" t="s">
        <v>88</v>
      </c>
      <c r="F7" s="612"/>
      <c r="G7" s="612"/>
      <c r="H7" s="612"/>
      <c r="I7" s="612"/>
      <c r="J7" s="612"/>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572" t="s">
        <v>158</v>
      </c>
      <c r="E8" s="620" t="s">
        <v>159</v>
      </c>
      <c r="F8" s="621"/>
      <c r="G8" s="621"/>
      <c r="H8" s="621" t="s">
        <v>79</v>
      </c>
      <c r="I8" s="621"/>
      <c r="J8" s="621"/>
      <c r="K8" s="281"/>
      <c r="L8" s="281"/>
      <c r="M8" s="212"/>
      <c r="N8" s="212"/>
      <c r="O8" s="618" t="s">
        <v>49</v>
      </c>
      <c r="P8" s="618"/>
      <c r="Q8" s="618"/>
      <c r="R8" s="618"/>
      <c r="S8" s="334"/>
      <c r="T8" s="25"/>
      <c r="U8" s="25"/>
      <c r="V8" s="25"/>
      <c r="W8" s="25"/>
      <c r="X8" s="25"/>
      <c r="Y8" s="25"/>
      <c r="Z8" s="25"/>
      <c r="AA8" s="25"/>
      <c r="AB8" s="25"/>
      <c r="AC8" s="25"/>
      <c r="AD8" s="25"/>
      <c r="AE8" s="25"/>
      <c r="AF8" s="25"/>
      <c r="AG8" s="25"/>
    </row>
    <row r="9" spans="1:45" s="7" customFormat="1" ht="15.75" customHeight="1">
      <c r="A9" s="29"/>
      <c r="B9" s="334"/>
      <c r="C9" s="213">
        <v>3</v>
      </c>
      <c r="D9" s="573" t="str">
        <f>'3CoreTeam'!D2</f>
        <v>Core Team</v>
      </c>
      <c r="E9" s="622">
        <f>R.3LowHrs</f>
        <v>429</v>
      </c>
      <c r="F9" s="623"/>
      <c r="G9" s="624"/>
      <c r="H9" s="614">
        <f>R.3HighHrs</f>
        <v>898</v>
      </c>
      <c r="I9" s="615"/>
      <c r="J9" s="616"/>
      <c r="K9" s="222"/>
      <c r="L9" s="611" t="s">
        <v>45</v>
      </c>
      <c r="M9" s="612"/>
      <c r="N9" s="612"/>
      <c r="O9" s="612"/>
      <c r="P9" s="613"/>
      <c r="Q9" s="282" t="str">
        <f>V9</f>
        <v>Low</v>
      </c>
      <c r="R9" s="372"/>
      <c r="S9" s="334"/>
      <c r="T9" s="49"/>
      <c r="U9" s="262">
        <f>R.2aOrgRisk</f>
        <v>1</v>
      </c>
      <c r="V9" s="263" t="str">
        <f>IF(U9=1,"Low",IF(U9=2,"Low/Medium",IF(U9=3,"Medium",IF(U9=4,"Medium/High","High"))))</f>
        <v>Low</v>
      </c>
      <c r="W9" s="25"/>
      <c r="X9" s="25"/>
      <c r="Y9" s="25"/>
      <c r="Z9" s="25"/>
      <c r="AA9" s="25"/>
      <c r="AB9" s="25"/>
      <c r="AC9" s="25"/>
      <c r="AD9" s="25"/>
      <c r="AE9" s="25"/>
      <c r="AF9" s="25"/>
      <c r="AG9" s="25"/>
    </row>
    <row r="10" spans="1:45" s="7" customFormat="1" ht="15.75" customHeight="1">
      <c r="A10" s="29"/>
      <c r="B10" s="334"/>
      <c r="C10" s="213">
        <v>4</v>
      </c>
      <c r="D10" s="563" t="str">
        <f>'4Advisors'!D2</f>
        <v>Advisors</v>
      </c>
      <c r="E10" s="622">
        <f>R.4LowHrs</f>
        <v>121</v>
      </c>
      <c r="F10" s="623"/>
      <c r="G10" s="624"/>
      <c r="H10" s="614">
        <f>R.4HighHrs</f>
        <v>258</v>
      </c>
      <c r="I10" s="615"/>
      <c r="J10" s="616"/>
      <c r="K10" s="222"/>
      <c r="L10" s="611" t="s">
        <v>46</v>
      </c>
      <c r="M10" s="612"/>
      <c r="N10" s="612"/>
      <c r="O10" s="612"/>
      <c r="P10" s="613"/>
      <c r="Q10" s="282" t="str">
        <f>V10</f>
        <v>Low</v>
      </c>
      <c r="R10" s="372"/>
      <c r="S10" s="334"/>
      <c r="T10" s="49"/>
      <c r="U10" s="262">
        <f>R.2bOrgRisk</f>
        <v>1</v>
      </c>
      <c r="V10" s="263" t="str">
        <f>IF(U10=1,"Low",IF(U10=2,"Low/Medium",IF(U10=3,"Medium",IF(U10=4,"Medium/High","High"))))</f>
        <v>Low</v>
      </c>
      <c r="W10" s="25"/>
      <c r="X10" s="25"/>
      <c r="Y10" s="25"/>
      <c r="Z10" s="25"/>
      <c r="AA10" s="25"/>
      <c r="AB10" s="25"/>
      <c r="AC10" s="25"/>
      <c r="AD10" s="25"/>
      <c r="AE10" s="25"/>
      <c r="AF10" s="25"/>
      <c r="AG10" s="25"/>
    </row>
    <row r="11" spans="1:45" s="7" customFormat="1" ht="15.75" customHeight="1">
      <c r="A11" s="29"/>
      <c r="B11" s="334"/>
      <c r="C11" s="213">
        <v>5</v>
      </c>
      <c r="D11" s="563" t="str">
        <f>'5InterestedStaff'!D2</f>
        <v>Interested Staff and EQC</v>
      </c>
      <c r="E11" s="622">
        <f>R.5LowHrs</f>
        <v>1</v>
      </c>
      <c r="F11" s="623"/>
      <c r="G11" s="624"/>
      <c r="H11" s="614">
        <f>R.5HighHrs</f>
        <v>8</v>
      </c>
      <c r="I11" s="615"/>
      <c r="J11" s="616"/>
      <c r="K11" s="222"/>
      <c r="L11" s="611" t="s">
        <v>47</v>
      </c>
      <c r="M11" s="612"/>
      <c r="N11" s="612"/>
      <c r="O11" s="612"/>
      <c r="P11" s="613"/>
      <c r="Q11" s="282" t="str">
        <f>V11</f>
        <v>Medium/High</v>
      </c>
      <c r="R11" s="372"/>
      <c r="S11" s="334"/>
      <c r="T11" s="49"/>
      <c r="U11" s="262">
        <f>R.2cOrgRisk</f>
        <v>4</v>
      </c>
      <c r="V11" s="263" t="str">
        <f>IF(U11=1,"Low",IF(U11=2,"Low/Medium",IF(U11=3,"Medium",IF(U11=4,"Medium/High","High"))))</f>
        <v>Medium/High</v>
      </c>
      <c r="W11" s="25"/>
      <c r="X11" s="25"/>
      <c r="Y11" s="25"/>
      <c r="Z11" s="25"/>
      <c r="AA11" s="25"/>
      <c r="AB11" s="25"/>
      <c r="AC11" s="25"/>
      <c r="AD11" s="25"/>
      <c r="AE11" s="25"/>
      <c r="AF11" s="25"/>
      <c r="AG11" s="25"/>
    </row>
    <row r="12" spans="1:45" s="7" customFormat="1" ht="15.75" customHeight="1">
      <c r="A12" s="29"/>
      <c r="B12" s="334"/>
      <c r="C12" s="213">
        <v>6</v>
      </c>
      <c r="D12" s="563" t="str">
        <f>'6OtherDivisions'!D2</f>
        <v>Other Divisions</v>
      </c>
      <c r="E12" s="622">
        <f>R.6LowHrs</f>
        <v>0</v>
      </c>
      <c r="F12" s="623"/>
      <c r="G12" s="624"/>
      <c r="H12" s="614">
        <f>R.6HighHrs</f>
        <v>0</v>
      </c>
      <c r="I12" s="615"/>
      <c r="J12" s="616"/>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563" t="str">
        <f>'7Regions'!D2</f>
        <v>Regions</v>
      </c>
      <c r="E13" s="627">
        <f>R.7LowHrs</f>
        <v>0</v>
      </c>
      <c r="F13" s="623"/>
      <c r="G13" s="624"/>
      <c r="H13" s="614">
        <f>R.7HighHrs</f>
        <v>0</v>
      </c>
      <c r="I13" s="615"/>
      <c r="J13" s="616"/>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563" t="str">
        <f>'8FinancialServices'!D2</f>
        <v>Financial Services</v>
      </c>
      <c r="E14" s="627">
        <f>R.8LowHrs</f>
        <v>0</v>
      </c>
      <c r="F14" s="623"/>
      <c r="G14" s="624"/>
      <c r="H14" s="614">
        <f>R.8HighHrs</f>
        <v>0</v>
      </c>
      <c r="I14" s="615"/>
      <c r="J14" s="616"/>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563" t="str">
        <f>'9OCO'!D2</f>
        <v>Communications and Outreach</v>
      </c>
      <c r="E15" s="622">
        <f>R.9LowHrs</f>
        <v>1</v>
      </c>
      <c r="F15" s="623"/>
      <c r="G15" s="624"/>
      <c r="H15" s="614">
        <f>R.9HighHrs</f>
        <v>8</v>
      </c>
      <c r="I15" s="615"/>
      <c r="J15" s="616"/>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563" t="str">
        <f>'10OrgServices'!D2</f>
        <v>Organizational Services</v>
      </c>
      <c r="E16" s="622">
        <f>R.10LowHrs</f>
        <v>0</v>
      </c>
      <c r="F16" s="623"/>
      <c r="G16" s="624"/>
      <c r="H16" s="614">
        <f>R.10HighHrs</f>
        <v>0</v>
      </c>
      <c r="I16" s="615"/>
      <c r="J16" s="616"/>
      <c r="K16" s="222"/>
      <c r="L16" s="626" t="s">
        <v>98</v>
      </c>
      <c r="M16" s="612"/>
      <c r="N16" s="612"/>
      <c r="O16" s="612"/>
      <c r="P16" s="613"/>
      <c r="Q16" s="289">
        <f>U16</f>
        <v>9</v>
      </c>
      <c r="R16" s="284"/>
      <c r="S16" s="334"/>
      <c r="T16" s="25"/>
      <c r="U16" s="586">
        <f>SUM(R.3StaffCount,R.4StaffCount,R.5StaffCount,R.6StaffCount,R.7StaffCount,R.8StaffCount,R.9StaffCount,R.10StaffCount,R.11StaffCount,R.12StaffCount,R.13StaffCount,R.15StaffCount)</f>
        <v>9</v>
      </c>
      <c r="V16" s="25"/>
      <c r="W16" s="25"/>
      <c r="X16" s="25"/>
      <c r="Y16" s="25"/>
      <c r="Z16" s="25"/>
      <c r="AA16" s="25"/>
      <c r="AB16" s="25"/>
      <c r="AC16" s="25"/>
      <c r="AD16" s="25"/>
      <c r="AE16" s="25"/>
      <c r="AF16" s="25"/>
      <c r="AG16" s="25"/>
    </row>
    <row r="17" spans="1:45" s="7" customFormat="1" ht="15.75" customHeight="1">
      <c r="A17" s="29"/>
      <c r="B17" s="334"/>
      <c r="C17" s="213">
        <v>11</v>
      </c>
      <c r="D17" s="563" t="str">
        <f>'11TechServices'!D2</f>
        <v>Technical Services</v>
      </c>
      <c r="E17" s="622">
        <f>R.11LowHrs</f>
        <v>0</v>
      </c>
      <c r="F17" s="623"/>
      <c r="G17" s="624"/>
      <c r="H17" s="614">
        <f>R.11HighHrs</f>
        <v>0</v>
      </c>
      <c r="I17" s="615"/>
      <c r="J17" s="616"/>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563" t="s">
        <v>152</v>
      </c>
      <c r="E18" s="622">
        <f>R.12LowHrs</f>
        <v>0</v>
      </c>
      <c r="F18" s="623"/>
      <c r="G18" s="624"/>
      <c r="H18" s="614">
        <f>R.12HighHrs</f>
        <v>0</v>
      </c>
      <c r="I18" s="615"/>
      <c r="J18" s="616"/>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563" t="str">
        <f>'13LEAD'!D2</f>
        <v>LEAD</v>
      </c>
      <c r="E19" s="622">
        <f>R.13LowHrs</f>
        <v>0</v>
      </c>
      <c r="F19" s="623"/>
      <c r="G19" s="624"/>
      <c r="H19" s="614">
        <f>R.13HighHrs</f>
        <v>0</v>
      </c>
      <c r="I19" s="615"/>
      <c r="J19" s="616"/>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563" t="str">
        <f>'14Intergovernmental'!D2</f>
        <v>Intergovernmental</v>
      </c>
      <c r="E20" s="622">
        <f>R.14LowHrs</f>
        <v>8</v>
      </c>
      <c r="F20" s="623"/>
      <c r="G20" s="624"/>
      <c r="H20" s="614">
        <f>R.14HighHrs</f>
        <v>40</v>
      </c>
      <c r="I20" s="615"/>
      <c r="J20" s="616"/>
      <c r="K20" s="632" t="s">
        <v>0</v>
      </c>
      <c r="L20" s="633"/>
      <c r="M20" s="633"/>
      <c r="N20" s="633"/>
      <c r="O20" s="633"/>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563" t="str">
        <f>'15CustomParticipants'!D2</f>
        <v>Custom Participants</v>
      </c>
      <c r="E21" s="622">
        <f>R.15LowHrs</f>
        <v>0</v>
      </c>
      <c r="F21" s="623"/>
      <c r="G21" s="624"/>
      <c r="H21" s="614">
        <f>R.15HighHrs</f>
        <v>0</v>
      </c>
      <c r="I21" s="615"/>
      <c r="J21" s="616"/>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587" t="s">
        <v>185</v>
      </c>
      <c r="E22" s="622">
        <f>14*1</f>
        <v>14</v>
      </c>
      <c r="F22" s="623"/>
      <c r="G22" s="624"/>
      <c r="H22" s="614">
        <f>14*4</f>
        <v>56</v>
      </c>
      <c r="I22" s="615"/>
      <c r="J22" s="616"/>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89</v>
      </c>
      <c r="E23" s="630">
        <f>SUM(E9:E22)</f>
        <v>574</v>
      </c>
      <c r="F23" s="630"/>
      <c r="G23" s="630"/>
      <c r="H23" s="630">
        <f>SUM(H9:H22)</f>
        <v>1268</v>
      </c>
      <c r="I23" s="630"/>
      <c r="J23" s="630"/>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30" t="s">
        <v>86</v>
      </c>
      <c r="E24" s="634">
        <f>-R.14LowHrs</f>
        <v>-8</v>
      </c>
      <c r="F24" s="635"/>
      <c r="G24" s="635"/>
      <c r="H24" s="634">
        <f>-R.14HighHrs</f>
        <v>-40</v>
      </c>
      <c r="I24" s="635"/>
      <c r="J24" s="635"/>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30"/>
      <c r="E25" s="636">
        <f>SUM(E23:E24)</f>
        <v>566</v>
      </c>
      <c r="F25" s="636"/>
      <c r="G25" s="636"/>
      <c r="H25" s="637">
        <f>SUM(H23:H24)</f>
        <v>1228</v>
      </c>
      <c r="I25" s="637"/>
      <c r="J25" s="637"/>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28" t="s">
        <v>92</v>
      </c>
      <c r="D26" s="628"/>
      <c r="E26" s="629" t="str">
        <f>"X    $"&amp;R.AvgHrDEQCost</f>
        <v>X    $58</v>
      </c>
      <c r="F26" s="629"/>
      <c r="G26" s="629"/>
      <c r="H26" s="629" t="str">
        <f>"X    $"&amp;R.AvgHrDEQCost</f>
        <v>X    $58</v>
      </c>
      <c r="I26" s="629"/>
      <c r="J26" s="629"/>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91</v>
      </c>
      <c r="E27" s="631">
        <f>E25*R.AvgHrDEQCost</f>
        <v>32828</v>
      </c>
      <c r="F27" s="631"/>
      <c r="G27" s="631"/>
      <c r="H27" s="631">
        <f>H25*R.AvgHrDEQCost</f>
        <v>71224</v>
      </c>
      <c r="I27" s="631"/>
      <c r="J27" s="631"/>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7" customFormat="1" ht="15.75" customHeight="1">
      <c r="A28" s="29"/>
      <c r="B28" s="334"/>
      <c r="C28" s="43"/>
      <c r="D28" s="35"/>
      <c r="E28" s="35"/>
      <c r="F28" s="35"/>
      <c r="G28" s="34"/>
      <c r="H28" s="434"/>
      <c r="I28" s="434"/>
      <c r="J28" s="434"/>
      <c r="K28" s="434"/>
      <c r="L28" s="434"/>
      <c r="M28" s="434"/>
      <c r="N28" s="434"/>
      <c r="O28" s="434"/>
      <c r="P28" s="434"/>
      <c r="Q28" s="434"/>
      <c r="R28" s="27"/>
      <c r="S28" s="334"/>
      <c r="T28" s="58"/>
      <c r="U28" s="57"/>
      <c r="V28" s="57"/>
      <c r="W28" s="45"/>
      <c r="X28" s="45"/>
      <c r="Y28" s="25"/>
      <c r="Z28" s="25"/>
      <c r="AA28" s="25"/>
      <c r="AB28" s="25"/>
      <c r="AC28" s="45"/>
      <c r="AD28" s="45"/>
      <c r="AE28" s="25"/>
      <c r="AF28" s="25"/>
      <c r="AG28" s="25"/>
      <c r="AH28" s="25"/>
      <c r="AI28" s="25"/>
      <c r="AJ28" s="25"/>
      <c r="AK28" s="25"/>
      <c r="AL28" s="25"/>
      <c r="AM28" s="25"/>
      <c r="AN28" s="25"/>
      <c r="AO28" s="25"/>
      <c r="AP28" s="25"/>
      <c r="AQ28" s="25"/>
      <c r="AR28" s="25"/>
      <c r="AS28" s="25"/>
    </row>
    <row r="29" spans="1:45" s="29" customFormat="1" ht="14.25" customHeight="1">
      <c r="B29" s="334"/>
      <c r="C29" s="334"/>
      <c r="D29" s="334"/>
      <c r="E29" s="334"/>
      <c r="F29" s="334"/>
      <c r="G29" s="334"/>
      <c r="H29" s="334"/>
      <c r="I29" s="334"/>
      <c r="J29" s="334"/>
      <c r="K29" s="334"/>
      <c r="L29" s="334"/>
      <c r="M29" s="334"/>
      <c r="N29" s="334"/>
      <c r="O29" s="334"/>
      <c r="P29" s="334"/>
      <c r="Q29" s="334"/>
      <c r="R29" s="334"/>
      <c r="S29" s="334"/>
      <c r="T29" s="58"/>
      <c r="U29" s="27"/>
      <c r="V29" s="27"/>
      <c r="W29" s="45"/>
      <c r="X29" s="45"/>
      <c r="Y29" s="25"/>
      <c r="Z29" s="25"/>
      <c r="AA29" s="25"/>
      <c r="AB29" s="25"/>
      <c r="AC29" s="45"/>
      <c r="AD29" s="45"/>
      <c r="AE29" s="25"/>
      <c r="AF29" s="25"/>
      <c r="AG29" s="25"/>
      <c r="AH29" s="25"/>
      <c r="AI29" s="25"/>
      <c r="AJ29" s="25"/>
      <c r="AK29" s="25"/>
      <c r="AL29" s="25"/>
      <c r="AM29" s="25"/>
      <c r="AN29" s="25"/>
      <c r="AO29" s="25"/>
      <c r="AP29" s="25"/>
      <c r="AQ29" s="25"/>
      <c r="AR29" s="25"/>
      <c r="AS29" s="25"/>
    </row>
    <row r="30" spans="1:45">
      <c r="C30" s="43"/>
      <c r="D30" s="434"/>
      <c r="E30" s="434"/>
      <c r="F30" s="434"/>
      <c r="G30" s="434"/>
      <c r="H30" s="434"/>
      <c r="I30" s="434"/>
      <c r="J30" s="434"/>
      <c r="K30" s="434"/>
      <c r="L30" s="434"/>
      <c r="M30" s="434"/>
      <c r="N30" s="434"/>
      <c r="O30" s="434"/>
      <c r="P30" s="434"/>
      <c r="Q30" s="434"/>
      <c r="R30" s="434"/>
      <c r="S30" s="45"/>
      <c r="T30" s="41"/>
      <c r="U30" s="45"/>
      <c r="V30" s="45"/>
      <c r="W30" s="45"/>
      <c r="X30" s="45"/>
      <c r="Y30" s="45"/>
      <c r="Z30" s="45"/>
      <c r="AA30" s="45"/>
    </row>
    <row r="31" spans="1:45">
      <c r="C31" s="43"/>
      <c r="D31" s="434"/>
      <c r="E31" s="434"/>
      <c r="F31" s="434"/>
      <c r="G31" s="434"/>
      <c r="H31" s="434"/>
      <c r="I31" s="434"/>
      <c r="J31" s="434"/>
      <c r="K31" s="434"/>
      <c r="L31" s="434"/>
      <c r="M31" s="434"/>
      <c r="N31" s="434"/>
      <c r="O31" s="434"/>
      <c r="P31" s="434"/>
      <c r="Q31" s="434"/>
      <c r="R31" s="434"/>
      <c r="S31" s="45"/>
      <c r="T31" s="41"/>
      <c r="U31" s="45"/>
      <c r="V31" s="45"/>
      <c r="W31" s="45"/>
      <c r="X31" s="45"/>
      <c r="Y31" s="45"/>
      <c r="Z31" s="45"/>
      <c r="AA31" s="45"/>
    </row>
    <row r="32" spans="1:45">
      <c r="C32" s="43"/>
      <c r="D32" s="434"/>
      <c r="E32" s="434"/>
      <c r="F32" s="434"/>
      <c r="G32" s="434"/>
      <c r="H32" s="434"/>
      <c r="I32" s="434"/>
      <c r="J32" s="434"/>
      <c r="K32" s="434"/>
      <c r="L32" s="434"/>
      <c r="M32" s="434"/>
      <c r="N32" s="434"/>
      <c r="O32" s="434"/>
      <c r="P32" s="434"/>
      <c r="Q32" s="434"/>
      <c r="R32" s="434"/>
      <c r="S32" s="45"/>
      <c r="T32" s="41"/>
      <c r="U32" s="45"/>
      <c r="V32" s="45"/>
      <c r="W32" s="45"/>
      <c r="X32" s="45"/>
      <c r="Y32" s="45"/>
      <c r="Z32" s="45"/>
      <c r="AA32" s="45"/>
    </row>
    <row r="33" spans="3:27">
      <c r="C33" s="43"/>
      <c r="D33" s="434"/>
      <c r="E33" s="434"/>
      <c r="F33" s="434"/>
      <c r="G33" s="434"/>
      <c r="H33" s="434"/>
      <c r="I33" s="434"/>
      <c r="J33" s="434"/>
      <c r="K33" s="434"/>
      <c r="L33" s="434"/>
      <c r="M33" s="434"/>
      <c r="N33" s="434"/>
      <c r="O33" s="434"/>
      <c r="P33" s="434"/>
      <c r="Q33" s="434"/>
      <c r="R33" s="434"/>
      <c r="S33" s="45"/>
      <c r="T33" s="41"/>
      <c r="U33" s="45"/>
      <c r="V33" s="45"/>
      <c r="W33" s="45"/>
      <c r="X33" s="45"/>
      <c r="Y33" s="45"/>
      <c r="Z33" s="45"/>
      <c r="AA33" s="45"/>
    </row>
    <row r="34" spans="3:27">
      <c r="C34" s="43"/>
      <c r="D34" s="434"/>
      <c r="E34" s="434"/>
      <c r="F34" s="434"/>
      <c r="G34" s="434"/>
      <c r="H34" s="434"/>
      <c r="I34" s="434"/>
      <c r="J34" s="434"/>
      <c r="K34" s="434"/>
      <c r="L34" s="434"/>
      <c r="M34" s="434"/>
      <c r="N34" s="434"/>
      <c r="O34" s="434"/>
      <c r="P34" s="434"/>
      <c r="Q34" s="434"/>
      <c r="R34" s="434"/>
      <c r="S34" s="45"/>
      <c r="T34" s="41"/>
      <c r="U34" s="45"/>
      <c r="V34" s="45"/>
      <c r="W34" s="45"/>
      <c r="X34" s="45"/>
      <c r="Y34" s="45"/>
      <c r="Z34" s="45"/>
      <c r="AA34" s="45"/>
    </row>
    <row r="35" spans="3:27">
      <c r="C35" s="43"/>
      <c r="D35" s="434"/>
      <c r="E35" s="434"/>
      <c r="F35" s="434"/>
      <c r="G35" s="434"/>
      <c r="H35" s="434"/>
      <c r="I35" s="434"/>
      <c r="J35" s="434"/>
      <c r="K35" s="434"/>
      <c r="L35" s="434"/>
      <c r="M35" s="434"/>
      <c r="N35" s="434"/>
      <c r="O35" s="434"/>
      <c r="P35" s="434"/>
      <c r="Q35" s="434"/>
      <c r="R35" s="434"/>
      <c r="S35" s="45"/>
      <c r="T35" s="41"/>
      <c r="U35" s="45"/>
      <c r="V35" s="45"/>
      <c r="W35" s="45"/>
      <c r="X35" s="45"/>
      <c r="Y35" s="45"/>
      <c r="Z35" s="45"/>
      <c r="AA35" s="45"/>
    </row>
    <row r="36" spans="3:27">
      <c r="C36" s="43"/>
      <c r="D36" s="434"/>
      <c r="E36" s="434"/>
      <c r="F36" s="434"/>
      <c r="G36" s="434"/>
      <c r="H36" s="434"/>
      <c r="I36" s="434"/>
      <c r="J36" s="434"/>
      <c r="K36" s="434"/>
      <c r="L36" s="434"/>
      <c r="M36" s="434"/>
      <c r="N36" s="434"/>
      <c r="O36" s="434"/>
      <c r="P36" s="434"/>
      <c r="Q36" s="434"/>
      <c r="R36" s="434"/>
      <c r="S36" s="45"/>
      <c r="T36" s="41"/>
      <c r="U36" s="45"/>
      <c r="V36" s="45"/>
      <c r="W36" s="45"/>
      <c r="X36" s="45"/>
      <c r="Y36" s="45"/>
      <c r="Z36" s="45"/>
      <c r="AA36" s="45"/>
    </row>
    <row r="37" spans="3:27">
      <c r="C37" s="43"/>
      <c r="D37" s="434"/>
      <c r="E37" s="434"/>
      <c r="F37" s="434"/>
      <c r="G37" s="434"/>
      <c r="H37" s="434"/>
      <c r="I37" s="434"/>
      <c r="J37" s="434"/>
      <c r="K37" s="434"/>
      <c r="L37" s="434"/>
      <c r="M37" s="434"/>
      <c r="N37" s="434"/>
      <c r="O37" s="434"/>
      <c r="P37" s="434"/>
      <c r="Q37" s="434"/>
      <c r="R37" s="434"/>
      <c r="S37" s="45"/>
      <c r="T37" s="41"/>
      <c r="U37" s="45"/>
      <c r="V37" s="45"/>
      <c r="W37" s="45"/>
      <c r="X37" s="45"/>
      <c r="Y37" s="45"/>
      <c r="Z37" s="45"/>
      <c r="AA37" s="45"/>
    </row>
    <row r="38" spans="3:27">
      <c r="C38" s="43"/>
      <c r="D38" s="434"/>
      <c r="E38" s="434"/>
      <c r="F38" s="434"/>
      <c r="G38" s="434"/>
      <c r="R38" s="434"/>
      <c r="S38" s="45"/>
      <c r="T38" s="41"/>
      <c r="U38" s="45"/>
      <c r="V38" s="45"/>
      <c r="W38" s="45"/>
      <c r="X38" s="45"/>
      <c r="Y38" s="45"/>
      <c r="Z38" s="45"/>
      <c r="AA38" s="45"/>
    </row>
    <row r="39" spans="3:27">
      <c r="C39" s="43"/>
      <c r="D39" s="434"/>
      <c r="E39" s="434"/>
      <c r="F39" s="434"/>
      <c r="G39" s="434"/>
      <c r="R39" s="434"/>
      <c r="S39" s="45"/>
      <c r="T39" s="41"/>
      <c r="U39" s="45"/>
      <c r="V39" s="45"/>
      <c r="W39" s="45"/>
      <c r="X39" s="45"/>
      <c r="Y39" s="45"/>
      <c r="Z39" s="45"/>
      <c r="AA39" s="45"/>
    </row>
    <row r="40" spans="3:27">
      <c r="C40" s="43"/>
      <c r="D40" s="434"/>
      <c r="E40" s="434"/>
      <c r="F40" s="434"/>
      <c r="G40" s="434"/>
      <c r="R40" s="434"/>
      <c r="S40" s="45"/>
      <c r="T40" s="41"/>
      <c r="U40" s="45"/>
      <c r="V40" s="45"/>
      <c r="W40" s="45"/>
      <c r="X40" s="45"/>
      <c r="Y40" s="45"/>
      <c r="Z40" s="45"/>
      <c r="AA40" s="45"/>
    </row>
    <row r="41" spans="3:27">
      <c r="C41" s="43"/>
      <c r="D41" s="434"/>
      <c r="E41" s="434"/>
      <c r="F41" s="434"/>
      <c r="G41" s="434"/>
      <c r="R41" s="434"/>
      <c r="S41" s="45"/>
      <c r="T41" s="41"/>
      <c r="U41" s="45"/>
      <c r="V41" s="45"/>
      <c r="W41" s="45"/>
      <c r="X41" s="45"/>
      <c r="Y41" s="45"/>
      <c r="Z41" s="45"/>
      <c r="AA41" s="45"/>
    </row>
    <row r="42" spans="3:27">
      <c r="D42" s="434"/>
      <c r="E42" s="434"/>
      <c r="F42" s="434"/>
      <c r="G42" s="434"/>
    </row>
  </sheetData>
  <sheetProtection sheet="1" scenarios="1" formatCells="0" formatRows="0" insertHyperlinks="0"/>
  <mergeCells count="52">
    <mergeCell ref="K20:O20"/>
    <mergeCell ref="E24:G24"/>
    <mergeCell ref="H24:J24"/>
    <mergeCell ref="E25:G25"/>
    <mergeCell ref="H25:J25"/>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E12:G12"/>
    <mergeCell ref="E13:G13"/>
    <mergeCell ref="E14:G14"/>
    <mergeCell ref="C26:D26"/>
    <mergeCell ref="E15:G15"/>
    <mergeCell ref="E16:G16"/>
    <mergeCell ref="E17:G17"/>
    <mergeCell ref="E18:G18"/>
    <mergeCell ref="E19:G19"/>
    <mergeCell ref="E20:G20"/>
    <mergeCell ref="E26:G26"/>
    <mergeCell ref="E23:G23"/>
    <mergeCell ref="H17:J17"/>
    <mergeCell ref="H18:J18"/>
    <mergeCell ref="L11:P11"/>
    <mergeCell ref="L16:P16"/>
    <mergeCell ref="H11:J11"/>
    <mergeCell ref="H12:J12"/>
    <mergeCell ref="H13:J13"/>
    <mergeCell ref="D2:G2"/>
    <mergeCell ref="C5:O5"/>
    <mergeCell ref="L9:P9"/>
    <mergeCell ref="L10:P10"/>
    <mergeCell ref="H9:J9"/>
    <mergeCell ref="H10:J10"/>
    <mergeCell ref="D4:Q4"/>
    <mergeCell ref="O8:R8"/>
    <mergeCell ref="E7:J7"/>
    <mergeCell ref="E8:G8"/>
    <mergeCell ref="E10:G10"/>
    <mergeCell ref="H2:Q2"/>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7"/>
  <dimension ref="A1:AT211"/>
  <sheetViews>
    <sheetView showGridLines="0" tabSelected="1" zoomScaleNormal="100" workbookViewId="0">
      <selection activeCell="D5" sqref="D5:F5"/>
    </sheetView>
  </sheetViews>
  <sheetFormatPr defaultColWidth="9" defaultRowHeight="20.399999999999999" outlineLevelRow="1" outlineLevelCol="1"/>
  <cols>
    <col min="1" max="1" width="13.69921875" style="342" customWidth="1"/>
    <col min="2" max="2" width="3.59765625" style="309" customWidth="1"/>
    <col min="3" max="3" width="3.59765625" style="44" customWidth="1"/>
    <col min="4" max="4" width="6.3984375" style="56" customWidth="1"/>
    <col min="5" max="5" width="7.69921875" style="56" customWidth="1"/>
    <col min="6" max="6" width="20.5" style="29" customWidth="1"/>
    <col min="7" max="7" width="14.19921875" style="56" customWidth="1"/>
    <col min="8" max="17" width="1.59765625" style="56" customWidth="1"/>
    <col min="18" max="18" width="19.69921875" style="56" customWidth="1"/>
    <col min="19" max="20" width="3.59765625" style="56" customWidth="1"/>
    <col min="21" max="21" width="5.09765625" style="37" hidden="1" customWidth="1" outlineLevel="1"/>
    <col min="22" max="22" width="27.19921875" style="56" hidden="1" customWidth="1" outlineLevel="1"/>
    <col min="23" max="23" width="14.8984375" style="56" hidden="1" customWidth="1" outlineLevel="1"/>
    <col min="24" max="24" width="14.59765625" style="56" hidden="1" customWidth="1" outlineLevel="1"/>
    <col min="25" max="25" width="30.59765625" style="56" customWidth="1" collapsed="1"/>
    <col min="26" max="26" width="16.5" style="56" customWidth="1"/>
    <col min="27" max="27" width="18" style="56" customWidth="1"/>
    <col min="28" max="36" width="31.09765625" style="56" customWidth="1"/>
    <col min="37" max="16384" width="9" style="56"/>
  </cols>
  <sheetData>
    <row r="1" spans="1:46" s="161" customFormat="1" ht="15.75" customHeight="1">
      <c r="A1" s="350" t="s">
        <v>104</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40" t="s">
        <v>41</v>
      </c>
      <c r="E2" s="640"/>
      <c r="F2" s="640"/>
      <c r="G2" s="654" t="str">
        <f>R.1MediaAndLongName</f>
        <v>AQ Updates to Oregon's State Implementation Plan</v>
      </c>
      <c r="H2" s="654"/>
      <c r="I2" s="654"/>
      <c r="J2" s="654"/>
      <c r="K2" s="654"/>
      <c r="L2" s="654"/>
      <c r="M2" s="654"/>
      <c r="N2" s="654"/>
      <c r="O2" s="654"/>
      <c r="P2" s="654"/>
      <c r="Q2" s="654"/>
      <c r="R2" s="654"/>
      <c r="S2" s="264"/>
      <c r="T2" s="334"/>
      <c r="U2" s="27"/>
      <c r="V2" s="198" t="s">
        <v>82</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20.25" customHeight="1">
      <c r="A4" s="341"/>
      <c r="B4" s="334"/>
      <c r="C4" s="138"/>
      <c r="D4" s="668" t="s">
        <v>85</v>
      </c>
      <c r="E4" s="668"/>
      <c r="F4" s="668"/>
      <c r="G4" s="641" t="s">
        <v>604</v>
      </c>
      <c r="H4" s="642"/>
      <c r="I4" s="642"/>
      <c r="J4" s="642"/>
      <c r="K4" s="642"/>
      <c r="L4" s="642"/>
      <c r="M4" s="642"/>
      <c r="N4" s="642"/>
      <c r="O4" s="642"/>
      <c r="P4" s="642"/>
      <c r="Q4" s="642"/>
      <c r="R4" s="643"/>
      <c r="S4" s="314"/>
      <c r="T4" s="334"/>
      <c r="U4" s="27"/>
      <c r="V4" s="198" t="str">
        <f>P6&amp;" "&amp;H5</f>
        <v>AQ Updates to Oregon's State Implementation Plan</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44" t="s">
        <v>162</v>
      </c>
      <c r="E5" s="644"/>
      <c r="F5" s="645"/>
      <c r="G5" s="402" t="s">
        <v>599</v>
      </c>
      <c r="H5" s="661" t="s">
        <v>590</v>
      </c>
      <c r="I5" s="662"/>
      <c r="J5" s="662"/>
      <c r="K5" s="662"/>
      <c r="L5" s="662"/>
      <c r="M5" s="662"/>
      <c r="N5" s="662"/>
      <c r="O5" s="662"/>
      <c r="P5" s="662"/>
      <c r="Q5" s="662"/>
      <c r="R5" s="663"/>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394" t="s">
        <v>160</v>
      </c>
      <c r="E6" s="394"/>
      <c r="F6" s="394"/>
      <c r="G6" s="403">
        <v>2013</v>
      </c>
      <c r="H6" s="395"/>
      <c r="I6" s="664" t="s">
        <v>163</v>
      </c>
      <c r="J6" s="664"/>
      <c r="K6" s="664"/>
      <c r="L6" s="664"/>
      <c r="M6" s="664"/>
      <c r="N6" s="664"/>
      <c r="O6" s="665"/>
      <c r="P6" s="666" t="s">
        <v>589</v>
      </c>
      <c r="Q6" s="667"/>
      <c r="R6" s="395"/>
      <c r="S6" s="314"/>
      <c r="T6" s="334"/>
      <c r="U6" s="27"/>
      <c r="V6" t="str">
        <f>P6</f>
        <v>AQ</v>
      </c>
      <c r="W6" s="26"/>
      <c r="X6" s="26"/>
      <c r="Y6" s="575" t="s">
        <v>545</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109</v>
      </c>
      <c r="B7" s="334"/>
      <c r="C7" s="266"/>
      <c r="D7" s="274" t="s">
        <v>71</v>
      </c>
      <c r="E7" s="40"/>
      <c r="F7" s="275"/>
      <c r="G7" s="605">
        <v>43003</v>
      </c>
      <c r="H7" s="638" t="str">
        <f>P.1PlanYear&amp; " Rules "&amp;$P$6&amp;" "&amp;$H$5</f>
        <v>2013 Rules AQ Updates to Oregon's State Implementation Plan</v>
      </c>
      <c r="I7" s="638"/>
      <c r="J7" s="638"/>
      <c r="K7" s="638"/>
      <c r="L7" s="638"/>
      <c r="M7" s="638"/>
      <c r="N7" s="638"/>
      <c r="O7" s="638"/>
      <c r="P7" s="638"/>
      <c r="Q7" s="638"/>
      <c r="R7" s="639"/>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72</v>
      </c>
      <c r="E8" s="40"/>
      <c r="F8" s="275"/>
      <c r="G8" s="396" t="s">
        <v>161</v>
      </c>
      <c r="H8" s="638" t="str">
        <f>P.1PlanYear&amp; " Rules "&amp;$P$6&amp;" "&amp;$G$5</f>
        <v>2013 Rules AQ SIPPM25</v>
      </c>
      <c r="I8" s="638"/>
      <c r="J8" s="638"/>
      <c r="K8" s="638"/>
      <c r="L8" s="638"/>
      <c r="M8" s="638"/>
      <c r="N8" s="638"/>
      <c r="O8" s="638"/>
      <c r="P8" s="638"/>
      <c r="Q8" s="638"/>
      <c r="R8" s="639"/>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72</v>
      </c>
      <c r="E9" s="40"/>
      <c r="F9" s="275"/>
      <c r="G9" s="396" t="s">
        <v>161</v>
      </c>
      <c r="H9" s="638" t="str">
        <f>P.1PlanYear&amp; " Rules "&amp;$P$6&amp;" "&amp;$G$5</f>
        <v>2013 Rules AQ SIPPM25</v>
      </c>
      <c r="I9" s="638"/>
      <c r="J9" s="638"/>
      <c r="K9" s="638"/>
      <c r="L9" s="638"/>
      <c r="M9" s="638"/>
      <c r="N9" s="638"/>
      <c r="O9" s="638"/>
      <c r="P9" s="638"/>
      <c r="Q9" s="638"/>
      <c r="R9" s="639"/>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72</v>
      </c>
      <c r="E10" s="40"/>
      <c r="F10" s="275"/>
      <c r="G10" s="396" t="s">
        <v>161</v>
      </c>
      <c r="H10" s="638" t="str">
        <f>P.1PlanYear&amp; " Rules "&amp;$P$6&amp;" "&amp;$G$5</f>
        <v>2013 Rules AQ SIPPM25</v>
      </c>
      <c r="I10" s="638"/>
      <c r="J10" s="638"/>
      <c r="K10" s="638"/>
      <c r="L10" s="638"/>
      <c r="M10" s="638"/>
      <c r="N10" s="638"/>
      <c r="O10" s="638"/>
      <c r="P10" s="638"/>
      <c r="Q10" s="638"/>
      <c r="R10" s="639"/>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8" t="s">
        <v>48</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43</v>
      </c>
      <c r="E12" s="40"/>
      <c r="F12" s="275"/>
      <c r="G12" s="646" t="str">
        <f>"RM-"&amp;G5</f>
        <v>RM-SIPPM25</v>
      </c>
      <c r="H12" s="638"/>
      <c r="I12" s="638"/>
      <c r="J12" s="638"/>
      <c r="K12" s="638"/>
      <c r="L12" s="638"/>
      <c r="M12" s="638"/>
      <c r="N12" s="638"/>
      <c r="O12" s="638"/>
      <c r="P12" s="638"/>
      <c r="Q12" s="638"/>
      <c r="R12" s="639"/>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6</v>
      </c>
      <c r="E13" s="40"/>
      <c r="F13" s="277"/>
      <c r="G13" s="646" t="str">
        <f>"RM-"&amp;G5&amp;" "&amp;P.1PlanYear</f>
        <v>RM-SIPPM25 2013</v>
      </c>
      <c r="H13" s="638"/>
      <c r="I13" s="638"/>
      <c r="J13" s="638"/>
      <c r="K13" s="638"/>
      <c r="L13" s="638"/>
      <c r="M13" s="638"/>
      <c r="N13" s="638"/>
      <c r="O13" s="638"/>
      <c r="P13" s="638"/>
      <c r="Q13" s="638"/>
      <c r="R13" s="639"/>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97</v>
      </c>
      <c r="E14" s="40"/>
      <c r="F14" s="278"/>
      <c r="G14" s="646" t="str">
        <f>G5</f>
        <v>SIPPM25</v>
      </c>
      <c r="H14" s="638"/>
      <c r="I14" s="638"/>
      <c r="J14" s="638"/>
      <c r="K14" s="638"/>
      <c r="L14" s="638"/>
      <c r="M14" s="638"/>
      <c r="N14" s="638"/>
      <c r="O14" s="638"/>
      <c r="P14" s="638"/>
      <c r="Q14" s="638"/>
      <c r="R14" s="639"/>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96</v>
      </c>
      <c r="E15" s="274"/>
      <c r="F15" s="4"/>
      <c r="G15" s="647" t="str">
        <f>"\\deqhq1\Rule_Development\2013 Plan"&amp;"\"&amp;G5</f>
        <v>\\deqhq1\Rule_Development\2013 Plan\SIPPM25</v>
      </c>
      <c r="H15" s="648"/>
      <c r="I15" s="648"/>
      <c r="J15" s="648"/>
      <c r="K15" s="648"/>
      <c r="L15" s="648"/>
      <c r="M15" s="648"/>
      <c r="N15" s="648"/>
      <c r="O15" s="648"/>
      <c r="P15" s="648"/>
      <c r="Q15" s="648"/>
      <c r="R15" s="649"/>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10</v>
      </c>
      <c r="E16" s="239"/>
      <c r="F16" s="279" t="s">
        <v>51</v>
      </c>
      <c r="G16" s="655" t="s">
        <v>40</v>
      </c>
      <c r="H16" s="656"/>
      <c r="I16" s="656"/>
      <c r="J16" s="656"/>
      <c r="K16" s="656"/>
      <c r="L16" s="656"/>
      <c r="M16" s="656"/>
      <c r="N16" s="656"/>
      <c r="O16" s="656"/>
      <c r="P16" s="656"/>
      <c r="Q16" s="656"/>
      <c r="R16" s="657"/>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3</v>
      </c>
      <c r="G17" s="658" t="s">
        <v>164</v>
      </c>
      <c r="H17" s="659"/>
      <c r="I17" s="659"/>
      <c r="J17" s="659"/>
      <c r="K17" s="659"/>
      <c r="L17" s="659"/>
      <c r="M17" s="659"/>
      <c r="N17" s="659"/>
      <c r="O17" s="659"/>
      <c r="P17" s="659"/>
      <c r="Q17" s="659"/>
      <c r="R17" s="660"/>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5</v>
      </c>
      <c r="E18" s="40"/>
      <c r="F18" s="68"/>
      <c r="G18" s="646" t="s">
        <v>591</v>
      </c>
      <c r="H18" s="638"/>
      <c r="I18" s="638"/>
      <c r="J18" s="638"/>
      <c r="K18" s="638"/>
      <c r="L18" s="638"/>
      <c r="M18" s="638"/>
      <c r="N18" s="638"/>
      <c r="O18" s="638"/>
      <c r="P18" s="638"/>
      <c r="Q18" s="638"/>
      <c r="R18" s="639"/>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165</v>
      </c>
      <c r="E19" s="40"/>
      <c r="F19" s="68"/>
      <c r="G19" s="606" t="s">
        <v>591</v>
      </c>
      <c r="H19" s="638" t="str">
        <f>P.1PlanYear&amp; " Rules "&amp;$P$6&amp;" "&amp;$G$5</f>
        <v>2013 Rules AQ SIPPM25</v>
      </c>
      <c r="I19" s="638"/>
      <c r="J19" s="638"/>
      <c r="K19" s="638"/>
      <c r="L19" s="638"/>
      <c r="M19" s="638"/>
      <c r="N19" s="638"/>
      <c r="O19" s="638"/>
      <c r="P19" s="638"/>
      <c r="Q19" s="638"/>
      <c r="R19" s="639"/>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7</v>
      </c>
      <c r="E20" s="40"/>
      <c r="F20" s="8"/>
      <c r="G20" s="646" t="s">
        <v>591</v>
      </c>
      <c r="H20" s="638"/>
      <c r="I20" s="638"/>
      <c r="J20" s="638"/>
      <c r="K20" s="638"/>
      <c r="L20" s="638"/>
      <c r="M20" s="638"/>
      <c r="N20" s="638"/>
      <c r="O20" s="638"/>
      <c r="P20" s="638"/>
      <c r="Q20" s="638"/>
      <c r="R20" s="639"/>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4</v>
      </c>
      <c r="E21" s="239"/>
      <c r="F21" s="8"/>
      <c r="G21" s="647" t="str">
        <f>"Comment-SIPPM25@deq.state.or.us"</f>
        <v>Comment-SIPPM25@deq.state.or.us</v>
      </c>
      <c r="H21" s="648"/>
      <c r="I21" s="648"/>
      <c r="J21" s="648"/>
      <c r="K21" s="648"/>
      <c r="L21" s="648"/>
      <c r="M21" s="648"/>
      <c r="N21" s="648"/>
      <c r="O21" s="648"/>
      <c r="P21" s="648"/>
      <c r="Q21" s="648"/>
      <c r="R21" s="649"/>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53" t="str">
        <f>"Please suggest process improvements to the "&amp;D2&amp;" worksheet."</f>
        <v>Please suggest process improvements to the Project record worksheet.</v>
      </c>
      <c r="E22" s="653"/>
      <c r="F22" s="653"/>
      <c r="G22" s="653"/>
      <c r="H22" s="653"/>
      <c r="I22" s="653"/>
      <c r="J22" s="653"/>
      <c r="K22" s="653"/>
      <c r="L22" s="653"/>
      <c r="M22" s="653"/>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50" t="s">
        <v>0</v>
      </c>
      <c r="E23" s="651"/>
      <c r="F23" s="651"/>
      <c r="G23" s="651"/>
      <c r="H23" s="651"/>
      <c r="I23" s="651"/>
      <c r="J23" s="651"/>
      <c r="K23" s="651"/>
      <c r="L23" s="651"/>
      <c r="M23" s="651"/>
      <c r="N23" s="651"/>
      <c r="O23" s="651"/>
      <c r="P23" s="651"/>
      <c r="Q23" s="651"/>
      <c r="R23" s="652"/>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3.8">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formatCells="0" formatRows="0" insertHyperlinks="0"/>
  <mergeCells count="24">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 ref="H19:R19"/>
    <mergeCell ref="H7:R7"/>
    <mergeCell ref="D2:F2"/>
    <mergeCell ref="G4:R4"/>
    <mergeCell ref="D5:F5"/>
    <mergeCell ref="H8:R8"/>
    <mergeCell ref="H9:R9"/>
    <mergeCell ref="H10:R10"/>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650" priority="2" stopIfTrue="1">
      <formula>IF($U22&lt;10,TRUE,)</formula>
    </cfRule>
  </conditionalFormatting>
  <conditionalFormatting sqref="P22:P23 P26:P60">
    <cfRule type="expression" dxfId="2649" priority="82" stopIfTrue="1">
      <formula>IF($U22&lt;9,TRUE,)</formula>
    </cfRule>
  </conditionalFormatting>
  <conditionalFormatting sqref="O22:O23 O26:O60">
    <cfRule type="expression" dxfId="2648" priority="81" stopIfTrue="1">
      <formula>IF($U22&lt;8,TRUE,)</formula>
    </cfRule>
  </conditionalFormatting>
  <conditionalFormatting sqref="N22:N23 N26:N60">
    <cfRule type="expression" dxfId="2647" priority="80" stopIfTrue="1">
      <formula>IF($U22&lt;7,TRUE,)</formula>
    </cfRule>
  </conditionalFormatting>
  <conditionalFormatting sqref="M23 M26:M60">
    <cfRule type="expression" dxfId="2646" priority="79" stopIfTrue="1">
      <formula>IF($U23&lt;6,TRUE,)</formula>
    </cfRule>
  </conditionalFormatting>
  <conditionalFormatting sqref="L23 L26:L60">
    <cfRule type="expression" dxfId="2645" priority="78" stopIfTrue="1">
      <formula>IF($U23&lt;5,TRUE,)</formula>
    </cfRule>
  </conditionalFormatting>
  <conditionalFormatting sqref="K23 K26:K60">
    <cfRule type="expression" dxfId="2644" priority="77" stopIfTrue="1">
      <formula>IF($U23&lt;4,TRUE,)</formula>
    </cfRule>
  </conditionalFormatting>
  <conditionalFormatting sqref="J23 J26:J60">
    <cfRule type="expression" dxfId="2643" priority="76" stopIfTrue="1">
      <formula>IF($U23&lt;3,TRUE,)</formula>
    </cfRule>
  </conditionalFormatting>
  <conditionalFormatting sqref="I23 I26:I60">
    <cfRule type="expression" dxfId="2642" priority="75" stopIfTrue="1">
      <formula>IF($U23&lt;2,TRUE,)</formula>
    </cfRule>
  </conditionalFormatting>
  <conditionalFormatting sqref="R22:R23">
    <cfRule type="expression" dxfId="2641" priority="28" stopIfTrue="1">
      <formula>IF(AND($X22="H",$Y22&lt;10),TRUE,)</formula>
    </cfRule>
  </conditionalFormatting>
  <conditionalFormatting sqref="L23">
    <cfRule type="expression" dxfId="2640" priority="27" stopIfTrue="1">
      <formula>IF(AND($X23="H",$Y23&lt;1),TRUE,)</formula>
    </cfRule>
  </conditionalFormatting>
  <conditionalFormatting sqref="M23">
    <cfRule type="expression" dxfId="2639" priority="26" stopIfTrue="1">
      <formula>IF(AND($X23="H",$Y23&lt;2),TRUE,)</formula>
    </cfRule>
  </conditionalFormatting>
  <conditionalFormatting sqref="O22:O23">
    <cfRule type="expression" dxfId="2638" priority="25" stopIfTrue="1">
      <formula>IF(AND($X22="H",$Y22&lt;4),TRUE,)</formula>
    </cfRule>
  </conditionalFormatting>
  <conditionalFormatting sqref="P22:P23">
    <cfRule type="expression" dxfId="2637" priority="24" stopIfTrue="1">
      <formula>IF(AND($X22="H",$Y22&lt;5),TRUE,)</formula>
    </cfRule>
  </conditionalFormatting>
  <conditionalFormatting sqref="Q22:Q23">
    <cfRule type="expression" dxfId="2636" priority="23" stopIfTrue="1">
      <formula>IF(AND($X22="H",$Y22&lt;8),TRUE,)</formula>
    </cfRule>
  </conditionalFormatting>
  <conditionalFormatting sqref="N22:N23">
    <cfRule type="expression" dxfId="2635" priority="22" stopIfTrue="1">
      <formula>IF(AND($X22="H",$Y22&lt;3),TRUE,)</formula>
    </cfRule>
  </conditionalFormatting>
  <conditionalFormatting sqref="H23">
    <cfRule type="expression" dxfId="2634" priority="83" stopIfTrue="1">
      <formula>IF($U23&lt;1,TRUE,)</formula>
    </cfRule>
  </conditionalFormatting>
  <dataValidations xWindow="867" yWindow="753"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s>
  <pageMargins left="0.56999999999999995" right="0.55000000000000004" top="0.75" bottom="0.75" header="0.3" footer="0.3"/>
  <pageSetup scale="94" orientation="portrait" r:id="rId5"/>
  <drawing r:id="rId6"/>
  <legacyDrawing r:id="rId7"/>
</worksheet>
</file>

<file path=xl/worksheets/sheet5.xml><?xml version="1.0" encoding="utf-8"?>
<worksheet xmlns="http://schemas.openxmlformats.org/spreadsheetml/2006/main" xmlns:r="http://schemas.openxmlformats.org/officeDocument/2006/relationships">
  <sheetPr codeName="Sheet8"/>
  <dimension ref="A1:AO22"/>
  <sheetViews>
    <sheetView showGridLines="0" topLeftCell="A7" zoomScaleNormal="100" workbookViewId="0">
      <selection activeCell="H15" sqref="H15"/>
    </sheetView>
  </sheetViews>
  <sheetFormatPr defaultColWidth="9" defaultRowHeight="20.399999999999999" outlineLevelCol="1"/>
  <cols>
    <col min="1" max="1" width="13.69921875" style="340" customWidth="1"/>
    <col min="2" max="2" width="3.59765625" customWidth="1"/>
    <col min="3" max="3" width="3.59765625" style="44" customWidth="1"/>
    <col min="4" max="4" width="25.59765625" style="104" customWidth="1"/>
    <col min="5" max="5" width="2.59765625" style="104" customWidth="1"/>
    <col min="6" max="6" width="25.59765625" style="104" customWidth="1"/>
    <col min="7" max="7" width="3" style="104" customWidth="1"/>
    <col min="8" max="8" width="25.59765625" style="104" customWidth="1"/>
    <col min="9" max="9" width="3.59765625" style="56" customWidth="1"/>
    <col min="10" max="10" width="3.59765625" style="64" customWidth="1"/>
    <col min="11" max="11" width="5.09765625" style="113" hidden="1" customWidth="1" outlineLevel="1"/>
    <col min="12" max="12" width="13.59765625" style="64" hidden="1" customWidth="1" outlineLevel="1"/>
    <col min="13" max="13" width="14.8984375" style="64" hidden="1" customWidth="1" outlineLevel="1"/>
    <col min="14" max="14" width="14.59765625" style="64" hidden="1" customWidth="1" outlineLevel="1"/>
    <col min="15" max="15" width="30.59765625" style="64" customWidth="1" collapsed="1"/>
    <col min="16" max="16" width="16.5" style="64" customWidth="1"/>
    <col min="17" max="17" width="18" style="64" customWidth="1"/>
    <col min="18" max="26" width="31.09765625" style="64" customWidth="1"/>
    <col min="27" max="41" width="9" style="64"/>
    <col min="42" max="16384" width="9" style="56"/>
  </cols>
  <sheetData>
    <row r="1" spans="1:41" s="104" customFormat="1" ht="15.75" customHeight="1">
      <c r="A1" s="350" t="s">
        <v>104</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80</v>
      </c>
      <c r="B2" s="334"/>
      <c r="C2" s="248">
        <v>2</v>
      </c>
      <c r="D2" s="249" t="s">
        <v>42</v>
      </c>
      <c r="E2" s="249"/>
      <c r="F2" s="669" t="str">
        <f>R.1MediaAndLongName</f>
        <v>AQ Updates to Oregon's State Implementation Plan</v>
      </c>
      <c r="G2" s="669"/>
      <c r="H2" s="669"/>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107</v>
      </c>
      <c r="B4" s="334"/>
      <c r="C4" s="252"/>
      <c r="D4" s="304" t="s">
        <v>38</v>
      </c>
      <c r="E4" s="107"/>
      <c r="F4" s="46"/>
      <c r="G4" s="46"/>
      <c r="H4" s="47"/>
      <c r="I4" s="253"/>
      <c r="J4" s="334"/>
      <c r="K4" s="168"/>
      <c r="L4" s="168" t="s">
        <v>0</v>
      </c>
      <c r="M4" s="169"/>
      <c r="N4" s="168"/>
      <c r="O4" s="191"/>
      <c r="P4" s="171"/>
      <c r="Q4" s="171"/>
      <c r="R4" s="171"/>
      <c r="S4" s="171"/>
      <c r="T4" s="172"/>
      <c r="U4" s="168"/>
      <c r="V4" s="173"/>
      <c r="W4" s="174" t="s">
        <v>11</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30</v>
      </c>
      <c r="E5" s="193"/>
      <c r="F5" s="194" t="s">
        <v>36</v>
      </c>
      <c r="G5" s="194"/>
      <c r="H5" s="195" t="s">
        <v>37</v>
      </c>
      <c r="I5" s="255"/>
      <c r="J5" s="334"/>
      <c r="K5" s="176"/>
      <c r="L5" s="261" t="s">
        <v>93</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679" t="s">
        <v>29</v>
      </c>
      <c r="E6" s="671"/>
      <c r="F6" s="672"/>
      <c r="G6" s="672"/>
      <c r="H6" s="196"/>
      <c r="I6" s="256"/>
      <c r="J6" s="334"/>
      <c r="K6" s="176"/>
      <c r="L6" s="290">
        <v>1</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102</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673"/>
      <c r="E8" s="674"/>
      <c r="F8" s="674"/>
      <c r="G8" s="674"/>
      <c r="H8" s="675"/>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80"/>
      <c r="B9" s="334"/>
      <c r="C9" s="136"/>
      <c r="D9" s="304" t="s">
        <v>31</v>
      </c>
      <c r="E9" s="107"/>
      <c r="F9" s="162"/>
      <c r="G9" s="162"/>
      <c r="H9" s="160"/>
      <c r="I9" s="257"/>
      <c r="J9" s="334"/>
      <c r="K9" s="182"/>
      <c r="L9" s="182" t="s">
        <v>0</v>
      </c>
      <c r="M9" s="183"/>
      <c r="N9" s="182"/>
      <c r="O9" s="191"/>
      <c r="P9" s="129"/>
      <c r="Q9" s="129"/>
      <c r="R9" s="129"/>
      <c r="S9" s="129"/>
      <c r="T9" s="185"/>
      <c r="U9" s="182"/>
      <c r="V9" s="186"/>
      <c r="W9" s="187" t="s">
        <v>11</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32</v>
      </c>
      <c r="E10" s="194"/>
      <c r="F10" s="194" t="s">
        <v>33</v>
      </c>
      <c r="G10" s="194"/>
      <c r="H10" s="294" t="s">
        <v>34</v>
      </c>
      <c r="I10" s="258"/>
      <c r="J10" s="334"/>
      <c r="K10" s="176"/>
      <c r="L10" s="261" t="s">
        <v>94</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670" t="s">
        <v>29</v>
      </c>
      <c r="E11" s="671"/>
      <c r="F11" s="672"/>
      <c r="G11" s="672"/>
      <c r="H11" s="196"/>
      <c r="I11" s="256"/>
      <c r="J11" s="334"/>
      <c r="K11" s="176"/>
      <c r="L11" s="290">
        <v>1</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102</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673"/>
      <c r="E13" s="674"/>
      <c r="F13" s="674"/>
      <c r="G13" s="674"/>
      <c r="H13" s="675"/>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80"/>
      <c r="B14" s="334"/>
      <c r="C14" s="136"/>
      <c r="D14" s="304" t="s">
        <v>39</v>
      </c>
      <c r="E14" s="107"/>
      <c r="F14" s="162"/>
      <c r="G14" s="162"/>
      <c r="H14" s="160"/>
      <c r="I14" s="257"/>
      <c r="J14" s="334"/>
      <c r="K14" s="182"/>
      <c r="L14" s="182" t="s">
        <v>0</v>
      </c>
      <c r="M14" s="183"/>
      <c r="N14" s="182"/>
      <c r="O14" s="64"/>
      <c r="P14" s="129"/>
      <c r="Q14" s="129"/>
      <c r="R14" s="129"/>
      <c r="S14" s="129"/>
      <c r="T14" s="185"/>
      <c r="U14" s="182"/>
      <c r="V14" s="186"/>
      <c r="W14" s="187" t="s">
        <v>11</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293" t="s">
        <v>35</v>
      </c>
      <c r="E15" s="194"/>
      <c r="F15" s="194" t="s">
        <v>44</v>
      </c>
      <c r="G15" s="194"/>
      <c r="H15" s="294" t="s">
        <v>50</v>
      </c>
      <c r="I15" s="258"/>
      <c r="J15" s="334"/>
      <c r="K15" s="176"/>
      <c r="L15" s="261" t="s">
        <v>95</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670" t="s">
        <v>29</v>
      </c>
      <c r="E16" s="671"/>
      <c r="F16" s="672"/>
      <c r="G16" s="672"/>
      <c r="H16" s="196"/>
      <c r="I16" s="256"/>
      <c r="J16" s="334"/>
      <c r="K16" s="176"/>
      <c r="L16" s="290">
        <v>4</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102</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681"/>
      <c r="E18" s="682"/>
      <c r="F18" s="682"/>
      <c r="G18" s="682"/>
      <c r="H18" s="683"/>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680" t="str">
        <f>"Please suggest process improvements to the "&amp;D2&amp;" worksheet."</f>
        <v>Please suggest process improvements to the DEQ resource risks worksheet.</v>
      </c>
      <c r="E19" s="680"/>
      <c r="F19" s="680"/>
      <c r="G19" s="680"/>
      <c r="H19" s="680"/>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76"/>
      <c r="E20" s="677"/>
      <c r="F20" s="677"/>
      <c r="G20" s="677"/>
      <c r="H20" s="678"/>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108</v>
      </c>
      <c r="B21" s="334"/>
      <c r="C21" s="149"/>
      <c r="D21" s="12"/>
      <c r="E21" s="12"/>
      <c r="F21" s="12"/>
      <c r="G21" s="12"/>
      <c r="H21" s="12"/>
      <c r="I21" s="151"/>
      <c r="J21" s="334"/>
      <c r="K21" s="64"/>
    </row>
    <row r="22" spans="1:41" s="64" customFormat="1" ht="13.8">
      <c r="A22" s="340"/>
      <c r="B22" s="334"/>
      <c r="C22" s="334"/>
      <c r="D22" s="334"/>
      <c r="E22" s="334"/>
      <c r="F22" s="334"/>
      <c r="G22" s="334"/>
      <c r="H22" s="334"/>
      <c r="I22" s="334"/>
      <c r="J22" s="334"/>
      <c r="K22" s="113"/>
    </row>
  </sheetData>
  <sheetProtection sheet="1" scenarios="1" formatCells="0" formatRows="0" insertHyperlinks="0"/>
  <mergeCells count="12">
    <mergeCell ref="D20:H20"/>
    <mergeCell ref="D6:E6"/>
    <mergeCell ref="F6:G6"/>
    <mergeCell ref="D19:H19"/>
    <mergeCell ref="D18:H18"/>
    <mergeCell ref="F2:H2"/>
    <mergeCell ref="D11:E11"/>
    <mergeCell ref="D16:E16"/>
    <mergeCell ref="F11:G11"/>
    <mergeCell ref="F16:G16"/>
    <mergeCell ref="D8:H8"/>
    <mergeCell ref="D13:H13"/>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D13 F13 H13">
    <cfRule type="colorScale" priority="14">
      <colorScale>
        <cfvo type="min" val="0"/>
        <cfvo type="percentile" val="50"/>
        <cfvo type="max" val="0"/>
        <color rgb="FF00B050"/>
        <color rgb="FFFFEB84"/>
        <color rgb="FFC00000"/>
      </colorScale>
    </cfRule>
  </conditionalFormatting>
  <conditionalFormatting sqref="F13 D13 H13">
    <cfRule type="colorScale" priority="13">
      <colorScale>
        <cfvo type="min" val="0"/>
        <cfvo type="percentile" val="50"/>
        <cfvo type="max" val="0"/>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F8 D8 H8">
    <cfRule type="colorScale" priority="4">
      <colorScale>
        <cfvo type="min" val="0"/>
        <cfvo type="percentile" val="50"/>
        <cfvo type="max" val="0"/>
        <color rgb="FF00B050"/>
        <color rgb="FFFFEB84"/>
        <color rgb="FFC00000"/>
      </colorScale>
    </cfRule>
  </conditionalFormatting>
  <conditionalFormatting sqref="D8 F8 H8">
    <cfRule type="colorScale" priority="3">
      <colorScale>
        <cfvo type="min" val="0"/>
        <cfvo type="percentile" val="50"/>
        <cfvo type="max" val="0"/>
        <color rgb="FF00B050"/>
        <color rgb="FFFFEB84"/>
        <color rgb="FFC00000"/>
      </colorScale>
    </cfRule>
  </conditionalFormatting>
  <conditionalFormatting sqref="F8 D8 H8">
    <cfRule type="colorScale" priority="2">
      <colorScale>
        <cfvo type="min" val="0"/>
        <cfvo type="percentile" val="50"/>
        <cfvo type="max" val="0"/>
        <color rgb="FF00B050"/>
        <color rgb="FFFFEB84"/>
        <color rgb="FFC00000"/>
      </colorScale>
    </cfRule>
  </conditionalFormatting>
  <conditionalFormatting sqref="F8 D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6.xml><?xml version="1.0" encoding="utf-8"?>
<worksheet xmlns="http://schemas.openxmlformats.org/spreadsheetml/2006/main" xmlns:r="http://schemas.openxmlformats.org/officeDocument/2006/relationships">
  <sheetPr codeName="Sheet9"/>
  <dimension ref="A1:AG85"/>
  <sheetViews>
    <sheetView showGridLines="0" topLeftCell="A31" zoomScaleNormal="100" workbookViewId="0">
      <selection activeCell="E31" sqref="E31"/>
    </sheetView>
  </sheetViews>
  <sheetFormatPr defaultColWidth="9" defaultRowHeight="20.399999999999999" outlineLevelCol="1"/>
  <cols>
    <col min="1" max="1" width="13.69921875" style="337" customWidth="1"/>
    <col min="2" max="2" width="3.59765625" customWidth="1"/>
    <col min="3" max="3" width="3.59765625" style="44" customWidth="1"/>
    <col min="4" max="4" width="40.5" style="102" customWidth="1"/>
    <col min="5" max="5" width="18.09765625" style="102" customWidth="1"/>
    <col min="6" max="15" width="1.59765625" style="102" customWidth="1"/>
    <col min="16" max="16" width="15.69921875" style="102" customWidth="1"/>
    <col min="17" max="17" width="3.59765625" style="102"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3" width="31.097656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63</v>
      </c>
      <c r="E2" s="688" t="str">
        <f>R.1MediaAndLongName</f>
        <v>AQ Updates to Oregon's State Implementation Plan</v>
      </c>
      <c r="F2" s="688"/>
      <c r="G2" s="688"/>
      <c r="H2" s="688"/>
      <c r="I2" s="688"/>
      <c r="J2" s="688"/>
      <c r="K2" s="688"/>
      <c r="L2" s="688"/>
      <c r="M2" s="688"/>
      <c r="N2" s="688"/>
      <c r="O2" s="688"/>
      <c r="P2" s="688"/>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689" t="s">
        <v>57</v>
      </c>
      <c r="N3" s="689"/>
      <c r="O3" s="689"/>
      <c r="P3" s="689"/>
      <c r="Q3" s="156"/>
      <c r="R3" s="334"/>
      <c r="S3" s="354">
        <f>COUNTIFS(S13:S49,"&gt;0")</f>
        <v>4</v>
      </c>
      <c r="T3" s="355">
        <f>SUM(T13:T49)</f>
        <v>429</v>
      </c>
      <c r="U3" s="355">
        <f>SUM(U13:U49)</f>
        <v>898</v>
      </c>
      <c r="V3" s="120"/>
      <c r="W3" s="64"/>
      <c r="X3" s="64"/>
      <c r="Y3" s="64"/>
      <c r="Z3" s="64"/>
      <c r="AA3" s="64"/>
      <c r="AB3" s="64"/>
      <c r="AC3" s="64"/>
      <c r="AD3" s="66"/>
      <c r="AE3" s="66"/>
      <c r="AF3" s="66"/>
      <c r="AG3" s="66"/>
    </row>
    <row r="4" spans="1:33" s="6" customFormat="1">
      <c r="A4" s="344"/>
      <c r="B4" s="334"/>
      <c r="C4" s="155"/>
      <c r="D4" s="494" t="s">
        <v>55</v>
      </c>
      <c r="E4" s="81">
        <f>S3</f>
        <v>4</v>
      </c>
      <c r="F4" s="690" t="s">
        <v>54</v>
      </c>
      <c r="G4" s="690"/>
      <c r="H4" s="690"/>
      <c r="I4" s="690"/>
      <c r="J4" s="690"/>
      <c r="K4" s="690"/>
      <c r="L4" s="690"/>
      <c r="M4" s="691" t="str">
        <f>S4</f>
        <v>429-898</v>
      </c>
      <c r="N4" s="691"/>
      <c r="O4" s="691"/>
      <c r="P4" s="691"/>
      <c r="Q4" s="156"/>
      <c r="R4" s="334"/>
      <c r="S4" s="122" t="str">
        <f>IF(R.3StaffCount=0,"0",IF(R.3LowHrs=0,"0-"&amp;TEXT(R.3HighHrs,"#,###"),TEXT(R.3LowHrs,"#,###")&amp;"-"&amp;TEXT(R.3HighHrs,"#,###")))</f>
        <v>429-898</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4" t="s">
        <v>56</v>
      </c>
      <c r="E5" s="98">
        <f>R.AvgHrDEQCost</f>
        <v>58</v>
      </c>
      <c r="F5" s="690" t="s">
        <v>58</v>
      </c>
      <c r="G5" s="690"/>
      <c r="H5" s="690"/>
      <c r="I5" s="690"/>
      <c r="J5" s="690"/>
      <c r="K5" s="690"/>
      <c r="L5" s="690"/>
      <c r="M5" s="692" t="str">
        <f>S5</f>
        <v>$24,882-52,084</v>
      </c>
      <c r="N5" s="692"/>
      <c r="O5" s="692"/>
      <c r="P5" s="692"/>
      <c r="Q5" s="156"/>
      <c r="R5" s="334"/>
      <c r="S5" s="123" t="str">
        <f>IF(R.3StaffCount=0,"$0",IF(R.3LowDollars=0,"$0-"&amp;TEXT(R.3HighDollars,"#,###"),TEXT(R.3LowDollars,"$#,###")&amp;"-"&amp;TEXT(R.3HighDollars,"#,###")))</f>
        <v>$24,882-52,084</v>
      </c>
      <c r="T5" s="124">
        <f>T3*E5</f>
        <v>24882</v>
      </c>
      <c r="U5" s="124">
        <f>U3*E5</f>
        <v>52084</v>
      </c>
      <c r="V5" s="120"/>
      <c r="W5" s="64"/>
      <c r="X5" s="64"/>
      <c r="Y5" s="64"/>
      <c r="Z5" s="64"/>
      <c r="AA5" s="64"/>
      <c r="AB5" s="64"/>
      <c r="AC5" s="64"/>
      <c r="AD5" s="66"/>
      <c r="AE5" s="66"/>
      <c r="AF5" s="66"/>
      <c r="AG5" s="66"/>
    </row>
    <row r="6" spans="1:33" s="6" customFormat="1" ht="25.5" customHeight="1">
      <c r="A6" s="344"/>
      <c r="B6" s="334"/>
      <c r="C6" s="155"/>
      <c r="D6" s="447" t="s">
        <v>66</v>
      </c>
      <c r="E6" s="100"/>
      <c r="F6" s="99"/>
      <c r="G6" s="99"/>
      <c r="H6" s="99"/>
      <c r="I6" s="99"/>
      <c r="J6" s="99"/>
      <c r="K6" s="99"/>
      <c r="L6" s="99"/>
      <c r="M6" s="99"/>
      <c r="N6" s="99"/>
      <c r="O6" s="99"/>
      <c r="P6" s="99"/>
      <c r="Q6" s="156"/>
      <c r="R6" s="334"/>
      <c r="S6" s="450">
        <f>SUM(S13:S49)/R.3StaffCount</f>
        <v>3.25</v>
      </c>
      <c r="T6" s="66"/>
      <c r="U6" s="66"/>
      <c r="V6" s="120"/>
      <c r="W6" s="64"/>
      <c r="X6" s="64"/>
      <c r="Y6" s="64"/>
      <c r="Z6" s="64"/>
      <c r="AA6" s="64"/>
      <c r="AB6" s="64"/>
      <c r="AC6" s="64"/>
      <c r="AD6" s="66"/>
      <c r="AE6" s="66"/>
      <c r="AF6" s="66"/>
      <c r="AG6" s="66"/>
    </row>
    <row r="7" spans="1:33" s="69" customFormat="1" ht="15.75" customHeight="1">
      <c r="A7" s="344"/>
      <c r="B7" s="334"/>
      <c r="C7" s="157"/>
      <c r="D7" s="684"/>
      <c r="E7" s="685"/>
      <c r="F7" s="685"/>
      <c r="G7" s="685"/>
      <c r="H7" s="685"/>
      <c r="I7" s="685"/>
      <c r="J7" s="685"/>
      <c r="K7" s="685"/>
      <c r="L7" s="685"/>
      <c r="M7" s="685"/>
      <c r="N7" s="685"/>
      <c r="O7" s="685"/>
      <c r="P7" s="686"/>
      <c r="Q7" s="158"/>
      <c r="R7" s="334"/>
      <c r="S7" s="451" t="s">
        <v>0</v>
      </c>
      <c r="T7" s="449"/>
      <c r="U7" s="449"/>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118</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9" t="s">
        <v>64</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693" t="s">
        <v>99</v>
      </c>
      <c r="E11" s="694"/>
      <c r="F11" s="694"/>
      <c r="G11" s="694"/>
      <c r="H11" s="694"/>
      <c r="I11" s="694"/>
      <c r="J11" s="694"/>
      <c r="K11" s="694"/>
      <c r="L11" s="694"/>
      <c r="M11" s="694"/>
      <c r="N11" s="694"/>
      <c r="O11" s="694"/>
      <c r="P11" s="695"/>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6" t="s">
        <v>60</v>
      </c>
      <c r="E12" s="365" t="s">
        <v>17</v>
      </c>
      <c r="F12" s="687" t="s">
        <v>18</v>
      </c>
      <c r="G12" s="687"/>
      <c r="H12" s="687"/>
      <c r="I12" s="687"/>
      <c r="J12" s="687"/>
      <c r="K12" s="687"/>
      <c r="L12" s="687"/>
      <c r="M12" s="687"/>
      <c r="N12" s="687"/>
      <c r="O12" s="687"/>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603" t="s">
        <v>592</v>
      </c>
      <c r="E13" s="30" t="s">
        <v>231</v>
      </c>
      <c r="F13" s="71">
        <v>1</v>
      </c>
      <c r="G13" s="72">
        <v>2</v>
      </c>
      <c r="H13" s="73">
        <v>3</v>
      </c>
      <c r="I13" s="74">
        <v>4</v>
      </c>
      <c r="J13" s="75">
        <v>5</v>
      </c>
      <c r="K13" s="76">
        <v>6</v>
      </c>
      <c r="L13" s="77">
        <v>7</v>
      </c>
      <c r="M13" s="78">
        <v>8</v>
      </c>
      <c r="N13" s="79">
        <v>9</v>
      </c>
      <c r="O13" s="80">
        <v>10</v>
      </c>
      <c r="P13" s="53"/>
      <c r="Q13" s="139"/>
      <c r="R13" s="334"/>
      <c r="S13" s="133">
        <f>VLOOKUP($E13,R.VL_DEQResourcesInvolved,2,FALSE)</f>
        <v>6</v>
      </c>
      <c r="T13" s="121">
        <f>VLOOKUP($E13,R.VL_DEQResourcesInvolved,3,FALSE)</f>
        <v>340</v>
      </c>
      <c r="U13" s="121">
        <f>IF(S13=10,T13,VLOOKUP($E13,R.VL_DEQResourcesInvolved,4,FALSE))</f>
        <v>680</v>
      </c>
      <c r="V13" s="575" t="s">
        <v>582</v>
      </c>
      <c r="W13" s="64"/>
      <c r="X13" s="64"/>
      <c r="Y13" s="64"/>
      <c r="Z13" s="64"/>
      <c r="AA13" s="64"/>
      <c r="AB13" s="64"/>
      <c r="AC13" s="64"/>
      <c r="AD13" s="130"/>
      <c r="AE13" s="130"/>
      <c r="AF13" s="130"/>
      <c r="AG13" s="130"/>
    </row>
    <row r="14" spans="1:33" s="28" customFormat="1" ht="14.25" customHeight="1">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214</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3" t="s">
        <v>64</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4999999999999" customHeight="1">
      <c r="A17" s="344"/>
      <c r="B17" s="334"/>
      <c r="C17" s="138"/>
      <c r="D17" s="696" t="s">
        <v>169</v>
      </c>
      <c r="E17" s="697"/>
      <c r="F17" s="697"/>
      <c r="G17" s="697"/>
      <c r="H17" s="697"/>
      <c r="I17" s="697"/>
      <c r="J17" s="697"/>
      <c r="K17" s="697"/>
      <c r="L17" s="697"/>
      <c r="M17" s="697"/>
      <c r="N17" s="697"/>
      <c r="O17" s="697"/>
      <c r="P17" s="698"/>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2" t="s">
        <v>60</v>
      </c>
      <c r="E18" s="291" t="s">
        <v>17</v>
      </c>
      <c r="F18" s="291" t="s">
        <v>18</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603" t="s">
        <v>593</v>
      </c>
      <c r="E19" s="30" t="s">
        <v>227</v>
      </c>
      <c r="F19" s="71">
        <v>1</v>
      </c>
      <c r="G19" s="72">
        <v>2</v>
      </c>
      <c r="H19" s="73">
        <v>3</v>
      </c>
      <c r="I19" s="74">
        <v>4</v>
      </c>
      <c r="J19" s="75">
        <v>5</v>
      </c>
      <c r="K19" s="76">
        <v>6</v>
      </c>
      <c r="L19" s="77">
        <v>7</v>
      </c>
      <c r="M19" s="78">
        <v>8</v>
      </c>
      <c r="N19" s="79">
        <v>9</v>
      </c>
      <c r="O19" s="80">
        <v>10</v>
      </c>
      <c r="P19" s="23"/>
      <c r="Q19" s="139"/>
      <c r="R19" s="334"/>
      <c r="S19" s="133">
        <f>VLOOKUP($E19,R.VL_DEQResourcesInvolved,2,FALSE)</f>
        <v>2</v>
      </c>
      <c r="T19" s="121">
        <f>VLOOKUP($E19,R.VL_DEQResourcesInvolved,3,FALSE)</f>
        <v>8</v>
      </c>
      <c r="U19" s="121">
        <f>IF(S19=10,T19,VLOOKUP($E19,R.VL_DEQResourcesInvolved,4,FALSE))</f>
        <v>40</v>
      </c>
      <c r="V19" s="575" t="s">
        <v>582</v>
      </c>
      <c r="W19" s="64"/>
      <c r="X19" s="64"/>
      <c r="Y19" s="64"/>
      <c r="Z19" s="64"/>
      <c r="AA19" s="64"/>
      <c r="AB19" s="64"/>
      <c r="AC19" s="64"/>
      <c r="AD19" s="130"/>
      <c r="AE19" s="130"/>
      <c r="AF19" s="130"/>
      <c r="AG19" s="130"/>
    </row>
    <row r="20" spans="1:33" s="28" customFormat="1" ht="14.25" customHeight="1">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107</v>
      </c>
      <c r="B21" s="334"/>
      <c r="C21" s="385"/>
      <c r="D21" s="513" t="s">
        <v>215</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3" t="s">
        <v>64</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696" t="s">
        <v>65</v>
      </c>
      <c r="E23" s="697"/>
      <c r="F23" s="697"/>
      <c r="G23" s="697"/>
      <c r="H23" s="697"/>
      <c r="I23" s="697"/>
      <c r="J23" s="697"/>
      <c r="K23" s="697"/>
      <c r="L23" s="697"/>
      <c r="M23" s="697"/>
      <c r="N23" s="697"/>
      <c r="O23" s="697"/>
      <c r="P23" s="698"/>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2" t="s">
        <v>60</v>
      </c>
      <c r="E24" s="292" t="s">
        <v>17</v>
      </c>
      <c r="F24" s="292" t="s">
        <v>18</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603" t="s">
        <v>594</v>
      </c>
      <c r="E25" s="30" t="s">
        <v>226</v>
      </c>
      <c r="F25" s="71">
        <v>1</v>
      </c>
      <c r="G25" s="72">
        <v>2</v>
      </c>
      <c r="H25" s="73">
        <v>3</v>
      </c>
      <c r="I25" s="74">
        <v>4</v>
      </c>
      <c r="J25" s="75">
        <v>5</v>
      </c>
      <c r="K25" s="76">
        <v>6</v>
      </c>
      <c r="L25" s="77">
        <v>7</v>
      </c>
      <c r="M25" s="78">
        <v>8</v>
      </c>
      <c r="N25" s="79">
        <v>9</v>
      </c>
      <c r="O25" s="80">
        <v>10</v>
      </c>
      <c r="P25" s="53"/>
      <c r="Q25" s="139"/>
      <c r="R25" s="334"/>
      <c r="S25" s="133">
        <f>VLOOKUP($E25,R.VL_DEQResourcesInvolved,2,FALSE)</f>
        <v>1</v>
      </c>
      <c r="T25" s="121">
        <f>VLOOKUP($E25,R.VL_DEQResourcesInvolved,3,FALSE)</f>
        <v>1</v>
      </c>
      <c r="U25" s="121">
        <f>IF(S25=10,T25,VLOOKUP($E25,R.VL_DEQResourcesInvolved,4,FALSE))</f>
        <v>8</v>
      </c>
      <c r="V25" s="575" t="s">
        <v>582</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107</v>
      </c>
      <c r="B27" s="334"/>
      <c r="C27" s="243"/>
      <c r="D27" s="304" t="s">
        <v>216</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3" t="s">
        <v>64</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696" t="s">
        <v>100</v>
      </c>
      <c r="E29" s="697"/>
      <c r="F29" s="697"/>
      <c r="G29" s="697"/>
      <c r="H29" s="697"/>
      <c r="I29" s="697"/>
      <c r="J29" s="697"/>
      <c r="K29" s="697"/>
      <c r="L29" s="697"/>
      <c r="M29" s="697"/>
      <c r="N29" s="697"/>
      <c r="O29" s="697"/>
      <c r="P29" s="698"/>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2" t="s">
        <v>60</v>
      </c>
      <c r="E30" s="292" t="s">
        <v>17</v>
      </c>
      <c r="F30" s="292" t="s">
        <v>18</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603" t="s">
        <v>595</v>
      </c>
      <c r="E31" s="30" t="s">
        <v>229</v>
      </c>
      <c r="F31" s="71">
        <v>1</v>
      </c>
      <c r="G31" s="72">
        <v>2</v>
      </c>
      <c r="H31" s="73">
        <v>3</v>
      </c>
      <c r="I31" s="74">
        <v>4</v>
      </c>
      <c r="J31" s="75">
        <v>5</v>
      </c>
      <c r="K31" s="76">
        <v>6</v>
      </c>
      <c r="L31" s="77">
        <v>7</v>
      </c>
      <c r="M31" s="78">
        <v>8</v>
      </c>
      <c r="N31" s="79">
        <v>9</v>
      </c>
      <c r="O31" s="80">
        <v>10</v>
      </c>
      <c r="P31" s="23"/>
      <c r="Q31" s="139"/>
      <c r="R31" s="334"/>
      <c r="S31" s="133">
        <f>VLOOKUP($E31,R.VL_DEQResourcesInvolved,2,FALSE)</f>
        <v>4</v>
      </c>
      <c r="T31" s="121">
        <f>VLOOKUP($E31,R.VL_DEQResourcesInvolved,3,FALSE)</f>
        <v>80</v>
      </c>
      <c r="U31" s="121">
        <f>IF(S31=10,T31,VLOOKUP($E31,R.VL_DEQResourcesInvolved,4,FALSE))</f>
        <v>170</v>
      </c>
      <c r="V31" s="575" t="s">
        <v>582</v>
      </c>
      <c r="W31" s="64"/>
      <c r="X31" s="64"/>
      <c r="Y31" s="64"/>
      <c r="Z31" s="64"/>
      <c r="AA31" s="64"/>
      <c r="AB31" s="64"/>
      <c r="AC31" s="64"/>
      <c r="AD31" s="130"/>
      <c r="AE31" s="130"/>
      <c r="AF31" s="130"/>
      <c r="AG31" s="130"/>
    </row>
    <row r="32" spans="1:33" s="28" customFormat="1" ht="14.25" customHeight="1">
      <c r="A32" s="344"/>
      <c r="B32" s="334"/>
      <c r="C32" s="138"/>
      <c r="D32" s="296"/>
      <c r="E32" s="702"/>
      <c r="F32" s="702"/>
      <c r="G32" s="702"/>
      <c r="H32" s="702"/>
      <c r="I32" s="702"/>
      <c r="J32" s="702"/>
      <c r="K32" s="702"/>
      <c r="L32" s="702"/>
      <c r="M32" s="702"/>
      <c r="N32" s="702"/>
      <c r="O32" s="702"/>
      <c r="P32" s="702"/>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13" t="s">
        <v>217</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3" t="s">
        <v>64</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699" t="s">
        <v>101</v>
      </c>
      <c r="E35" s="700"/>
      <c r="F35" s="700"/>
      <c r="G35" s="700"/>
      <c r="H35" s="700"/>
      <c r="I35" s="700"/>
      <c r="J35" s="700"/>
      <c r="K35" s="700"/>
      <c r="L35" s="700"/>
      <c r="M35" s="700"/>
      <c r="N35" s="700"/>
      <c r="O35" s="700"/>
      <c r="P35" s="701"/>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2" t="s">
        <v>60</v>
      </c>
      <c r="E36" s="292" t="s">
        <v>17</v>
      </c>
      <c r="F36" s="292" t="s">
        <v>18</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603" t="s">
        <v>591</v>
      </c>
      <c r="E37" s="30" t="s">
        <v>224</v>
      </c>
      <c r="F37" s="71">
        <v>1</v>
      </c>
      <c r="G37" s="72">
        <v>2</v>
      </c>
      <c r="H37" s="73">
        <v>3</v>
      </c>
      <c r="I37" s="74">
        <v>4</v>
      </c>
      <c r="J37" s="75">
        <v>5</v>
      </c>
      <c r="K37" s="76">
        <v>6</v>
      </c>
      <c r="L37" s="77">
        <v>7</v>
      </c>
      <c r="M37" s="78">
        <v>8</v>
      </c>
      <c r="N37" s="79">
        <v>9</v>
      </c>
      <c r="O37" s="80">
        <v>10</v>
      </c>
      <c r="P37" s="53"/>
      <c r="Q37" s="139"/>
      <c r="R37" s="334"/>
      <c r="S37" s="133">
        <f>VLOOKUP($E37,R.VL_DEQResourcesInvolved,2,FALSE)</f>
        <v>0</v>
      </c>
      <c r="T37" s="121">
        <f>VLOOKUP($E37,R.VL_DEQResourcesInvolved,3,FALSE)</f>
        <v>0</v>
      </c>
      <c r="U37" s="121">
        <f>IF(S37=10,T37,VLOOKUP($E37,R.VL_DEQResourcesInvolved,4,FALSE))</f>
        <v>0</v>
      </c>
      <c r="V37" s="575" t="s">
        <v>582</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21" t="s">
        <v>205</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3" t="s">
        <v>64</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703" t="s">
        <v>0</v>
      </c>
      <c r="E41" s="704"/>
      <c r="F41" s="704"/>
      <c r="G41" s="704"/>
      <c r="H41" s="704"/>
      <c r="I41" s="704"/>
      <c r="J41" s="704"/>
      <c r="K41" s="704"/>
      <c r="L41" s="704"/>
      <c r="M41" s="704"/>
      <c r="N41" s="704"/>
      <c r="O41" s="704"/>
      <c r="P41" s="705"/>
      <c r="Q41" s="139"/>
      <c r="R41" s="334"/>
      <c r="S41"/>
      <c r="T41" s="131"/>
      <c r="U41" s="131"/>
      <c r="V41" s="64"/>
      <c r="W41" s="64"/>
      <c r="X41" s="64"/>
      <c r="Y41" s="64"/>
      <c r="Z41" s="64"/>
      <c r="AA41" s="64"/>
      <c r="AB41" s="64"/>
      <c r="AC41" s="64"/>
      <c r="AD41" s="130"/>
      <c r="AE41" s="130"/>
      <c r="AF41" s="130"/>
      <c r="AG41" s="130"/>
    </row>
    <row r="42" spans="1:33" s="33" customFormat="1" ht="13.8">
      <c r="A42" s="344"/>
      <c r="B42" s="334"/>
      <c r="C42" s="232"/>
      <c r="D42" s="442" t="s">
        <v>60</v>
      </c>
      <c r="E42" s="292" t="s">
        <v>17</v>
      </c>
      <c r="F42" s="292" t="s">
        <v>18</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492" t="s">
        <v>219</v>
      </c>
      <c r="E43" s="30" t="s">
        <v>224</v>
      </c>
      <c r="F43" s="71">
        <v>1</v>
      </c>
      <c r="G43" s="72">
        <v>2</v>
      </c>
      <c r="H43" s="73">
        <v>3</v>
      </c>
      <c r="I43" s="74">
        <v>4</v>
      </c>
      <c r="J43" s="75">
        <v>5</v>
      </c>
      <c r="K43" s="76">
        <v>6</v>
      </c>
      <c r="L43" s="77">
        <v>7</v>
      </c>
      <c r="M43" s="78">
        <v>8</v>
      </c>
      <c r="N43" s="79">
        <v>9</v>
      </c>
      <c r="O43" s="80">
        <v>10</v>
      </c>
      <c r="P43" s="53"/>
      <c r="Q43" s="139"/>
      <c r="R43" s="334"/>
      <c r="S43" s="133">
        <f>VLOOKUP($E43,R.VL_DEQResourcesInvolved,2,FALSE)</f>
        <v>0</v>
      </c>
      <c r="T43" s="121">
        <f>VLOOKUP($E43,R.VL_DEQResourcesInvolved,3,FALSE)</f>
        <v>0</v>
      </c>
      <c r="U43" s="121">
        <f>IF(S43=10,T43,VLOOKUP($E43,R.VL_DEQResourcesInvolved,4,FALSE))</f>
        <v>0</v>
      </c>
      <c r="V43" s="575" t="s">
        <v>582</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21" t="s">
        <v>206</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3" t="s">
        <v>64</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706"/>
      <c r="E47" s="707"/>
      <c r="F47" s="707"/>
      <c r="G47" s="707"/>
      <c r="H47" s="707"/>
      <c r="I47" s="707"/>
      <c r="J47" s="707"/>
      <c r="K47" s="707"/>
      <c r="L47" s="707"/>
      <c r="M47" s="707"/>
      <c r="N47" s="707"/>
      <c r="O47" s="707"/>
      <c r="P47" s="708"/>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2" t="s">
        <v>60</v>
      </c>
      <c r="E48" s="292" t="s">
        <v>17</v>
      </c>
      <c r="F48" s="292" t="s">
        <v>18</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448" t="s">
        <v>220</v>
      </c>
      <c r="E49" s="30" t="s">
        <v>224</v>
      </c>
      <c r="F49" s="71">
        <v>1</v>
      </c>
      <c r="G49" s="72">
        <v>2</v>
      </c>
      <c r="H49" s="73">
        <v>3</v>
      </c>
      <c r="I49" s="74">
        <v>4</v>
      </c>
      <c r="J49" s="75">
        <v>5</v>
      </c>
      <c r="K49" s="76">
        <v>6</v>
      </c>
      <c r="L49" s="77">
        <v>7</v>
      </c>
      <c r="M49" s="78">
        <v>8</v>
      </c>
      <c r="N49" s="79">
        <v>9</v>
      </c>
      <c r="O49" s="80">
        <v>10</v>
      </c>
      <c r="P49" s="53"/>
      <c r="Q49" s="139"/>
      <c r="R49" s="334"/>
      <c r="S49" s="135">
        <f>VLOOKUP($E49,R.VL_DEQResourcesInvolved,2,FALSE)</f>
        <v>0</v>
      </c>
      <c r="T49" s="121">
        <f>VLOOKUP($E49,R.VL_DEQResourcesInvolved,3,FALSE)</f>
        <v>0</v>
      </c>
      <c r="U49" s="121">
        <f>IF(S49=10,T49,VLOOKUP($E49,R.VL_DEQResourcesInvolved,4,FALSE))</f>
        <v>0</v>
      </c>
      <c r="V49" s="575" t="s">
        <v>582</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53" t="str">
        <f>"Please suggest process improvements to the "&amp;D2&amp;" worksheet."</f>
        <v>Please suggest process improvements to the Core Team worksheet.</v>
      </c>
      <c r="E51" s="653"/>
      <c r="F51" s="500"/>
      <c r="G51" s="470"/>
      <c r="H51" s="471"/>
      <c r="I51" s="472"/>
      <c r="J51" s="473"/>
      <c r="K51" s="474"/>
      <c r="L51" s="475"/>
      <c r="M51" s="476"/>
      <c r="N51" s="477"/>
      <c r="O51" s="478"/>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650"/>
      <c r="E52" s="651"/>
      <c r="F52" s="651"/>
      <c r="G52" s="651"/>
      <c r="H52" s="651"/>
      <c r="I52" s="651"/>
      <c r="J52" s="651"/>
      <c r="K52" s="651"/>
      <c r="L52" s="651"/>
      <c r="M52" s="651"/>
      <c r="N52" s="651"/>
      <c r="O52" s="651"/>
      <c r="P52" s="652"/>
      <c r="Q52" s="148"/>
      <c r="R52" s="334"/>
      <c r="S52"/>
      <c r="T52" s="131"/>
      <c r="U52" s="131"/>
      <c r="V52" s="64"/>
      <c r="W52" s="64"/>
      <c r="X52" s="64"/>
      <c r="Y52" s="64"/>
      <c r="Z52" s="64"/>
      <c r="AA52" s="64"/>
      <c r="AB52" s="64"/>
      <c r="AC52" s="64"/>
      <c r="AD52" s="66"/>
      <c r="AE52" s="66"/>
      <c r="AF52" s="66"/>
      <c r="AG52" s="66"/>
    </row>
    <row r="53" spans="1:33" ht="18" customHeight="1">
      <c r="A53" s="350" t="s">
        <v>108</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52:P52"/>
    <mergeCell ref="D17:P17"/>
    <mergeCell ref="D29:P29"/>
    <mergeCell ref="D35:P35"/>
    <mergeCell ref="D23:P23"/>
    <mergeCell ref="E32:P32"/>
    <mergeCell ref="D41:P41"/>
    <mergeCell ref="D47:P47"/>
    <mergeCell ref="D51:E51"/>
    <mergeCell ref="D7:P7"/>
    <mergeCell ref="F12:O12"/>
    <mergeCell ref="E2:P2"/>
    <mergeCell ref="M3:P3"/>
    <mergeCell ref="F4:L4"/>
    <mergeCell ref="M4:P4"/>
    <mergeCell ref="F5:L5"/>
    <mergeCell ref="M5:P5"/>
    <mergeCell ref="D11:P1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sheetPr codeName="Sheet10"/>
  <dimension ref="A1:AG73"/>
  <sheetViews>
    <sheetView showGridLines="0" topLeftCell="A19" zoomScaleNormal="100" workbookViewId="0">
      <selection activeCell="D29" sqref="D29:P29"/>
    </sheetView>
  </sheetViews>
  <sheetFormatPr defaultColWidth="9" defaultRowHeight="20.399999999999999" outlineLevelCol="1"/>
  <cols>
    <col min="1" max="1" width="13.69921875" style="337" customWidth="1"/>
    <col min="2" max="2" width="3.59765625" customWidth="1"/>
    <col min="3" max="3" width="3.59765625" style="44" customWidth="1"/>
    <col min="4" max="4" width="40.5" style="102" customWidth="1"/>
    <col min="5" max="5" width="15.69921875" style="102" customWidth="1"/>
    <col min="6" max="8" width="1.59765625" style="102" customWidth="1"/>
    <col min="9" max="11" width="1.59765625" style="434" customWidth="1"/>
    <col min="12" max="15" width="1.59765625" style="102" customWidth="1"/>
    <col min="16" max="16" width="11.5" style="102" customWidth="1"/>
    <col min="17" max="17" width="3.59765625" style="102"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3" width="31.097656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110</v>
      </c>
      <c r="B2" s="334"/>
      <c r="C2" s="332">
        <v>4</v>
      </c>
      <c r="D2" s="331" t="s">
        <v>8</v>
      </c>
      <c r="E2" s="710" t="str">
        <f>R.1MediaAndLongName</f>
        <v>AQ Updates to Oregon's State Implementation Plan</v>
      </c>
      <c r="F2" s="710"/>
      <c r="G2" s="710"/>
      <c r="H2" s="710"/>
      <c r="I2" s="710"/>
      <c r="J2" s="710"/>
      <c r="K2" s="710"/>
      <c r="L2" s="710"/>
      <c r="M2" s="710"/>
      <c r="N2" s="710"/>
      <c r="O2" s="710"/>
      <c r="P2" s="710"/>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7"/>
      <c r="K3" s="13"/>
      <c r="L3" s="13"/>
      <c r="M3" s="689" t="s">
        <v>57</v>
      </c>
      <c r="N3" s="689"/>
      <c r="O3" s="689"/>
      <c r="P3" s="689"/>
      <c r="Q3" s="156"/>
      <c r="R3" s="334"/>
      <c r="S3" s="354">
        <f>COUNTIFS(S9:S37,"&gt;0")</f>
        <v>3</v>
      </c>
      <c r="T3" s="355">
        <f>SUM(T9:T37)</f>
        <v>121</v>
      </c>
      <c r="U3" s="355">
        <f>SUM(U9:U37)</f>
        <v>258</v>
      </c>
      <c r="V3" s="120"/>
      <c r="W3" s="64"/>
      <c r="X3" s="64"/>
      <c r="Y3" s="64"/>
      <c r="Z3" s="64"/>
      <c r="AA3" s="64"/>
      <c r="AB3" s="64"/>
      <c r="AC3" s="64"/>
      <c r="AD3" s="66"/>
      <c r="AE3" s="66"/>
      <c r="AF3" s="66"/>
      <c r="AG3" s="66"/>
    </row>
    <row r="4" spans="1:33" s="6" customFormat="1" ht="20.25" customHeight="1">
      <c r="A4" s="344"/>
      <c r="B4" s="334"/>
      <c r="C4" s="155"/>
      <c r="D4" s="494" t="s">
        <v>55</v>
      </c>
      <c r="E4" s="81">
        <f>S3</f>
        <v>3</v>
      </c>
      <c r="F4" s="690" t="s">
        <v>54</v>
      </c>
      <c r="G4" s="690"/>
      <c r="H4" s="690"/>
      <c r="I4" s="690"/>
      <c r="J4" s="690"/>
      <c r="K4" s="690"/>
      <c r="L4" s="690"/>
      <c r="M4" s="691" t="str">
        <f>S4</f>
        <v>121-258</v>
      </c>
      <c r="N4" s="691"/>
      <c r="O4" s="691"/>
      <c r="P4" s="691"/>
      <c r="Q4" s="156"/>
      <c r="R4" s="334"/>
      <c r="S4" s="122" t="str">
        <f>IF(R.4StaffCount=0,"0",IF(R.4LowHrs=0,"0-"&amp;TEXT(R.4HighHrs,"#,###"),TEXT(R.4LowHrs,"#,###")&amp;"-"&amp;TEXT(R.4HighHrs,"#,###")))</f>
        <v>121-258</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4" t="s">
        <v>56</v>
      </c>
      <c r="E5" s="98">
        <f>R.AvgHrDEQCost</f>
        <v>58</v>
      </c>
      <c r="F5" s="690" t="s">
        <v>58</v>
      </c>
      <c r="G5" s="690"/>
      <c r="H5" s="690"/>
      <c r="I5" s="690"/>
      <c r="J5" s="690"/>
      <c r="K5" s="690"/>
      <c r="L5" s="690"/>
      <c r="M5" s="692" t="str">
        <f>S5</f>
        <v>$7,018-14,964</v>
      </c>
      <c r="N5" s="692"/>
      <c r="O5" s="692"/>
      <c r="P5" s="692"/>
      <c r="Q5" s="156"/>
      <c r="R5" s="334"/>
      <c r="S5" s="123" t="str">
        <f>IF(R.4StaffCount=0,"$0",IF(R.4LowDollars=0,"$0-"&amp;TEXT(R.4HighDollars,"#,###"),TEXT(R.4LowDollars,"$#,###")&amp;"-"&amp;TEXT(R.4HighDollars,"#,###")))</f>
        <v>$7,018-14,964</v>
      </c>
      <c r="T5" s="124">
        <f>T3*E5</f>
        <v>7018</v>
      </c>
      <c r="U5" s="124">
        <f>U3*E5</f>
        <v>14964</v>
      </c>
      <c r="V5" s="120"/>
      <c r="W5" s="64"/>
      <c r="X5" s="64"/>
      <c r="Y5" s="64"/>
      <c r="Z5" s="64"/>
      <c r="AA5" s="64"/>
      <c r="AB5" s="64"/>
      <c r="AC5" s="64"/>
      <c r="AD5" s="66"/>
      <c r="AE5" s="66"/>
      <c r="AF5" s="66"/>
      <c r="AG5" s="66"/>
    </row>
    <row r="6" spans="1:33" s="6" customFormat="1" ht="30" customHeight="1">
      <c r="A6" s="344"/>
      <c r="B6" s="334"/>
      <c r="C6" s="155"/>
      <c r="D6" s="501" t="s">
        <v>66</v>
      </c>
      <c r="E6" s="100"/>
      <c r="F6" s="99"/>
      <c r="G6" s="99"/>
      <c r="H6" s="99"/>
      <c r="I6" s="99"/>
      <c r="J6" s="99"/>
      <c r="K6" s="99"/>
      <c r="L6" s="99"/>
      <c r="M6" s="99"/>
      <c r="N6" s="99"/>
      <c r="O6" s="99"/>
      <c r="P6" s="99"/>
      <c r="Q6" s="156"/>
      <c r="R6" s="334"/>
      <c r="S6" s="452" t="s">
        <v>0</v>
      </c>
      <c r="T6" s="66"/>
      <c r="U6" s="66"/>
      <c r="V6" s="120"/>
      <c r="W6" s="64"/>
      <c r="X6" s="64"/>
      <c r="Y6" s="64"/>
      <c r="Z6" s="64"/>
      <c r="AA6" s="64"/>
      <c r="AB6" s="64"/>
      <c r="AC6" s="64"/>
      <c r="AD6" s="66"/>
      <c r="AE6" s="66"/>
      <c r="AF6" s="66"/>
      <c r="AG6" s="66"/>
    </row>
    <row r="7" spans="1:33" s="69" customFormat="1" ht="15.75" customHeight="1">
      <c r="A7" s="345"/>
      <c r="B7" s="334"/>
      <c r="C7" s="157"/>
      <c r="D7" s="684"/>
      <c r="E7" s="685"/>
      <c r="F7" s="685"/>
      <c r="G7" s="685"/>
      <c r="H7" s="685"/>
      <c r="I7" s="685"/>
      <c r="J7" s="685"/>
      <c r="K7" s="685"/>
      <c r="L7" s="685"/>
      <c r="M7" s="685"/>
      <c r="N7" s="685"/>
      <c r="O7" s="685"/>
      <c r="P7" s="686"/>
      <c r="Q7" s="158"/>
      <c r="R7" s="334"/>
      <c r="S7" s="709" t="s">
        <v>0</v>
      </c>
      <c r="T7" s="709"/>
      <c r="U7" s="709"/>
      <c r="V7" s="126"/>
      <c r="W7" s="126" t="s">
        <v>0</v>
      </c>
      <c r="X7" s="126"/>
      <c r="Y7" s="126"/>
      <c r="Z7" s="126"/>
      <c r="AA7" s="126"/>
      <c r="AB7" s="126"/>
      <c r="AC7" s="126"/>
      <c r="AD7" s="125"/>
      <c r="AE7" s="125"/>
      <c r="AF7" s="125"/>
      <c r="AG7" s="125"/>
    </row>
    <row r="8" spans="1:33" s="69" customFormat="1" ht="13.8">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c r="A9" s="350" t="s">
        <v>111</v>
      </c>
      <c r="B9" s="334"/>
      <c r="C9" s="407"/>
      <c r="D9" s="408" t="s">
        <v>207</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c r="A10" s="344"/>
      <c r="B10" s="334"/>
      <c r="C10" s="407"/>
      <c r="D10" s="502" t="s">
        <v>64</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10"/>
      <c r="D11" s="711" t="s">
        <v>69</v>
      </c>
      <c r="E11" s="712"/>
      <c r="F11" s="712"/>
      <c r="G11" s="712"/>
      <c r="H11" s="712"/>
      <c r="I11" s="712"/>
      <c r="J11" s="712"/>
      <c r="K11" s="712"/>
      <c r="L11" s="712"/>
      <c r="M11" s="712"/>
      <c r="N11" s="712"/>
      <c r="O11" s="712"/>
      <c r="P11" s="713"/>
      <c r="Q11" s="428"/>
      <c r="R11" s="334"/>
      <c r="S11" s="132" t="s">
        <v>0</v>
      </c>
      <c r="T11" s="131"/>
      <c r="U11" s="131"/>
      <c r="V11" s="64"/>
      <c r="W11" s="64"/>
      <c r="X11" s="64"/>
      <c r="Y11" s="64"/>
      <c r="Z11" s="64"/>
      <c r="AA11" s="64"/>
      <c r="AB11" s="64"/>
      <c r="AC11" s="64"/>
      <c r="AD11" s="130"/>
      <c r="AE11" s="130"/>
      <c r="AF11" s="130"/>
      <c r="AG11" s="130"/>
    </row>
    <row r="12" spans="1:33" s="33" customFormat="1" ht="13.8">
      <c r="A12" s="344"/>
      <c r="B12" s="334"/>
      <c r="C12" s="411"/>
      <c r="D12" s="503" t="s">
        <v>60</v>
      </c>
      <c r="E12" s="412" t="s">
        <v>17</v>
      </c>
      <c r="F12" s="412" t="s">
        <v>18</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c r="A13" s="345"/>
      <c r="B13" s="334"/>
      <c r="C13" s="410"/>
      <c r="D13" s="414" t="s">
        <v>596</v>
      </c>
      <c r="E13" s="415" t="s">
        <v>226</v>
      </c>
      <c r="F13" s="416">
        <v>1</v>
      </c>
      <c r="G13" s="417">
        <v>2</v>
      </c>
      <c r="H13" s="418">
        <v>3</v>
      </c>
      <c r="I13" s="74">
        <v>4</v>
      </c>
      <c r="J13" s="75">
        <v>5</v>
      </c>
      <c r="K13" s="76">
        <v>6</v>
      </c>
      <c r="L13" s="419">
        <v>7</v>
      </c>
      <c r="M13" s="420">
        <v>8</v>
      </c>
      <c r="N13" s="421">
        <v>9</v>
      </c>
      <c r="O13" s="422">
        <v>10</v>
      </c>
      <c r="P13" s="111"/>
      <c r="Q13" s="428"/>
      <c r="R13" s="334"/>
      <c r="S13" s="133">
        <f>VLOOKUP($E13,R.VL_DEQResourcesInvolved,2,FALSE)</f>
        <v>1</v>
      </c>
      <c r="T13" s="121">
        <f>VLOOKUP($E13,R.VL_DEQResourcesInvolved,3,FALSE)</f>
        <v>1</v>
      </c>
      <c r="U13" s="121">
        <f>IF(S13=10,T13,VLOOKUP($E13,R.VL_DEQResourcesInvolved,4,FALSE))</f>
        <v>8</v>
      </c>
      <c r="V13" s="575" t="s">
        <v>582</v>
      </c>
      <c r="W13" s="64"/>
      <c r="X13" s="64"/>
      <c r="Y13" s="64"/>
      <c r="Z13" s="64"/>
      <c r="AA13" s="64"/>
      <c r="AB13" s="64"/>
      <c r="AC13" s="64"/>
      <c r="AD13" s="130"/>
      <c r="AE13" s="130"/>
      <c r="AF13" s="130"/>
      <c r="AG13" s="130"/>
    </row>
    <row r="14" spans="1:33" s="28" customFormat="1">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c r="A15" s="350" t="s">
        <v>151</v>
      </c>
      <c r="B15" s="334"/>
      <c r="C15" s="407"/>
      <c r="D15" s="408" t="s">
        <v>122</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c r="A16" s="344"/>
      <c r="B16" s="334"/>
      <c r="C16" s="407"/>
      <c r="D16" s="502" t="s">
        <v>64</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10"/>
      <c r="D17" s="714" t="s">
        <v>178</v>
      </c>
      <c r="E17" s="715"/>
      <c r="F17" s="715"/>
      <c r="G17" s="715"/>
      <c r="H17" s="715"/>
      <c r="I17" s="715"/>
      <c r="J17" s="715"/>
      <c r="K17" s="715"/>
      <c r="L17" s="715"/>
      <c r="M17" s="715"/>
      <c r="N17" s="715"/>
      <c r="O17" s="715"/>
      <c r="P17" s="716"/>
      <c r="Q17" s="428"/>
      <c r="R17" s="334"/>
      <c r="S17" s="132" t="s">
        <v>0</v>
      </c>
      <c r="T17" s="131"/>
      <c r="U17" s="131"/>
      <c r="V17" s="64"/>
      <c r="W17" s="64"/>
      <c r="X17" s="64"/>
      <c r="Y17" s="64"/>
      <c r="Z17" s="64"/>
      <c r="AA17" s="64"/>
      <c r="AB17" s="64"/>
      <c r="AC17" s="64"/>
      <c r="AD17" s="130"/>
      <c r="AE17" s="130"/>
      <c r="AF17" s="130"/>
      <c r="AG17" s="130"/>
    </row>
    <row r="18" spans="1:33" s="33" customFormat="1" ht="13.8">
      <c r="A18" s="344"/>
      <c r="B18" s="334"/>
      <c r="C18" s="411"/>
      <c r="D18" s="503" t="s">
        <v>60</v>
      </c>
      <c r="E18" s="412" t="s">
        <v>17</v>
      </c>
      <c r="F18" s="412" t="s">
        <v>18</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c r="A19" s="345"/>
      <c r="B19" s="334"/>
      <c r="C19" s="410"/>
      <c r="D19" s="414" t="s">
        <v>1</v>
      </c>
      <c r="E19" s="415" t="s">
        <v>229</v>
      </c>
      <c r="F19" s="416">
        <v>1</v>
      </c>
      <c r="G19" s="417">
        <v>2</v>
      </c>
      <c r="H19" s="418">
        <v>3</v>
      </c>
      <c r="I19" s="74">
        <v>4</v>
      </c>
      <c r="J19" s="75">
        <v>5</v>
      </c>
      <c r="K19" s="76">
        <v>6</v>
      </c>
      <c r="L19" s="419">
        <v>7</v>
      </c>
      <c r="M19" s="420">
        <v>8</v>
      </c>
      <c r="N19" s="421">
        <v>9</v>
      </c>
      <c r="O19" s="422">
        <v>10</v>
      </c>
      <c r="P19" s="111"/>
      <c r="Q19" s="428"/>
      <c r="R19" s="334"/>
      <c r="S19" s="133">
        <f>VLOOKUP($E19,R.VL_DEQResourcesInvolved,2,FALSE)</f>
        <v>4</v>
      </c>
      <c r="T19" s="121">
        <f>VLOOKUP($E19,R.VL_DEQResourcesInvolved,3,FALSE)</f>
        <v>80</v>
      </c>
      <c r="U19" s="121">
        <f>IF(S19=10,T19,VLOOKUP($E19,R.VL_DEQResourcesInvolved,4,FALSE))</f>
        <v>170</v>
      </c>
      <c r="V19" s="575" t="s">
        <v>582</v>
      </c>
      <c r="W19" s="64"/>
      <c r="X19" s="64"/>
      <c r="Y19" s="64"/>
      <c r="Z19" s="64"/>
      <c r="AA19" s="64"/>
      <c r="AB19" s="64"/>
      <c r="AC19" s="64"/>
      <c r="AD19" s="130"/>
      <c r="AE19" s="130"/>
      <c r="AF19" s="130"/>
      <c r="AG19" s="130"/>
    </row>
    <row r="20" spans="1:33" s="28" customFormat="1" ht="15.75" customHeight="1">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c r="A21" s="350" t="s">
        <v>107</v>
      </c>
      <c r="B21" s="334"/>
      <c r="C21" s="407"/>
      <c r="D21" s="408" t="s">
        <v>123</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c r="A22" s="344"/>
      <c r="B22" s="334"/>
      <c r="C22" s="407"/>
      <c r="D22" s="502" t="s">
        <v>64</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10"/>
      <c r="D23" s="711" t="s">
        <v>196</v>
      </c>
      <c r="E23" s="712"/>
      <c r="F23" s="712"/>
      <c r="G23" s="712"/>
      <c r="H23" s="712"/>
      <c r="I23" s="712"/>
      <c r="J23" s="712"/>
      <c r="K23" s="712"/>
      <c r="L23" s="712"/>
      <c r="M23" s="712"/>
      <c r="N23" s="712"/>
      <c r="O23" s="712"/>
      <c r="P23" s="713"/>
      <c r="Q23" s="428"/>
      <c r="R23" s="334"/>
      <c r="S23" s="132" t="s">
        <v>0</v>
      </c>
      <c r="T23" s="131"/>
      <c r="U23" s="131"/>
      <c r="V23" s="64"/>
      <c r="W23" s="64"/>
      <c r="X23" s="64"/>
      <c r="Y23" s="64"/>
      <c r="Z23" s="64"/>
      <c r="AA23" s="64"/>
      <c r="AB23" s="64"/>
      <c r="AC23" s="64"/>
      <c r="AD23" s="130"/>
      <c r="AE23" s="130"/>
      <c r="AF23" s="130"/>
      <c r="AG23" s="130"/>
    </row>
    <row r="24" spans="1:33" s="33" customFormat="1" ht="13.8">
      <c r="A24" s="344"/>
      <c r="B24" s="334"/>
      <c r="C24" s="411"/>
      <c r="D24" s="503" t="s">
        <v>60</v>
      </c>
      <c r="E24" s="412" t="s">
        <v>17</v>
      </c>
      <c r="F24" s="412" t="s">
        <v>18</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10"/>
      <c r="D25" s="414" t="s">
        <v>595</v>
      </c>
      <c r="E25" s="415" t="s">
        <v>228</v>
      </c>
      <c r="F25" s="416">
        <v>1</v>
      </c>
      <c r="G25" s="417">
        <v>2</v>
      </c>
      <c r="H25" s="418">
        <v>3</v>
      </c>
      <c r="I25" s="74">
        <v>4</v>
      </c>
      <c r="J25" s="75">
        <v>5</v>
      </c>
      <c r="K25" s="76">
        <v>6</v>
      </c>
      <c r="L25" s="419">
        <v>7</v>
      </c>
      <c r="M25" s="420">
        <v>8</v>
      </c>
      <c r="N25" s="421">
        <v>9</v>
      </c>
      <c r="O25" s="422">
        <v>10</v>
      </c>
      <c r="P25" s="111"/>
      <c r="Q25" s="428"/>
      <c r="R25" s="334"/>
      <c r="S25" s="135">
        <f>VLOOKUP($E25,R.VL_DEQResourcesInvolved,2,FALSE)</f>
        <v>3</v>
      </c>
      <c r="T25" s="121">
        <f>VLOOKUP($E25,R.VL_DEQResourcesInvolved,3,FALSE)</f>
        <v>40</v>
      </c>
      <c r="U25" s="121">
        <f>IF(S25=10,T25,VLOOKUP($E25,R.VL_DEQResourcesInvolved,4,FALSE))</f>
        <v>80</v>
      </c>
      <c r="V25" s="575" t="s">
        <v>582</v>
      </c>
      <c r="W25" s="64"/>
      <c r="X25" s="64"/>
      <c r="Y25" s="64"/>
      <c r="Z25" s="64"/>
      <c r="AA25" s="64"/>
      <c r="AB25" s="64"/>
      <c r="AC25" s="64"/>
      <c r="AD25" s="130"/>
      <c r="AE25" s="130"/>
      <c r="AF25" s="130"/>
      <c r="AG25" s="130"/>
    </row>
    <row r="26" spans="1:33" s="28" customFormat="1">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7"/>
      <c r="D27" s="522" t="s">
        <v>205</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7"/>
      <c r="D28" s="502" t="s">
        <v>64</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10"/>
      <c r="D29" s="711" t="s">
        <v>0</v>
      </c>
      <c r="E29" s="712"/>
      <c r="F29" s="712"/>
      <c r="G29" s="712"/>
      <c r="H29" s="712"/>
      <c r="I29" s="712"/>
      <c r="J29" s="712"/>
      <c r="K29" s="712"/>
      <c r="L29" s="712"/>
      <c r="M29" s="712"/>
      <c r="N29" s="712"/>
      <c r="O29" s="712"/>
      <c r="P29" s="713"/>
      <c r="Q29" s="428"/>
      <c r="R29" s="334"/>
      <c r="S29" s="132" t="s">
        <v>0</v>
      </c>
      <c r="T29" s="131"/>
      <c r="U29" s="131"/>
      <c r="V29" s="64"/>
      <c r="W29" s="64"/>
      <c r="X29" s="64"/>
      <c r="Y29" s="64"/>
      <c r="Z29" s="64"/>
      <c r="AA29" s="64"/>
      <c r="AB29" s="64"/>
      <c r="AC29" s="64"/>
      <c r="AD29" s="130"/>
      <c r="AE29" s="130"/>
      <c r="AF29" s="130"/>
      <c r="AG29" s="130"/>
    </row>
    <row r="30" spans="1:33" s="33" customFormat="1" ht="13.8">
      <c r="A30" s="344"/>
      <c r="B30" s="334"/>
      <c r="C30" s="411"/>
      <c r="D30" s="503" t="s">
        <v>60</v>
      </c>
      <c r="E30" s="412" t="s">
        <v>17</v>
      </c>
      <c r="F30" s="412" t="s">
        <v>18</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10"/>
      <c r="D31" s="562" t="s">
        <v>219</v>
      </c>
      <c r="E31" s="415" t="s">
        <v>224</v>
      </c>
      <c r="F31" s="416">
        <v>1</v>
      </c>
      <c r="G31" s="417">
        <v>2</v>
      </c>
      <c r="H31" s="418">
        <v>3</v>
      </c>
      <c r="I31" s="74">
        <v>4</v>
      </c>
      <c r="J31" s="75">
        <v>5</v>
      </c>
      <c r="K31" s="76">
        <v>6</v>
      </c>
      <c r="L31" s="419">
        <v>7</v>
      </c>
      <c r="M31" s="420">
        <v>8</v>
      </c>
      <c r="N31" s="421">
        <v>9</v>
      </c>
      <c r="O31" s="422">
        <v>10</v>
      </c>
      <c r="P31" s="111"/>
      <c r="Q31" s="428"/>
      <c r="R31" s="334"/>
      <c r="S31" s="135">
        <f>VLOOKUP($E31,R.VL_DEQResourcesInvolved,2,FALSE)</f>
        <v>0</v>
      </c>
      <c r="T31" s="121">
        <f>VLOOKUP($E31,R.VL_DEQResourcesInvolved,3,FALSE)</f>
        <v>0</v>
      </c>
      <c r="U31" s="121">
        <f>IF(S31=10,T31,VLOOKUP($E31,R.VL_DEQResourcesInvolved,4,FALSE))</f>
        <v>0</v>
      </c>
      <c r="V31" s="575" t="s">
        <v>582</v>
      </c>
      <c r="W31" s="64"/>
      <c r="X31" s="64"/>
      <c r="Y31" s="64"/>
      <c r="Z31" s="64"/>
      <c r="AA31" s="64"/>
      <c r="AB31" s="64"/>
      <c r="AC31" s="64"/>
      <c r="AD31" s="130"/>
      <c r="AE31" s="130"/>
      <c r="AF31" s="130"/>
      <c r="AG31" s="130"/>
    </row>
    <row r="32" spans="1:33" s="28" customFormat="1" ht="14.25" customHeight="1">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7"/>
      <c r="D33" s="522" t="s">
        <v>206</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7"/>
      <c r="D34" s="502" t="s">
        <v>64</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10"/>
      <c r="D35" s="711" t="s">
        <v>0</v>
      </c>
      <c r="E35" s="712"/>
      <c r="F35" s="712"/>
      <c r="G35" s="712"/>
      <c r="H35" s="712"/>
      <c r="I35" s="712"/>
      <c r="J35" s="712"/>
      <c r="K35" s="712"/>
      <c r="L35" s="712"/>
      <c r="M35" s="712"/>
      <c r="N35" s="712"/>
      <c r="O35" s="712"/>
      <c r="P35" s="713"/>
      <c r="Q35" s="428"/>
      <c r="R35" s="334"/>
      <c r="S35" s="132" t="s">
        <v>0</v>
      </c>
      <c r="T35" s="131"/>
      <c r="U35" s="131"/>
      <c r="V35" s="64"/>
      <c r="W35" s="64"/>
      <c r="X35" s="64"/>
      <c r="Y35" s="64"/>
      <c r="Z35" s="64"/>
      <c r="AA35" s="64"/>
      <c r="AB35" s="64"/>
      <c r="AC35" s="64"/>
      <c r="AD35" s="130"/>
      <c r="AE35" s="130"/>
      <c r="AF35" s="130"/>
      <c r="AG35" s="130"/>
    </row>
    <row r="36" spans="1:33" s="33" customFormat="1" ht="13.8">
      <c r="A36" s="344"/>
      <c r="B36" s="334"/>
      <c r="C36" s="411"/>
      <c r="D36" s="503" t="s">
        <v>60</v>
      </c>
      <c r="E36" s="412" t="s">
        <v>17</v>
      </c>
      <c r="F36" s="412" t="s">
        <v>18</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10"/>
      <c r="D37" s="562" t="s">
        <v>425</v>
      </c>
      <c r="E37" s="415" t="s">
        <v>224</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75" t="s">
        <v>582</v>
      </c>
      <c r="W37" s="64"/>
      <c r="X37" s="64"/>
      <c r="Y37" s="64"/>
      <c r="Z37" s="64"/>
      <c r="AA37" s="64"/>
      <c r="AB37" s="64"/>
      <c r="AC37" s="64"/>
      <c r="AD37" s="130"/>
      <c r="AE37" s="130"/>
      <c r="AF37" s="130"/>
      <c r="AG37" s="130"/>
    </row>
    <row r="38" spans="1:33" s="28" customFormat="1" ht="14.25" customHeight="1">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53" t="str">
        <f>"Please suggest process improvements to the "&amp;D2&amp;" worksheet."</f>
        <v>Please suggest process improvements to the Advisors worksheet.</v>
      </c>
      <c r="E39" s="653"/>
      <c r="F39" s="456"/>
      <c r="G39" s="457"/>
      <c r="H39" s="458"/>
      <c r="I39" s="453"/>
      <c r="J39" s="454"/>
      <c r="K39" s="455"/>
      <c r="L39" s="459"/>
      <c r="M39" s="460"/>
      <c r="N39" s="461"/>
      <c r="O39" s="462"/>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50"/>
      <c r="E40" s="651"/>
      <c r="F40" s="651"/>
      <c r="G40" s="651"/>
      <c r="H40" s="651"/>
      <c r="I40" s="651"/>
      <c r="J40" s="651"/>
      <c r="K40" s="651"/>
      <c r="L40" s="651"/>
      <c r="M40" s="651"/>
      <c r="N40" s="651"/>
      <c r="O40" s="651"/>
      <c r="P40" s="652"/>
      <c r="Q40" s="148"/>
      <c r="R40" s="334"/>
      <c r="S40" s="132"/>
      <c r="T40" s="131"/>
      <c r="U40" s="131"/>
      <c r="V40" s="64"/>
      <c r="W40" s="64"/>
      <c r="X40" s="64"/>
      <c r="Y40" s="64"/>
      <c r="Z40" s="64"/>
      <c r="AA40" s="64"/>
      <c r="AB40" s="64"/>
      <c r="AC40" s="64"/>
      <c r="AD40" s="66"/>
      <c r="AE40" s="66"/>
      <c r="AF40" s="66"/>
      <c r="AG40" s="66"/>
    </row>
    <row r="41" spans="1:33" ht="18" customHeight="1">
      <c r="A41" s="350" t="s">
        <v>108</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4"/>
      <c r="J43" s="434"/>
      <c r="K43" s="434"/>
      <c r="S43" s="113"/>
    </row>
    <row r="44" spans="1:33" s="64" customFormat="1" ht="60" customHeight="1">
      <c r="A44" s="337"/>
      <c r="C44" s="112"/>
      <c r="I44" s="434"/>
      <c r="J44" s="434"/>
      <c r="K44" s="434"/>
      <c r="S44" s="113"/>
    </row>
    <row r="45" spans="1:33" s="64" customFormat="1" ht="60" customHeight="1">
      <c r="A45" s="337"/>
      <c r="C45" s="112"/>
      <c r="I45" s="434"/>
      <c r="J45" s="434"/>
      <c r="K45" s="434"/>
      <c r="S45" s="113"/>
    </row>
    <row r="46" spans="1:33" s="64" customFormat="1" ht="60" customHeight="1">
      <c r="A46" s="337"/>
      <c r="C46" s="112"/>
      <c r="I46" s="434"/>
      <c r="J46" s="434"/>
      <c r="K46" s="434"/>
      <c r="S46" s="113"/>
    </row>
    <row r="47" spans="1:33" s="64" customFormat="1" ht="60" customHeight="1">
      <c r="A47" s="337"/>
      <c r="C47" s="112"/>
      <c r="I47" s="434"/>
      <c r="J47" s="434"/>
      <c r="K47" s="434"/>
      <c r="S47" s="113"/>
    </row>
    <row r="48" spans="1:33" s="64" customFormat="1" ht="60" customHeight="1">
      <c r="A48" s="337"/>
      <c r="C48" s="112"/>
      <c r="I48" s="434"/>
      <c r="J48" s="434"/>
      <c r="K48" s="434"/>
      <c r="S48" s="113"/>
    </row>
    <row r="49" spans="1:19" s="64" customFormat="1" ht="60" customHeight="1">
      <c r="A49" s="337"/>
      <c r="C49" s="112"/>
      <c r="I49" s="434"/>
      <c r="J49" s="434"/>
      <c r="K49" s="434"/>
      <c r="S49" s="113"/>
    </row>
    <row r="50" spans="1:19" s="64" customFormat="1" ht="60" customHeight="1">
      <c r="A50" s="337"/>
      <c r="C50" s="112"/>
      <c r="I50" s="434"/>
      <c r="J50" s="434"/>
      <c r="K50" s="434"/>
      <c r="S50" s="113"/>
    </row>
    <row r="51" spans="1:19" s="64" customFormat="1" ht="60" customHeight="1">
      <c r="A51" s="337"/>
      <c r="C51" s="112"/>
      <c r="I51" s="434"/>
      <c r="J51" s="434"/>
      <c r="K51" s="434"/>
      <c r="S51" s="113"/>
    </row>
    <row r="52" spans="1:19" s="64" customFormat="1" ht="60" customHeight="1">
      <c r="A52" s="337"/>
      <c r="C52" s="112"/>
      <c r="I52" s="434"/>
      <c r="J52" s="434"/>
      <c r="K52" s="434"/>
      <c r="S52" s="113"/>
    </row>
    <row r="53" spans="1:19" s="64" customFormat="1" ht="60" customHeight="1">
      <c r="A53" s="337"/>
      <c r="C53" s="112"/>
      <c r="I53" s="434"/>
      <c r="J53" s="434"/>
      <c r="K53" s="434"/>
      <c r="S53" s="113"/>
    </row>
    <row r="54" spans="1:19" s="64" customFormat="1" ht="60" customHeight="1">
      <c r="A54" s="337"/>
      <c r="C54" s="112"/>
      <c r="I54" s="434"/>
      <c r="J54" s="434"/>
      <c r="K54" s="434"/>
      <c r="S54" s="113"/>
    </row>
    <row r="55" spans="1:19" s="64" customFormat="1" ht="60" customHeight="1">
      <c r="A55" s="337"/>
      <c r="C55" s="112"/>
      <c r="I55" s="434"/>
      <c r="J55" s="434"/>
      <c r="K55" s="434"/>
      <c r="S55" s="113"/>
    </row>
    <row r="56" spans="1:19" s="64" customFormat="1" ht="60" customHeight="1">
      <c r="A56" s="337"/>
      <c r="C56" s="112"/>
      <c r="I56" s="434"/>
      <c r="J56" s="434"/>
      <c r="K56" s="434"/>
      <c r="S56" s="113"/>
    </row>
    <row r="57" spans="1:19" s="64" customFormat="1" ht="60" customHeight="1">
      <c r="A57" s="337"/>
      <c r="C57" s="112"/>
      <c r="I57" s="434"/>
      <c r="J57" s="434"/>
      <c r="K57" s="434"/>
      <c r="S57" s="113"/>
    </row>
    <row r="58" spans="1:19" s="64" customFormat="1" ht="60" customHeight="1">
      <c r="A58" s="337"/>
      <c r="C58" s="112"/>
      <c r="I58" s="434"/>
      <c r="J58" s="434"/>
      <c r="K58" s="434"/>
      <c r="S58" s="113"/>
    </row>
    <row r="59" spans="1:19" s="64" customFormat="1" ht="60" customHeight="1">
      <c r="A59" s="337"/>
      <c r="C59" s="112"/>
      <c r="I59" s="434"/>
      <c r="J59" s="434"/>
      <c r="K59" s="434"/>
      <c r="S59" s="113"/>
    </row>
    <row r="60" spans="1:19" s="64" customFormat="1" ht="60" customHeight="1">
      <c r="A60" s="337"/>
      <c r="C60" s="112"/>
      <c r="I60" s="434"/>
      <c r="J60" s="434"/>
      <c r="K60" s="434"/>
      <c r="S60" s="113"/>
    </row>
    <row r="61" spans="1:19" s="64" customFormat="1" ht="60" customHeight="1">
      <c r="A61" s="337"/>
      <c r="C61" s="112"/>
      <c r="I61" s="434"/>
      <c r="J61" s="434"/>
      <c r="K61" s="434"/>
      <c r="S61" s="113"/>
    </row>
    <row r="62" spans="1:19" s="64" customFormat="1" ht="60" customHeight="1">
      <c r="A62" s="337"/>
      <c r="C62" s="112"/>
      <c r="I62" s="434"/>
      <c r="J62" s="434"/>
      <c r="K62" s="434"/>
      <c r="S62" s="113"/>
    </row>
    <row r="63" spans="1:19" s="64" customFormat="1" ht="60" customHeight="1">
      <c r="A63" s="337"/>
      <c r="C63" s="112"/>
      <c r="I63" s="434"/>
      <c r="J63" s="434"/>
      <c r="K63" s="434"/>
      <c r="S63" s="113"/>
    </row>
    <row r="64" spans="1:19" s="64" customFormat="1" ht="60" customHeight="1">
      <c r="A64" s="337"/>
      <c r="C64" s="112"/>
      <c r="I64" s="434"/>
      <c r="J64" s="434"/>
      <c r="K64" s="434"/>
      <c r="S64" s="113"/>
    </row>
    <row r="65" spans="1:19" s="64" customFormat="1" ht="60" customHeight="1">
      <c r="A65" s="337"/>
      <c r="C65" s="112"/>
      <c r="I65" s="434"/>
      <c r="J65" s="434"/>
      <c r="K65" s="434"/>
      <c r="S65" s="113"/>
    </row>
    <row r="66" spans="1:19" s="64" customFormat="1" ht="60" customHeight="1">
      <c r="A66" s="337"/>
      <c r="C66" s="112"/>
      <c r="I66" s="434"/>
      <c r="J66" s="434"/>
      <c r="K66" s="434"/>
      <c r="S66" s="113"/>
    </row>
    <row r="67" spans="1:19" s="64" customFormat="1" ht="60" customHeight="1">
      <c r="A67" s="337"/>
      <c r="C67" s="112"/>
      <c r="I67" s="434"/>
      <c r="J67" s="434"/>
      <c r="K67" s="434"/>
      <c r="S67" s="113"/>
    </row>
    <row r="68" spans="1:19" s="64" customFormat="1" ht="60" customHeight="1">
      <c r="A68" s="337"/>
      <c r="C68" s="112"/>
      <c r="I68" s="434"/>
      <c r="J68" s="434"/>
      <c r="K68" s="434"/>
      <c r="S68" s="113"/>
    </row>
    <row r="69" spans="1:19" s="64" customFormat="1" ht="60" customHeight="1">
      <c r="A69" s="337"/>
      <c r="C69" s="112"/>
      <c r="I69" s="434"/>
      <c r="J69" s="434"/>
      <c r="K69" s="434"/>
      <c r="S69" s="113"/>
    </row>
    <row r="70" spans="1:19" s="64" customFormat="1" ht="60" customHeight="1">
      <c r="A70" s="337"/>
      <c r="C70" s="112"/>
      <c r="I70" s="434"/>
      <c r="J70" s="434"/>
      <c r="K70" s="434"/>
      <c r="S70" s="113"/>
    </row>
    <row r="71" spans="1:19" s="64" customFormat="1" ht="60" customHeight="1">
      <c r="A71" s="337"/>
      <c r="C71" s="112"/>
      <c r="I71" s="434"/>
      <c r="J71" s="434"/>
      <c r="K71" s="434"/>
      <c r="S71" s="113"/>
    </row>
    <row r="72" spans="1:19" s="64" customFormat="1">
      <c r="A72" s="337"/>
      <c r="C72" s="112"/>
      <c r="I72" s="434"/>
      <c r="J72" s="434"/>
      <c r="K72" s="434"/>
      <c r="S72" s="113"/>
    </row>
    <row r="73" spans="1:19" s="64" customFormat="1">
      <c r="A73" s="337"/>
      <c r="C73" s="112"/>
      <c r="I73" s="434"/>
      <c r="J73" s="434"/>
      <c r="K73" s="434"/>
      <c r="S73" s="113"/>
    </row>
  </sheetData>
  <sheetProtection sheet="1" scenarios="1" formatCells="0" formatRows="0" insertHyperlinks="0"/>
  <mergeCells count="15">
    <mergeCell ref="D11:P11"/>
    <mergeCell ref="D17:P17"/>
    <mergeCell ref="D23:P23"/>
    <mergeCell ref="D40:P40"/>
    <mergeCell ref="D35:P35"/>
    <mergeCell ref="D29:P29"/>
    <mergeCell ref="D39:E39"/>
    <mergeCell ref="D7:P7"/>
    <mergeCell ref="S7:U7"/>
    <mergeCell ref="E2:P2"/>
    <mergeCell ref="M3:P3"/>
    <mergeCell ref="F4:L4"/>
    <mergeCell ref="M4:P4"/>
    <mergeCell ref="F5:L5"/>
    <mergeCell ref="M5:P5"/>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sheetPr codeName="Sheet11"/>
  <dimension ref="A1:AI63"/>
  <sheetViews>
    <sheetView showGridLines="0" topLeftCell="A7" zoomScaleNormal="100" workbookViewId="0">
      <selection activeCell="P26" sqref="P26"/>
    </sheetView>
  </sheetViews>
  <sheetFormatPr defaultColWidth="9" defaultRowHeight="20.399999999999999" outlineLevelRow="1" outlineLevelCol="1"/>
  <cols>
    <col min="1" max="1" width="13.5" style="337" customWidth="1"/>
    <col min="2" max="2" width="2.69921875" customWidth="1"/>
    <col min="3" max="3" width="2.59765625" style="44" customWidth="1"/>
    <col min="4" max="4" width="38.09765625" style="102" customWidth="1"/>
    <col min="5" max="5" width="25.59765625" style="102" customWidth="1"/>
    <col min="6" max="15" width="1.59765625" style="102" customWidth="1"/>
    <col min="16" max="16" width="15.69921875" style="102" customWidth="1"/>
    <col min="17" max="17" width="2.69921875" style="102" customWidth="1"/>
    <col min="18" max="18" width="2.59765625" style="64" customWidth="1"/>
    <col min="19" max="19" width="9" style="113" hidden="1" customWidth="1" outlineLevel="1"/>
    <col min="20" max="20" width="14.8984375" style="64" hidden="1" customWidth="1" outlineLevel="1"/>
    <col min="21" max="21" width="14.59765625" style="64" hidden="1" customWidth="1" outlineLevel="1"/>
    <col min="22" max="22" width="6.69921875" style="436" hidden="1" customWidth="1" outlineLevel="1"/>
    <col min="23" max="23" width="6.8984375" style="436" hidden="1" customWidth="1" outlineLevel="1"/>
    <col min="24" max="24" width="30.59765625" style="64" customWidth="1" collapsed="1"/>
    <col min="25" max="25" width="16.5" style="64" customWidth="1"/>
    <col min="26" max="26" width="18" style="64" customWidth="1"/>
    <col min="27" max="35" width="31.097656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c r="A2" s="336"/>
      <c r="B2" s="334"/>
      <c r="C2" s="332">
        <v>5</v>
      </c>
      <c r="D2" s="331" t="s">
        <v>235</v>
      </c>
      <c r="E2" s="710" t="str">
        <f>R.1MediaAndLongName</f>
        <v>AQ Updates to Oregon's State Implementation Plan</v>
      </c>
      <c r="F2" s="710"/>
      <c r="G2" s="710"/>
      <c r="H2" s="710"/>
      <c r="I2" s="710"/>
      <c r="J2" s="710"/>
      <c r="K2" s="710"/>
      <c r="L2" s="710"/>
      <c r="M2" s="710"/>
      <c r="N2" s="710"/>
      <c r="O2" s="710"/>
      <c r="P2" s="710"/>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689" t="s">
        <v>57</v>
      </c>
      <c r="N3" s="689"/>
      <c r="O3" s="689"/>
      <c r="P3" s="689"/>
      <c r="Q3" s="240"/>
      <c r="R3" s="334"/>
      <c r="S3" s="354">
        <f>COUNTIFS(S9:S27,"&gt;0")</f>
        <v>1</v>
      </c>
      <c r="T3" s="355">
        <f>SUM(T9:T27)</f>
        <v>1</v>
      </c>
      <c r="U3" s="355">
        <f>SUM(U9:U27)</f>
        <v>8</v>
      </c>
      <c r="V3" s="498"/>
      <c r="W3" s="498"/>
      <c r="X3" s="241"/>
      <c r="Y3" s="236"/>
      <c r="Z3" s="236"/>
      <c r="AA3" s="236"/>
      <c r="AB3" s="236"/>
      <c r="AC3" s="236"/>
      <c r="AD3" s="236"/>
      <c r="AE3" s="236"/>
      <c r="AF3" s="65"/>
      <c r="AG3" s="65"/>
      <c r="AH3" s="65"/>
      <c r="AI3" s="65"/>
    </row>
    <row r="4" spans="1:35" s="29" customFormat="1" ht="20.25" customHeight="1">
      <c r="A4" s="344"/>
      <c r="B4" s="334"/>
      <c r="C4" s="237"/>
      <c r="D4" s="494" t="s">
        <v>55</v>
      </c>
      <c r="E4" s="81">
        <f>S3</f>
        <v>1</v>
      </c>
      <c r="F4" s="690" t="s">
        <v>54</v>
      </c>
      <c r="G4" s="690"/>
      <c r="H4" s="690"/>
      <c r="I4" s="690"/>
      <c r="J4" s="690"/>
      <c r="K4" s="690"/>
      <c r="L4" s="690"/>
      <c r="M4" s="691" t="str">
        <f>S4</f>
        <v>1-8</v>
      </c>
      <c r="N4" s="691"/>
      <c r="O4" s="691"/>
      <c r="P4" s="691"/>
      <c r="Q4" s="240"/>
      <c r="R4" s="334"/>
      <c r="S4" s="122" t="str">
        <f>IF(R.5StaffCount=0,"0",IF(R.5LowHrs=0,"0-"&amp;TEXT(R.5HighHrs,"#,###"),TEXT(R.5LowHrs,"#,###")&amp;"-"&amp;TEXT(R.5HighHrs,"#,###")))</f>
        <v>1-8</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4" t="s">
        <v>56</v>
      </c>
      <c r="E5" s="98">
        <v>58</v>
      </c>
      <c r="F5" s="690" t="s">
        <v>58</v>
      </c>
      <c r="G5" s="690"/>
      <c r="H5" s="690"/>
      <c r="I5" s="690"/>
      <c r="J5" s="690"/>
      <c r="K5" s="690"/>
      <c r="L5" s="690"/>
      <c r="M5" s="692" t="str">
        <f>S5</f>
        <v>$58-464</v>
      </c>
      <c r="N5" s="692"/>
      <c r="O5" s="692"/>
      <c r="P5" s="692"/>
      <c r="Q5" s="240"/>
      <c r="R5" s="334"/>
      <c r="S5" s="353" t="str">
        <f>IF(R.5StaffCount=0,"$0",IF(R.5LowDollars=0,"$0-"&amp;TEXT(R.5HighDollars,"#,###"),TEXT(R.5LowDollars,"$#,###")&amp;"-"&amp;TEXT(R.5HighDollars,"#,###")))</f>
        <v>$58-464</v>
      </c>
      <c r="T5" s="352">
        <f>T3*E5</f>
        <v>58</v>
      </c>
      <c r="U5" s="352">
        <f>U3*E5</f>
        <v>464</v>
      </c>
      <c r="V5" s="510"/>
      <c r="W5" s="510"/>
      <c r="X5" s="241"/>
      <c r="Y5" s="236"/>
      <c r="Z5" s="236"/>
      <c r="AA5" s="236"/>
      <c r="AB5" s="236"/>
      <c r="AC5" s="236"/>
      <c r="AD5" s="236"/>
      <c r="AE5" s="236"/>
      <c r="AF5" s="65"/>
      <c r="AG5" s="65"/>
      <c r="AH5" s="65"/>
      <c r="AI5" s="65"/>
    </row>
    <row r="6" spans="1:35" s="6" customFormat="1" ht="30" customHeight="1">
      <c r="A6" s="344"/>
      <c r="B6" s="334"/>
      <c r="C6" s="155"/>
      <c r="D6" s="447" t="s">
        <v>66</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684"/>
      <c r="E7" s="685"/>
      <c r="F7" s="685"/>
      <c r="G7" s="685"/>
      <c r="H7" s="685"/>
      <c r="I7" s="685"/>
      <c r="J7" s="685"/>
      <c r="K7" s="685"/>
      <c r="L7" s="685"/>
      <c r="M7" s="685"/>
      <c r="N7" s="685"/>
      <c r="O7" s="685"/>
      <c r="P7" s="686"/>
      <c r="Q7" s="158"/>
      <c r="R7" s="334"/>
      <c r="S7" s="709" t="s">
        <v>0</v>
      </c>
      <c r="T7" s="709"/>
      <c r="U7" s="709"/>
      <c r="V7" s="466"/>
      <c r="W7" s="466"/>
      <c r="X7" s="126"/>
      <c r="Y7" s="126" t="s">
        <v>0</v>
      </c>
      <c r="Z7" s="126"/>
      <c r="AA7" s="126"/>
      <c r="AB7" s="126"/>
      <c r="AC7" s="126"/>
      <c r="AD7" s="126"/>
      <c r="AE7" s="126"/>
      <c r="AF7" s="125"/>
      <c r="AG7" s="125"/>
      <c r="AH7" s="125"/>
      <c r="AI7" s="125"/>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107</v>
      </c>
      <c r="B9" s="334"/>
      <c r="C9" s="136"/>
      <c r="D9" s="304" t="s">
        <v>124</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3" t="s">
        <v>181</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17"/>
      <c r="E11" s="718"/>
      <c r="F11" s="718"/>
      <c r="G11" s="718"/>
      <c r="H11" s="718"/>
      <c r="I11" s="718"/>
      <c r="J11" s="718"/>
      <c r="K11" s="718"/>
      <c r="L11" s="718"/>
      <c r="M11" s="718"/>
      <c r="N11" s="718"/>
      <c r="O11" s="718"/>
      <c r="P11" s="719"/>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2" t="s">
        <v>60</v>
      </c>
      <c r="E12" s="292" t="s">
        <v>17</v>
      </c>
      <c r="F12" s="292" t="s">
        <v>18</v>
      </c>
      <c r="G12" s="292"/>
      <c r="H12" s="292"/>
      <c r="I12" s="292"/>
      <c r="J12" s="292"/>
      <c r="K12" s="292"/>
      <c r="L12" s="292"/>
      <c r="M12" s="292"/>
      <c r="N12" s="292"/>
      <c r="O12" s="292"/>
      <c r="P12" s="509" t="s">
        <v>70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24" t="s">
        <v>184</v>
      </c>
      <c r="E13" s="30" t="s">
        <v>224</v>
      </c>
      <c r="F13" s="71">
        <v>1</v>
      </c>
      <c r="G13" s="72">
        <v>2</v>
      </c>
      <c r="H13" s="73">
        <v>3</v>
      </c>
      <c r="I13" s="74">
        <v>4</v>
      </c>
      <c r="J13" s="75">
        <v>5</v>
      </c>
      <c r="K13" s="76">
        <v>6</v>
      </c>
      <c r="L13" s="77">
        <v>7</v>
      </c>
      <c r="M13" s="78">
        <v>8</v>
      </c>
      <c r="N13" s="79">
        <v>9</v>
      </c>
      <c r="O13" s="80">
        <v>10</v>
      </c>
      <c r="P13" s="507"/>
      <c r="Q13" s="139"/>
      <c r="R13" s="334"/>
      <c r="S13" s="133">
        <f t="shared" ref="S13:S18" si="0">VLOOKUP($E13,R.VL_DEQResourcesInvolved,2,FALSE)</f>
        <v>0</v>
      </c>
      <c r="T13" s="121">
        <f t="shared" ref="T13:T18" si="1">VLOOKUP($E13,R.VL_DEQResourcesInvolved,3,FALSE)</f>
        <v>0</v>
      </c>
      <c r="U13" s="121">
        <f t="shared" ref="U13:U18" si="2">IF(S13=10,T13,VLOOKUP($E13,R.VL_DEQResourcesInvolved,4,FALSE))</f>
        <v>0</v>
      </c>
      <c r="V13" s="121" t="str">
        <f t="shared" ref="V13:V18" si="3">T13&amp;"-"&amp;U13</f>
        <v>0-0</v>
      </c>
      <c r="W13" s="128"/>
      <c r="X13" s="575" t="s">
        <v>582</v>
      </c>
      <c r="Y13" s="64"/>
      <c r="Z13" s="64"/>
      <c r="AA13" s="64"/>
      <c r="AB13" s="64"/>
      <c r="AC13" s="64"/>
      <c r="AD13" s="64"/>
      <c r="AE13" s="64"/>
      <c r="AF13" s="130"/>
      <c r="AG13" s="130"/>
      <c r="AH13" s="130"/>
      <c r="AI13" s="130"/>
    </row>
    <row r="14" spans="1:35" s="28" customFormat="1" ht="15.75" customHeight="1">
      <c r="A14" s="345"/>
      <c r="B14" s="334"/>
      <c r="C14" s="138"/>
      <c r="D14" s="524" t="s">
        <v>190</v>
      </c>
      <c r="E14" s="30" t="s">
        <v>224</v>
      </c>
      <c r="F14" s="71">
        <v>1</v>
      </c>
      <c r="G14" s="72">
        <v>2</v>
      </c>
      <c r="H14" s="73">
        <v>3</v>
      </c>
      <c r="I14" s="74">
        <v>4</v>
      </c>
      <c r="J14" s="75">
        <v>5</v>
      </c>
      <c r="K14" s="76">
        <v>6</v>
      </c>
      <c r="L14" s="77">
        <v>7</v>
      </c>
      <c r="M14" s="78">
        <v>8</v>
      </c>
      <c r="N14" s="79">
        <v>9</v>
      </c>
      <c r="O14" s="80">
        <v>10</v>
      </c>
      <c r="P14" s="507"/>
      <c r="Q14" s="139"/>
      <c r="R14" s="334"/>
      <c r="S14" s="133">
        <f t="shared" si="0"/>
        <v>0</v>
      </c>
      <c r="T14" s="121">
        <f t="shared" si="1"/>
        <v>0</v>
      </c>
      <c r="U14" s="121">
        <f t="shared" si="2"/>
        <v>0</v>
      </c>
      <c r="V14" s="121" t="str">
        <f t="shared" si="3"/>
        <v>0-0</v>
      </c>
      <c r="W14" s="128"/>
      <c r="X14" s="575" t="s">
        <v>582</v>
      </c>
      <c r="Y14" s="436"/>
      <c r="Z14" s="436"/>
      <c r="AA14" s="436"/>
      <c r="AB14" s="436"/>
      <c r="AC14" s="436"/>
      <c r="AD14" s="436"/>
      <c r="AE14" s="436"/>
      <c r="AF14" s="130"/>
      <c r="AG14" s="130"/>
      <c r="AH14" s="130"/>
      <c r="AI14" s="130"/>
    </row>
    <row r="15" spans="1:35" s="28" customFormat="1" ht="15.75" customHeight="1" outlineLevel="1">
      <c r="A15" s="345"/>
      <c r="B15" s="334"/>
      <c r="C15" s="138"/>
      <c r="D15" s="524" t="s">
        <v>186</v>
      </c>
      <c r="E15" s="30" t="s">
        <v>224</v>
      </c>
      <c r="F15" s="71">
        <v>1</v>
      </c>
      <c r="G15" s="72">
        <v>2</v>
      </c>
      <c r="H15" s="73">
        <v>3</v>
      </c>
      <c r="I15" s="74">
        <v>4</v>
      </c>
      <c r="J15" s="75">
        <v>5</v>
      </c>
      <c r="K15" s="76">
        <v>6</v>
      </c>
      <c r="L15" s="77">
        <v>7</v>
      </c>
      <c r="M15" s="78">
        <v>8</v>
      </c>
      <c r="N15" s="79">
        <v>9</v>
      </c>
      <c r="O15" s="80">
        <v>10</v>
      </c>
      <c r="P15" s="508"/>
      <c r="Q15" s="139"/>
      <c r="R15" s="334"/>
      <c r="S15" s="133">
        <f t="shared" si="0"/>
        <v>0</v>
      </c>
      <c r="T15" s="121">
        <f t="shared" si="1"/>
        <v>0</v>
      </c>
      <c r="U15" s="121">
        <f t="shared" si="2"/>
        <v>0</v>
      </c>
      <c r="V15" s="121" t="str">
        <f t="shared" si="3"/>
        <v>0-0</v>
      </c>
      <c r="W15" s="128"/>
      <c r="X15" s="575" t="s">
        <v>582</v>
      </c>
      <c r="Y15" s="436"/>
      <c r="Z15" s="436"/>
      <c r="AA15" s="436"/>
      <c r="AB15" s="436"/>
      <c r="AC15" s="436"/>
      <c r="AD15" s="436"/>
      <c r="AE15" s="436"/>
      <c r="AF15" s="130"/>
      <c r="AG15" s="130"/>
      <c r="AH15" s="130"/>
      <c r="AI15" s="130"/>
    </row>
    <row r="16" spans="1:35" s="28" customFormat="1" ht="15.75" customHeight="1" outlineLevel="1">
      <c r="A16" s="345"/>
      <c r="B16" s="334"/>
      <c r="C16" s="138"/>
      <c r="D16" s="524" t="s">
        <v>187</v>
      </c>
      <c r="E16" s="30" t="s">
        <v>224</v>
      </c>
      <c r="F16" s="71">
        <v>1</v>
      </c>
      <c r="G16" s="72">
        <v>2</v>
      </c>
      <c r="H16" s="73">
        <v>3</v>
      </c>
      <c r="I16" s="74">
        <v>4</v>
      </c>
      <c r="J16" s="75">
        <v>5</v>
      </c>
      <c r="K16" s="76">
        <v>6</v>
      </c>
      <c r="L16" s="77">
        <v>7</v>
      </c>
      <c r="M16" s="78">
        <v>8</v>
      </c>
      <c r="N16" s="79">
        <v>9</v>
      </c>
      <c r="O16" s="80">
        <v>10</v>
      </c>
      <c r="P16" s="508"/>
      <c r="Q16" s="139"/>
      <c r="R16" s="334"/>
      <c r="S16" s="133">
        <f t="shared" si="0"/>
        <v>0</v>
      </c>
      <c r="T16" s="121">
        <f t="shared" si="1"/>
        <v>0</v>
      </c>
      <c r="U16" s="121">
        <f t="shared" si="2"/>
        <v>0</v>
      </c>
      <c r="V16" s="121" t="str">
        <f t="shared" si="3"/>
        <v>0-0</v>
      </c>
      <c r="W16" s="128"/>
      <c r="X16" s="575" t="s">
        <v>582</v>
      </c>
      <c r="Y16" s="436"/>
      <c r="Z16" s="436"/>
      <c r="AA16" s="436"/>
      <c r="AB16" s="436"/>
      <c r="AC16" s="436"/>
      <c r="AD16" s="436"/>
      <c r="AE16" s="436"/>
      <c r="AF16" s="130"/>
      <c r="AG16" s="130"/>
      <c r="AH16" s="130"/>
      <c r="AI16" s="130"/>
    </row>
    <row r="17" spans="1:35" s="28" customFormat="1" ht="15.75" customHeight="1" outlineLevel="1">
      <c r="A17" s="345"/>
      <c r="B17" s="334"/>
      <c r="C17" s="138"/>
      <c r="D17" s="524" t="s">
        <v>188</v>
      </c>
      <c r="E17" s="30" t="s">
        <v>224</v>
      </c>
      <c r="F17" s="71">
        <v>1</v>
      </c>
      <c r="G17" s="72">
        <v>2</v>
      </c>
      <c r="H17" s="73">
        <v>3</v>
      </c>
      <c r="I17" s="74">
        <v>4</v>
      </c>
      <c r="J17" s="75">
        <v>5</v>
      </c>
      <c r="K17" s="76">
        <v>6</v>
      </c>
      <c r="L17" s="77">
        <v>7</v>
      </c>
      <c r="M17" s="78">
        <v>8</v>
      </c>
      <c r="N17" s="79">
        <v>9</v>
      </c>
      <c r="O17" s="80">
        <v>10</v>
      </c>
      <c r="P17" s="508"/>
      <c r="Q17" s="139"/>
      <c r="R17" s="334"/>
      <c r="S17" s="133">
        <f t="shared" si="0"/>
        <v>0</v>
      </c>
      <c r="T17" s="121">
        <f t="shared" si="1"/>
        <v>0</v>
      </c>
      <c r="U17" s="121">
        <f t="shared" si="2"/>
        <v>0</v>
      </c>
      <c r="V17" s="121" t="str">
        <f t="shared" si="3"/>
        <v>0-0</v>
      </c>
      <c r="W17" s="128"/>
      <c r="X17" s="575" t="s">
        <v>582</v>
      </c>
      <c r="Y17" s="436"/>
      <c r="Z17" s="436"/>
      <c r="AA17" s="436"/>
      <c r="AB17" s="436"/>
      <c r="AC17" s="436"/>
      <c r="AD17" s="436"/>
      <c r="AE17" s="436"/>
      <c r="AF17" s="130"/>
      <c r="AG17" s="130"/>
      <c r="AH17" s="130"/>
      <c r="AI17" s="130"/>
    </row>
    <row r="18" spans="1:35" s="28" customFormat="1" ht="15.75" customHeight="1" outlineLevel="1">
      <c r="A18" s="345"/>
      <c r="B18" s="334"/>
      <c r="C18" s="138"/>
      <c r="D18" s="524" t="s">
        <v>191</v>
      </c>
      <c r="E18" s="30" t="s">
        <v>224</v>
      </c>
      <c r="F18" s="71">
        <v>1</v>
      </c>
      <c r="G18" s="72">
        <v>2</v>
      </c>
      <c r="H18" s="73">
        <v>3</v>
      </c>
      <c r="I18" s="74">
        <v>4</v>
      </c>
      <c r="J18" s="75">
        <v>5</v>
      </c>
      <c r="K18" s="76">
        <v>6</v>
      </c>
      <c r="L18" s="77">
        <v>7</v>
      </c>
      <c r="M18" s="78">
        <v>8</v>
      </c>
      <c r="N18" s="79">
        <v>9</v>
      </c>
      <c r="O18" s="80">
        <v>10</v>
      </c>
      <c r="P18" s="508"/>
      <c r="Q18" s="139"/>
      <c r="R18" s="334"/>
      <c r="S18" s="133">
        <f t="shared" si="0"/>
        <v>0</v>
      </c>
      <c r="T18" s="121">
        <f t="shared" si="1"/>
        <v>0</v>
      </c>
      <c r="U18" s="121">
        <f t="shared" si="2"/>
        <v>0</v>
      </c>
      <c r="V18" s="121" t="str">
        <f t="shared" si="3"/>
        <v>0-0</v>
      </c>
      <c r="W18" s="128"/>
      <c r="X18" s="575" t="s">
        <v>582</v>
      </c>
      <c r="Y18" s="436"/>
      <c r="Z18" s="436"/>
      <c r="AA18" s="436"/>
      <c r="AB18" s="436"/>
      <c r="AC18" s="436"/>
      <c r="AD18" s="436"/>
      <c r="AE18" s="436"/>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0-0</v>
      </c>
      <c r="W19"/>
      <c r="X19" s="64"/>
      <c r="Y19" s="64"/>
      <c r="Z19" s="64"/>
      <c r="AA19" s="64"/>
      <c r="AB19" s="64"/>
      <c r="AC19" s="64"/>
      <c r="AD19" s="64"/>
      <c r="AE19" s="64"/>
      <c r="AF19" s="130"/>
      <c r="AG19" s="130"/>
      <c r="AH19" s="130"/>
      <c r="AI19" s="130"/>
    </row>
    <row r="20" spans="1:35" s="33" customFormat="1" ht="30" customHeight="1">
      <c r="A20" s="336"/>
      <c r="B20" s="334"/>
      <c r="C20" s="136"/>
      <c r="D20" s="445" t="s">
        <v>197</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3" t="s">
        <v>181</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17"/>
      <c r="E22" s="718"/>
      <c r="F22" s="718"/>
      <c r="G22" s="718"/>
      <c r="H22" s="718"/>
      <c r="I22" s="718"/>
      <c r="J22" s="718"/>
      <c r="K22" s="718"/>
      <c r="L22" s="718"/>
      <c r="M22" s="718"/>
      <c r="N22" s="718"/>
      <c r="O22" s="718"/>
      <c r="P22" s="719"/>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2" t="s">
        <v>60</v>
      </c>
      <c r="E23" s="159" t="s">
        <v>17</v>
      </c>
      <c r="F23" s="159" t="s">
        <v>18</v>
      </c>
      <c r="G23" s="159"/>
      <c r="H23" s="159"/>
      <c r="I23" s="159"/>
      <c r="J23" s="159"/>
      <c r="K23" s="159"/>
      <c r="L23" s="159"/>
      <c r="M23" s="159"/>
      <c r="N23" s="159"/>
      <c r="O23" s="159"/>
      <c r="P23" s="509" t="s">
        <v>70</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8" t="s">
        <v>195</v>
      </c>
      <c r="D24" s="36" t="s">
        <v>601</v>
      </c>
      <c r="E24" s="30" t="s">
        <v>226</v>
      </c>
      <c r="F24" s="71">
        <v>1</v>
      </c>
      <c r="G24" s="72">
        <v>2</v>
      </c>
      <c r="H24" s="73">
        <v>3</v>
      </c>
      <c r="I24" s="74">
        <v>4</v>
      </c>
      <c r="J24" s="75">
        <v>5</v>
      </c>
      <c r="K24" s="76">
        <v>6</v>
      </c>
      <c r="L24" s="77">
        <v>7</v>
      </c>
      <c r="M24" s="78">
        <v>8</v>
      </c>
      <c r="N24" s="79">
        <v>9</v>
      </c>
      <c r="O24" s="80">
        <v>10</v>
      </c>
      <c r="P24" s="757" t="s">
        <v>602</v>
      </c>
      <c r="Q24" s="139"/>
      <c r="R24" s="334"/>
      <c r="S24" s="133">
        <f>VLOOKUP($E24,R.VL_DEQResourcesInvolved,2,FALSE)</f>
        <v>1</v>
      </c>
      <c r="T24" s="121">
        <f>VLOOKUP($E24,R.VL_DEQResourcesInvolved,3,FALSE)</f>
        <v>1</v>
      </c>
      <c r="U24" s="121">
        <f>IF(S24=10,T24,VLOOKUP($E24,R.VL_DEQResourcesInvolved,4,FALSE))</f>
        <v>8</v>
      </c>
      <c r="V24" s="121" t="str">
        <f>T24&amp;"-"&amp;U24</f>
        <v>1-8</v>
      </c>
      <c r="W24" s="128"/>
      <c r="X24" s="575" t="s">
        <v>582</v>
      </c>
      <c r="Y24" s="64"/>
      <c r="Z24" s="64"/>
      <c r="AA24" s="64"/>
      <c r="AB24" s="64"/>
      <c r="AC24" s="64"/>
      <c r="AD24" s="64"/>
      <c r="AE24" s="64"/>
      <c r="AF24" s="130"/>
      <c r="AG24" s="130"/>
      <c r="AH24" s="130"/>
      <c r="AI24" s="130"/>
    </row>
    <row r="25" spans="1:35" s="28" customFormat="1" ht="15.75" customHeight="1">
      <c r="A25" s="345"/>
      <c r="B25" s="334"/>
      <c r="C25" s="518" t="s">
        <v>198</v>
      </c>
      <c r="D25" s="36"/>
      <c r="E25" s="30" t="s">
        <v>224</v>
      </c>
      <c r="F25" s="71">
        <v>1</v>
      </c>
      <c r="G25" s="72">
        <v>2</v>
      </c>
      <c r="H25" s="73">
        <v>3</v>
      </c>
      <c r="I25" s="74">
        <v>4</v>
      </c>
      <c r="J25" s="75">
        <v>5</v>
      </c>
      <c r="K25" s="76">
        <v>6</v>
      </c>
      <c r="L25" s="77">
        <v>7</v>
      </c>
      <c r="M25" s="78">
        <v>8</v>
      </c>
      <c r="N25" s="79">
        <v>9</v>
      </c>
      <c r="O25" s="80">
        <v>10</v>
      </c>
      <c r="P25" s="508"/>
      <c r="Q25" s="139"/>
      <c r="R25" s="334"/>
      <c r="S25" s="135">
        <f>VLOOKUP($E25,R.VL_DEQResourcesInvolved,2,FALSE)</f>
        <v>0</v>
      </c>
      <c r="T25" s="121">
        <f>VLOOKUP($E25,R.VL_DEQResourcesInvolved,3,FALSE)</f>
        <v>0</v>
      </c>
      <c r="U25" s="121">
        <f>IF(S25=10,T25,VLOOKUP($E25,R.VL_DEQResourcesInvolved,4,FALSE))</f>
        <v>0</v>
      </c>
      <c r="V25" s="121" t="str">
        <f>T25&amp;"-"&amp;U25</f>
        <v>0-0</v>
      </c>
      <c r="W25" s="128"/>
      <c r="X25" s="575" t="s">
        <v>582</v>
      </c>
      <c r="Y25" s="64"/>
      <c r="Z25" s="64"/>
      <c r="AA25" s="64"/>
      <c r="AB25" s="64"/>
      <c r="AC25" s="64"/>
      <c r="AD25" s="64"/>
      <c r="AE25" s="64"/>
      <c r="AF25" s="130"/>
      <c r="AG25" s="130"/>
      <c r="AH25" s="130"/>
      <c r="AI25" s="130"/>
    </row>
    <row r="26" spans="1:35" s="28" customFormat="1" ht="15" customHeight="1">
      <c r="A26" s="345"/>
      <c r="B26" s="334"/>
      <c r="C26" s="518" t="s">
        <v>199</v>
      </c>
      <c r="D26" s="36" t="s">
        <v>0</v>
      </c>
      <c r="E26" s="30" t="s">
        <v>224</v>
      </c>
      <c r="F26" s="71">
        <v>1</v>
      </c>
      <c r="G26" s="72">
        <v>2</v>
      </c>
      <c r="H26" s="73">
        <v>3</v>
      </c>
      <c r="I26" s="74">
        <v>4</v>
      </c>
      <c r="J26" s="75">
        <v>5</v>
      </c>
      <c r="K26" s="76">
        <v>6</v>
      </c>
      <c r="L26" s="77">
        <v>7</v>
      </c>
      <c r="M26" s="78">
        <v>8</v>
      </c>
      <c r="N26" s="79">
        <v>9</v>
      </c>
      <c r="O26" s="80">
        <v>10</v>
      </c>
      <c r="P26" s="508"/>
      <c r="Q26" s="139"/>
      <c r="R26" s="334"/>
      <c r="S26" s="135">
        <f>VLOOKUP($E26,R.VL_DEQResourcesInvolved,2,FALSE)</f>
        <v>0</v>
      </c>
      <c r="T26" s="121">
        <f>VLOOKUP($E26,R.VL_DEQResourcesInvolved,3,FALSE)</f>
        <v>0</v>
      </c>
      <c r="U26" s="121">
        <f>IF(S26=10,T26,VLOOKUP($E26,R.VL_DEQResourcesInvolved,4,FALSE))</f>
        <v>0</v>
      </c>
      <c r="V26" s="121" t="str">
        <f>T26&amp;"-"&amp;U26</f>
        <v>0-0</v>
      </c>
      <c r="W26" s="128"/>
      <c r="X26" s="575" t="s">
        <v>582</v>
      </c>
      <c r="Y26" s="64"/>
      <c r="Z26" s="64"/>
      <c r="AA26" s="64"/>
      <c r="AB26" s="64"/>
      <c r="AC26" s="64"/>
      <c r="AD26" s="64"/>
      <c r="AE26" s="64"/>
      <c r="AF26" s="130"/>
      <c r="AG26" s="130"/>
      <c r="AH26" s="130"/>
      <c r="AI26" s="130"/>
    </row>
    <row r="27" spans="1:35" s="28" customFormat="1" ht="15.75" customHeight="1">
      <c r="A27" s="345"/>
      <c r="B27" s="334"/>
      <c r="C27" s="518" t="s">
        <v>179</v>
      </c>
      <c r="D27" s="36" t="s">
        <v>0</v>
      </c>
      <c r="E27" s="30" t="s">
        <v>224</v>
      </c>
      <c r="F27" s="71">
        <v>1</v>
      </c>
      <c r="G27" s="72">
        <v>2</v>
      </c>
      <c r="H27" s="73">
        <v>3</v>
      </c>
      <c r="I27" s="74">
        <v>4</v>
      </c>
      <c r="J27" s="75">
        <v>5</v>
      </c>
      <c r="K27" s="76">
        <v>6</v>
      </c>
      <c r="L27" s="77">
        <v>7</v>
      </c>
      <c r="M27" s="78">
        <v>8</v>
      </c>
      <c r="N27" s="79">
        <v>9</v>
      </c>
      <c r="O27" s="80">
        <v>10</v>
      </c>
      <c r="P27" s="508"/>
      <c r="Q27" s="139"/>
      <c r="R27" s="334"/>
      <c r="S27" s="135">
        <f>VLOOKUP($E27,R.VL_DEQResourcesInvolved,2,FALSE)</f>
        <v>0</v>
      </c>
      <c r="T27" s="121">
        <f>VLOOKUP($E27,R.VL_DEQResourcesInvolved,3,FALSE)</f>
        <v>0</v>
      </c>
      <c r="U27" s="121">
        <f>IF(S27=10,T27,VLOOKUP($E27,R.VL_DEQResourcesInvolved,4,FALSE))</f>
        <v>0</v>
      </c>
      <c r="V27" s="121" t="str">
        <f>T27&amp;"-"&amp;U27</f>
        <v>0-0</v>
      </c>
      <c r="W27" s="128"/>
      <c r="X27" s="575" t="s">
        <v>582</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1-8</v>
      </c>
      <c r="W28" s="131"/>
      <c r="X28" s="64"/>
      <c r="Y28" s="64"/>
      <c r="Z28" s="64"/>
      <c r="AA28" s="64"/>
      <c r="AB28" s="64"/>
      <c r="AC28" s="64"/>
      <c r="AD28" s="64"/>
      <c r="AE28" s="64"/>
      <c r="AF28" s="130"/>
      <c r="AG28" s="130"/>
      <c r="AH28" s="130"/>
      <c r="AI28" s="130"/>
    </row>
    <row r="29" spans="1:35" s="29" customFormat="1" ht="30" customHeight="1">
      <c r="A29" s="344"/>
      <c r="B29" s="334"/>
      <c r="C29" s="146"/>
      <c r="D29" s="653" t="str">
        <f>"Please suggest process improvements to the "&amp;D2&amp;" worksheet."</f>
        <v>Please suggest process improvements to the Interested Staff and EQC worksheet.</v>
      </c>
      <c r="E29" s="653"/>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50"/>
      <c r="E30" s="651"/>
      <c r="F30" s="651"/>
      <c r="G30" s="651"/>
      <c r="H30" s="651"/>
      <c r="I30" s="651"/>
      <c r="J30" s="651"/>
      <c r="K30" s="651"/>
      <c r="L30" s="651"/>
      <c r="M30" s="651"/>
      <c r="N30" s="651"/>
      <c r="O30" s="651"/>
      <c r="P30" s="652"/>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108</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c r="A33" s="337"/>
      <c r="C33" s="112"/>
      <c r="S33" s="113"/>
      <c r="V33" s="436"/>
      <c r="W33" s="436"/>
    </row>
    <row r="34" spans="1:23" s="64" customFormat="1" ht="60" customHeight="1">
      <c r="A34" s="337"/>
      <c r="C34" s="112"/>
      <c r="S34" s="113"/>
      <c r="V34" s="436"/>
      <c r="W34" s="436"/>
    </row>
    <row r="35" spans="1:23" s="64" customFormat="1" ht="60" customHeight="1">
      <c r="A35" s="337"/>
      <c r="C35" s="112"/>
      <c r="S35" s="113"/>
      <c r="V35" s="436"/>
      <c r="W35" s="436"/>
    </row>
    <row r="36" spans="1:23" s="64" customFormat="1" ht="60" customHeight="1">
      <c r="A36" s="337"/>
      <c r="C36" s="112"/>
      <c r="S36" s="113"/>
      <c r="V36" s="436"/>
      <c r="W36" s="436"/>
    </row>
    <row r="37" spans="1:23" s="64" customFormat="1" ht="60" customHeight="1">
      <c r="A37" s="337"/>
      <c r="C37" s="112"/>
      <c r="S37" s="113"/>
      <c r="V37" s="436"/>
      <c r="W37" s="436"/>
    </row>
    <row r="38" spans="1:23" s="64" customFormat="1" ht="60" customHeight="1">
      <c r="A38" s="337"/>
      <c r="C38" s="112"/>
      <c r="S38" s="113"/>
      <c r="V38" s="436"/>
      <c r="W38" s="436"/>
    </row>
    <row r="39" spans="1:23" s="64" customFormat="1" ht="60" customHeight="1">
      <c r="A39" s="337"/>
      <c r="C39" s="112"/>
      <c r="S39" s="113"/>
      <c r="V39" s="436"/>
      <c r="W39" s="436"/>
    </row>
    <row r="40" spans="1:23" s="64" customFormat="1" ht="60" customHeight="1">
      <c r="A40" s="337"/>
      <c r="C40" s="112"/>
      <c r="S40" s="113"/>
      <c r="V40" s="436"/>
      <c r="W40" s="436"/>
    </row>
    <row r="41" spans="1:23" s="64" customFormat="1" ht="60" customHeight="1">
      <c r="A41" s="337"/>
      <c r="C41" s="112"/>
      <c r="S41" s="113"/>
      <c r="V41" s="436"/>
      <c r="W41" s="436"/>
    </row>
    <row r="42" spans="1:23" s="64" customFormat="1" ht="60" customHeight="1">
      <c r="A42" s="337"/>
      <c r="C42" s="112"/>
      <c r="S42" s="113"/>
      <c r="V42" s="436"/>
      <c r="W42" s="436"/>
    </row>
    <row r="43" spans="1:23" s="64" customFormat="1" ht="60" customHeight="1">
      <c r="A43" s="337"/>
      <c r="C43" s="112"/>
      <c r="S43" s="113"/>
      <c r="V43" s="436"/>
      <c r="W43" s="436"/>
    </row>
    <row r="44" spans="1:23" s="64" customFormat="1" ht="60" customHeight="1">
      <c r="A44" s="337"/>
      <c r="C44" s="112"/>
      <c r="S44" s="113"/>
      <c r="V44" s="436"/>
      <c r="W44" s="436"/>
    </row>
    <row r="45" spans="1:23" s="64" customFormat="1" ht="60" customHeight="1">
      <c r="A45" s="337"/>
      <c r="C45" s="112"/>
      <c r="S45" s="113"/>
      <c r="V45" s="436"/>
      <c r="W45" s="436"/>
    </row>
    <row r="46" spans="1:23" s="64" customFormat="1" ht="60" customHeight="1">
      <c r="A46" s="337"/>
      <c r="C46" s="112"/>
      <c r="S46" s="113"/>
      <c r="V46" s="436"/>
      <c r="W46" s="436"/>
    </row>
    <row r="47" spans="1:23" s="64" customFormat="1" ht="60" customHeight="1">
      <c r="A47" s="337"/>
      <c r="C47" s="112"/>
      <c r="S47" s="113"/>
      <c r="V47" s="436"/>
      <c r="W47" s="436"/>
    </row>
    <row r="48" spans="1:23" s="64" customFormat="1" ht="60" customHeight="1">
      <c r="A48" s="337"/>
      <c r="C48" s="112"/>
      <c r="S48" s="113"/>
      <c r="V48" s="436"/>
      <c r="W48" s="436"/>
    </row>
    <row r="49" spans="1:23" s="64" customFormat="1" ht="60" customHeight="1">
      <c r="A49" s="337"/>
      <c r="C49" s="112"/>
      <c r="S49" s="113"/>
      <c r="V49" s="436"/>
      <c r="W49" s="436"/>
    </row>
    <row r="50" spans="1:23" s="64" customFormat="1" ht="60" customHeight="1">
      <c r="A50" s="337"/>
      <c r="C50" s="112"/>
      <c r="S50" s="113"/>
      <c r="V50" s="436"/>
      <c r="W50" s="436"/>
    </row>
    <row r="51" spans="1:23" s="64" customFormat="1" ht="60" customHeight="1">
      <c r="A51" s="337"/>
      <c r="C51" s="112"/>
      <c r="S51" s="113"/>
      <c r="V51" s="436"/>
      <c r="W51" s="436"/>
    </row>
    <row r="52" spans="1:23" s="64" customFormat="1" ht="60" customHeight="1">
      <c r="A52" s="337"/>
      <c r="C52" s="112"/>
      <c r="S52" s="113"/>
      <c r="V52" s="436"/>
      <c r="W52" s="436"/>
    </row>
    <row r="53" spans="1:23" s="64" customFormat="1" ht="60" customHeight="1">
      <c r="A53" s="337"/>
      <c r="C53" s="112"/>
      <c r="S53" s="113"/>
      <c r="V53" s="436"/>
      <c r="W53" s="436"/>
    </row>
    <row r="54" spans="1:23" s="64" customFormat="1" ht="60" customHeight="1">
      <c r="A54" s="337"/>
      <c r="C54" s="112"/>
      <c r="S54" s="113"/>
      <c r="V54" s="436"/>
      <c r="W54" s="436"/>
    </row>
    <row r="55" spans="1:23" s="64" customFormat="1" ht="60" customHeight="1">
      <c r="A55" s="337"/>
      <c r="C55" s="112"/>
      <c r="S55" s="113"/>
      <c r="V55" s="436"/>
      <c r="W55" s="436"/>
    </row>
    <row r="56" spans="1:23" s="64" customFormat="1" ht="60" customHeight="1">
      <c r="A56" s="337"/>
      <c r="C56" s="112"/>
      <c r="S56" s="113"/>
      <c r="V56" s="436"/>
      <c r="W56" s="436"/>
    </row>
    <row r="57" spans="1:23" s="64" customFormat="1" ht="60" customHeight="1">
      <c r="A57" s="337"/>
      <c r="C57" s="112"/>
      <c r="S57" s="113"/>
      <c r="V57" s="436"/>
      <c r="W57" s="436"/>
    </row>
    <row r="58" spans="1:23" s="64" customFormat="1" ht="60" customHeight="1">
      <c r="A58" s="337"/>
      <c r="C58" s="112"/>
      <c r="S58" s="113"/>
      <c r="V58" s="436"/>
      <c r="W58" s="436"/>
    </row>
    <row r="59" spans="1:23" s="64" customFormat="1" ht="60" customHeight="1">
      <c r="A59" s="337"/>
      <c r="C59" s="112"/>
      <c r="S59" s="113"/>
      <c r="V59" s="436"/>
      <c r="W59" s="436"/>
    </row>
    <row r="60" spans="1:23" s="64" customFormat="1" ht="60" customHeight="1">
      <c r="A60" s="337"/>
      <c r="C60" s="112"/>
      <c r="S60" s="113"/>
      <c r="V60" s="436"/>
      <c r="W60" s="436"/>
    </row>
    <row r="61" spans="1:23" s="64" customFormat="1" ht="60" customHeight="1">
      <c r="A61" s="337"/>
      <c r="C61" s="112"/>
      <c r="S61" s="113"/>
      <c r="V61" s="436"/>
      <c r="W61" s="436"/>
    </row>
    <row r="62" spans="1:23" s="64" customFormat="1">
      <c r="A62" s="337"/>
      <c r="C62" s="112"/>
      <c r="S62" s="113"/>
      <c r="V62" s="436"/>
      <c r="W62" s="436"/>
    </row>
    <row r="63" spans="1:23" s="64" customFormat="1">
      <c r="A63" s="337"/>
      <c r="C63" s="112"/>
      <c r="S63" s="113"/>
      <c r="V63" s="436"/>
      <c r="W63" s="436"/>
    </row>
  </sheetData>
  <sheetProtection formatCells="0" formatRows="0" insertHyperlinks="0"/>
  <mergeCells count="12">
    <mergeCell ref="D30:P30"/>
    <mergeCell ref="D7:P7"/>
    <mergeCell ref="D29:E29"/>
    <mergeCell ref="S7:U7"/>
    <mergeCell ref="D11:P11"/>
    <mergeCell ref="D22:P22"/>
    <mergeCell ref="E2:P2"/>
    <mergeCell ref="M3:P3"/>
    <mergeCell ref="F4:L4"/>
    <mergeCell ref="M4:P4"/>
    <mergeCell ref="F5:L5"/>
    <mergeCell ref="M5:P5"/>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sheetPr codeName="Sheet12"/>
  <dimension ref="A1:AI87"/>
  <sheetViews>
    <sheetView showGridLines="0" topLeftCell="C41" zoomScaleNormal="100" workbookViewId="0">
      <selection activeCell="D2" sqref="D2"/>
    </sheetView>
  </sheetViews>
  <sheetFormatPr defaultColWidth="9" defaultRowHeight="20.399999999999999" outlineLevelRow="1" outlineLevelCol="1"/>
  <cols>
    <col min="1" max="1" width="13.69921875" style="337" customWidth="1"/>
    <col min="2" max="2" width="2.59765625" customWidth="1"/>
    <col min="3" max="3" width="2.59765625" style="44" customWidth="1"/>
    <col min="4" max="4" width="40.5" style="463" customWidth="1"/>
    <col min="5" max="5" width="15.69921875" style="463" customWidth="1"/>
    <col min="6" max="15" width="1.59765625" style="463" customWidth="1"/>
    <col min="16" max="16" width="15.69921875" style="463" customWidth="1"/>
    <col min="17" max="17" width="2.59765625" style="463" customWidth="1"/>
    <col min="18" max="18" width="2.59765625" style="436" customWidth="1"/>
    <col min="19" max="19" width="9" style="113" hidden="1" customWidth="1" outlineLevel="1"/>
    <col min="20" max="20" width="10.69921875" style="436" hidden="1" customWidth="1" outlineLevel="1"/>
    <col min="21" max="21" width="10.8984375" style="436" hidden="1" customWidth="1" outlineLevel="1"/>
    <col min="22" max="22" width="7.19921875" style="436" hidden="1" customWidth="1" outlineLevel="1"/>
    <col min="23" max="23" width="8.3984375" style="436" hidden="1" customWidth="1" outlineLevel="1"/>
    <col min="24" max="24" width="30.59765625" style="436" customWidth="1" collapsed="1"/>
    <col min="25" max="25" width="16.5" style="436" customWidth="1"/>
    <col min="26" max="26" width="18" style="436" customWidth="1"/>
    <col min="27" max="27" width="31.09765625" style="436" customWidth="1"/>
    <col min="28" max="35" width="31.097656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c r="A2" s="350" t="s">
        <v>107</v>
      </c>
      <c r="B2" s="334"/>
      <c r="C2" s="324">
        <v>6</v>
      </c>
      <c r="D2" s="346" t="s">
        <v>62</v>
      </c>
      <c r="E2" s="720" t="str">
        <f>R.1MediaAndLongName</f>
        <v>AQ Updates to Oregon's State Implementation Plan</v>
      </c>
      <c r="F2" s="720"/>
      <c r="G2" s="720"/>
      <c r="H2" s="720"/>
      <c r="I2" s="720"/>
      <c r="J2" s="720"/>
      <c r="K2" s="720"/>
      <c r="L2" s="720"/>
      <c r="M2" s="720"/>
      <c r="N2" s="720"/>
      <c r="O2" s="720"/>
      <c r="P2" s="720"/>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5"/>
      <c r="H3" s="465"/>
      <c r="I3" s="465"/>
      <c r="J3" s="437"/>
      <c r="K3" s="13"/>
      <c r="L3" s="13"/>
      <c r="M3" s="721" t="s">
        <v>57</v>
      </c>
      <c r="N3" s="721"/>
      <c r="O3" s="721"/>
      <c r="P3" s="721"/>
      <c r="Q3" s="156"/>
      <c r="R3" s="334"/>
      <c r="S3" s="354">
        <f>COUNTIFS(S13:S75,"&gt;0")</f>
        <v>0</v>
      </c>
      <c r="T3" s="355">
        <f>SUM(T13:T75)</f>
        <v>0</v>
      </c>
      <c r="U3" s="355">
        <f>SUM(U13:U75)</f>
        <v>0</v>
      </c>
      <c r="V3" s="498"/>
      <c r="W3" s="498"/>
      <c r="X3" s="120"/>
      <c r="Y3" s="436"/>
      <c r="Z3" s="436"/>
      <c r="AA3" s="436"/>
      <c r="AB3" s="64"/>
      <c r="AC3" s="64"/>
      <c r="AD3" s="64"/>
      <c r="AE3" s="64"/>
      <c r="AF3" s="66"/>
      <c r="AG3" s="66"/>
      <c r="AH3" s="66"/>
      <c r="AI3" s="66"/>
    </row>
    <row r="4" spans="1:35" s="6" customFormat="1" ht="20.25" customHeight="1">
      <c r="A4" s="344"/>
      <c r="B4" s="334"/>
      <c r="C4" s="155"/>
      <c r="D4" s="494" t="s">
        <v>55</v>
      </c>
      <c r="E4" s="81">
        <f>S3</f>
        <v>0</v>
      </c>
      <c r="F4" s="690" t="s">
        <v>54</v>
      </c>
      <c r="G4" s="690"/>
      <c r="H4" s="690"/>
      <c r="I4" s="690"/>
      <c r="J4" s="690"/>
      <c r="K4" s="690"/>
      <c r="L4" s="690"/>
      <c r="M4" s="691" t="str">
        <f>S4</f>
        <v>0</v>
      </c>
      <c r="N4" s="691"/>
      <c r="O4" s="691"/>
      <c r="P4" s="691"/>
      <c r="Q4" s="156"/>
      <c r="R4" s="334"/>
      <c r="S4" s="362" t="str">
        <f>IF(R.6StaffCount=0,"0",IF(R.6LowHrs=0,"0-"&amp;TEXT(R.6HighHrs,"#,###"),TEXT(R.6LowHrs,"#,###")&amp;"-"&amp;TEXT(R.6HighHrs,"#,###")))</f>
        <v>0</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c r="A5" s="344"/>
      <c r="B5" s="334"/>
      <c r="C5" s="155"/>
      <c r="D5" s="494" t="s">
        <v>67</v>
      </c>
      <c r="E5" s="98">
        <f>R.AvgHrDEQCost</f>
        <v>58</v>
      </c>
      <c r="F5" s="690" t="s">
        <v>58</v>
      </c>
      <c r="G5" s="690"/>
      <c r="H5" s="690"/>
      <c r="I5" s="690"/>
      <c r="J5" s="690"/>
      <c r="K5" s="690"/>
      <c r="L5" s="690"/>
      <c r="M5" s="692" t="str">
        <f>S5</f>
        <v>$0</v>
      </c>
      <c r="N5" s="692"/>
      <c r="O5" s="692"/>
      <c r="P5" s="692"/>
      <c r="Q5" s="156"/>
      <c r="R5" s="334"/>
      <c r="S5" s="122" t="str">
        <f>IF(R.6StaffCount=0,"$0",IF(R.6LowDollars=0,"$0-"&amp;TEXT(R.6HighDollars,"#,###"),TEXT(R.6LowDollars,"$#,###")&amp;"-"&amp;TEXT(R.6HighDollars,"#,###")))</f>
        <v>$0</v>
      </c>
      <c r="T5" s="124">
        <f>T3*E5</f>
        <v>0</v>
      </c>
      <c r="U5" s="124">
        <f>U3*E5</f>
        <v>0</v>
      </c>
      <c r="V5" s="493"/>
      <c r="W5" s="493"/>
      <c r="X5" s="120"/>
      <c r="Y5" s="436"/>
      <c r="Z5" s="436" t="s">
        <v>194</v>
      </c>
      <c r="AA5" s="436"/>
      <c r="AB5" s="64"/>
      <c r="AC5" s="64"/>
      <c r="AD5" s="64"/>
      <c r="AE5" s="64"/>
      <c r="AF5" s="66"/>
      <c r="AG5" s="66"/>
      <c r="AH5" s="66"/>
      <c r="AI5" s="66"/>
    </row>
    <row r="6" spans="1:35" s="6" customFormat="1" ht="9" customHeight="1">
      <c r="A6" s="344"/>
      <c r="B6" s="334"/>
      <c r="C6" s="155"/>
      <c r="D6" s="501"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c r="A7" s="316"/>
      <c r="B7" s="334"/>
      <c r="C7" s="155"/>
      <c r="D7" s="725" t="s">
        <v>247</v>
      </c>
      <c r="E7" s="726"/>
      <c r="F7" s="726"/>
      <c r="G7" s="726"/>
      <c r="H7" s="726"/>
      <c r="I7" s="726"/>
      <c r="J7" s="726"/>
      <c r="K7" s="726"/>
      <c r="L7" s="726"/>
      <c r="M7" s="726"/>
      <c r="N7" s="726"/>
      <c r="O7" s="726"/>
      <c r="P7" s="727"/>
      <c r="Q7" s="156"/>
      <c r="R7" s="334"/>
      <c r="S7" s="496" t="e">
        <f>AVERAGEIF(S14:S56,"&gt;0")</f>
        <v>#DIV/0!</v>
      </c>
      <c r="T7" s="493"/>
      <c r="U7" s="493"/>
      <c r="V7" s="120"/>
      <c r="W7" s="436"/>
      <c r="X7" s="436"/>
      <c r="Y7" s="436"/>
      <c r="Z7" s="436"/>
      <c r="AA7" s="436"/>
      <c r="AB7" s="436"/>
      <c r="AC7" s="436"/>
      <c r="AD7" s="66"/>
      <c r="AE7" s="66"/>
      <c r="AF7" s="66"/>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c r="A9" s="350" t="s">
        <v>107</v>
      </c>
      <c r="B9" s="334"/>
      <c r="C9" s="517" t="s">
        <v>0</v>
      </c>
      <c r="D9" s="304" t="s">
        <v>125</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3" t="s">
        <v>53</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22"/>
      <c r="E11" s="723"/>
      <c r="F11" s="723"/>
      <c r="G11" s="723"/>
      <c r="H11" s="723"/>
      <c r="I11" s="723"/>
      <c r="J11" s="723"/>
      <c r="K11" s="723"/>
      <c r="L11" s="723"/>
      <c r="M11" s="723"/>
      <c r="N11" s="723"/>
      <c r="O11" s="723"/>
      <c r="P11" s="724"/>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c r="A12" s="344"/>
      <c r="B12" s="334"/>
      <c r="C12" s="233"/>
      <c r="D12" s="497" t="s">
        <v>60</v>
      </c>
      <c r="E12" s="467" t="s">
        <v>17</v>
      </c>
      <c r="F12" s="728" t="s">
        <v>18</v>
      </c>
      <c r="G12" s="728"/>
      <c r="H12" s="728"/>
      <c r="I12" s="728"/>
      <c r="J12" s="728"/>
      <c r="K12" s="728"/>
      <c r="L12" s="728"/>
      <c r="M12" s="728"/>
      <c r="N12" s="728"/>
      <c r="O12" s="728"/>
      <c r="P12" s="467" t="s">
        <v>19</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14" t="s">
        <v>0</v>
      </c>
      <c r="D13" s="36"/>
      <c r="E13" s="30" t="s">
        <v>224</v>
      </c>
      <c r="F13" s="71">
        <v>1</v>
      </c>
      <c r="G13" s="72">
        <v>2</v>
      </c>
      <c r="H13" s="73">
        <v>3</v>
      </c>
      <c r="I13" s="74">
        <v>4</v>
      </c>
      <c r="J13" s="75">
        <v>5</v>
      </c>
      <c r="K13" s="76">
        <v>6</v>
      </c>
      <c r="L13" s="77">
        <v>7</v>
      </c>
      <c r="M13" s="78">
        <v>8</v>
      </c>
      <c r="N13" s="79">
        <v>9</v>
      </c>
      <c r="O13" s="80">
        <v>10</v>
      </c>
      <c r="P13" s="32"/>
      <c r="Q13" s="139"/>
      <c r="R13" s="334"/>
      <c r="S13" s="133">
        <f>VLOOKUP($E13,R.VL_DEQResourcesInvolved,2,FALSE)</f>
        <v>0</v>
      </c>
      <c r="T13" s="121">
        <f>VLOOKUP($E13,R.VL_DEQResourcesInvolved,3,FALSE)</f>
        <v>0</v>
      </c>
      <c r="U13" s="121">
        <f>IF(S13=10,T13,VLOOKUP($E13,R.VL_DEQResourcesInvolved,4,FALSE))</f>
        <v>0</v>
      </c>
      <c r="V13" s="128"/>
      <c r="W13" s="128"/>
      <c r="X13" s="575" t="s">
        <v>549</v>
      </c>
      <c r="Y13" s="436"/>
      <c r="Z13" s="436"/>
      <c r="AA13" s="436"/>
      <c r="AB13" s="64"/>
      <c r="AC13" s="64"/>
      <c r="AD13" s="64"/>
      <c r="AE13" s="64"/>
      <c r="AF13" s="130"/>
      <c r="AG13" s="130"/>
      <c r="AH13" s="130"/>
      <c r="AI13" s="130"/>
    </row>
    <row r="14" spans="1:35" s="28" customFormat="1" ht="15.75" hidden="1" customHeight="1" outlineLevel="1">
      <c r="A14" s="345"/>
      <c r="B14" s="334"/>
      <c r="C14" s="514" t="s">
        <v>0</v>
      </c>
      <c r="D14" s="36" t="s">
        <v>0</v>
      </c>
      <c r="E14" s="30" t="s">
        <v>224</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c r="A15" s="345"/>
      <c r="B15" s="334"/>
      <c r="C15" s="514" t="s">
        <v>0</v>
      </c>
      <c r="D15" s="36" t="s">
        <v>0</v>
      </c>
      <c r="E15" s="30" t="s">
        <v>224</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c r="A16" s="345"/>
      <c r="B16" s="334"/>
      <c r="C16" s="514" t="s">
        <v>0</v>
      </c>
      <c r="D16" s="36" t="s">
        <v>0</v>
      </c>
      <c r="E16" s="30" t="s">
        <v>224</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c r="A17" s="345"/>
      <c r="B17" s="334"/>
      <c r="C17" s="515"/>
      <c r="D17" s="442" t="s">
        <v>52</v>
      </c>
      <c r="E17" s="31"/>
      <c r="F17" s="31"/>
      <c r="G17" s="31"/>
      <c r="H17" s="31"/>
      <c r="I17" s="31"/>
      <c r="J17" s="31"/>
      <c r="K17" s="31"/>
      <c r="L17" s="31"/>
      <c r="M17" s="31"/>
      <c r="N17" s="31"/>
      <c r="O17" s="31"/>
      <c r="P17" s="31"/>
      <c r="Q17" s="143"/>
      <c r="R17" s="334"/>
      <c r="S17" s="228"/>
      <c r="T17" s="229"/>
      <c r="U17" s="229"/>
      <c r="V17" s="511" t="str">
        <f>SUM(T13:T16)&amp;"-"&amp;SUM(U13:U16)</f>
        <v>0-0</v>
      </c>
      <c r="W17" s="229"/>
      <c r="X17" s="236"/>
      <c r="Y17" s="236"/>
      <c r="Z17" s="236"/>
      <c r="AA17" s="236"/>
      <c r="AB17" s="236"/>
      <c r="AC17" s="236"/>
      <c r="AD17" s="236"/>
      <c r="AE17" s="236"/>
      <c r="AF17" s="130"/>
      <c r="AG17" s="130"/>
      <c r="AH17" s="130"/>
      <c r="AI17" s="130"/>
    </row>
    <row r="18" spans="1:35" s="28" customFormat="1" ht="15.75" customHeight="1">
      <c r="A18" s="345"/>
      <c r="B18" s="334"/>
      <c r="C18" s="514"/>
      <c r="D18" s="729"/>
      <c r="E18" s="730"/>
      <c r="F18" s="730"/>
      <c r="G18" s="730"/>
      <c r="H18" s="730"/>
      <c r="I18" s="730"/>
      <c r="J18" s="730"/>
      <c r="K18" s="730"/>
      <c r="L18" s="730"/>
      <c r="M18" s="730"/>
      <c r="N18" s="730"/>
      <c r="O18" s="730"/>
      <c r="P18" s="731"/>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c r="A19" s="344"/>
      <c r="B19" s="334"/>
      <c r="C19" s="516"/>
      <c r="D19" s="442" t="s">
        <v>60</v>
      </c>
      <c r="E19" s="292" t="s">
        <v>17</v>
      </c>
      <c r="F19" s="292" t="s">
        <v>18</v>
      </c>
      <c r="G19" s="292"/>
      <c r="H19" s="292"/>
      <c r="I19" s="292"/>
      <c r="J19" s="292"/>
      <c r="K19" s="292"/>
      <c r="L19" s="292"/>
      <c r="M19" s="292"/>
      <c r="N19" s="292"/>
      <c r="O19" s="292"/>
      <c r="P19" s="292" t="s">
        <v>19</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14" t="s">
        <v>0</v>
      </c>
      <c r="D20" s="36" t="s">
        <v>0</v>
      </c>
      <c r="E20" s="30" t="s">
        <v>224</v>
      </c>
      <c r="F20" s="71">
        <v>1</v>
      </c>
      <c r="G20" s="72">
        <v>2</v>
      </c>
      <c r="H20" s="73">
        <v>3</v>
      </c>
      <c r="I20" s="74">
        <v>4</v>
      </c>
      <c r="J20" s="75">
        <v>5</v>
      </c>
      <c r="K20" s="76">
        <v>6</v>
      </c>
      <c r="L20" s="77">
        <v>7</v>
      </c>
      <c r="M20" s="78">
        <v>8</v>
      </c>
      <c r="N20" s="79">
        <v>9</v>
      </c>
      <c r="O20" s="80">
        <v>10</v>
      </c>
      <c r="P20" s="32"/>
      <c r="Q20" s="139"/>
      <c r="R20" s="334"/>
      <c r="S20" s="133">
        <f>VLOOKUP($E20,R.VL_DEQResourcesInvolved,2,FALSE)</f>
        <v>0</v>
      </c>
      <c r="T20" s="121">
        <f>VLOOKUP($E20,R.VL_DEQResourcesInvolved,3,FALSE)</f>
        <v>0</v>
      </c>
      <c r="U20" s="121">
        <f>IF(S20=10,T20,VLOOKUP($E20,R.VL_DEQResourcesInvolved,4,FALSE))</f>
        <v>0</v>
      </c>
      <c r="V20" s="128"/>
      <c r="W20" s="128"/>
      <c r="X20" s="575" t="s">
        <v>549</v>
      </c>
      <c r="Y20" s="436"/>
      <c r="Z20" s="436"/>
      <c r="AA20" s="436"/>
      <c r="AB20" s="64"/>
      <c r="AC20" s="64"/>
      <c r="AD20" s="64"/>
      <c r="AE20" s="64"/>
      <c r="AF20" s="130"/>
      <c r="AG20" s="130"/>
      <c r="AH20" s="130"/>
      <c r="AI20" s="130"/>
    </row>
    <row r="21" spans="1:35" s="28" customFormat="1" ht="15.75" hidden="1" customHeight="1" outlineLevel="1">
      <c r="A21" s="345"/>
      <c r="B21" s="334"/>
      <c r="C21" s="514" t="s">
        <v>0</v>
      </c>
      <c r="D21" s="36" t="s">
        <v>0</v>
      </c>
      <c r="E21" s="30" t="s">
        <v>224</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c r="A22" s="345"/>
      <c r="B22" s="334"/>
      <c r="C22" s="514" t="s">
        <v>0</v>
      </c>
      <c r="D22" s="36" t="s">
        <v>0</v>
      </c>
      <c r="E22" s="30" t="s">
        <v>224</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c r="A23" s="345"/>
      <c r="B23" s="334"/>
      <c r="C23" s="514" t="s">
        <v>0</v>
      </c>
      <c r="D23" s="36" t="s">
        <v>0</v>
      </c>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11" t="str">
        <f>SUM(T20:T23)&amp;"-"&amp;SUM(U20:U23)</f>
        <v>0-0</v>
      </c>
      <c r="W23" s="512" t="str">
        <f>SUM(T13:T23)&amp;"-"&amp;SUM(U13:U23)</f>
        <v>0-0</v>
      </c>
      <c r="X23" s="436"/>
      <c r="Y23" s="436"/>
      <c r="Z23" s="436"/>
      <c r="AA23" s="436"/>
      <c r="AB23" s="64"/>
      <c r="AC23" s="64"/>
      <c r="AD23" s="64"/>
      <c r="AE23" s="64"/>
      <c r="AF23" s="130"/>
      <c r="AG23" s="130"/>
      <c r="AH23" s="130"/>
      <c r="AI23" s="130"/>
    </row>
    <row r="24" spans="1:35" s="28" customFormat="1" ht="14.25" customHeight="1" collapsed="1">
      <c r="A24" s="345"/>
      <c r="B24" s="334"/>
      <c r="C24" s="514"/>
      <c r="D24" s="479"/>
      <c r="E24" s="732"/>
      <c r="F24" s="732"/>
      <c r="G24" s="732"/>
      <c r="H24" s="732"/>
      <c r="I24" s="732"/>
      <c r="J24" s="732"/>
      <c r="K24" s="732"/>
      <c r="L24" s="732"/>
      <c r="M24" s="732"/>
      <c r="N24" s="732"/>
      <c r="O24" s="732"/>
      <c r="P24" s="732"/>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c r="A25" s="345"/>
      <c r="B25" s="334"/>
      <c r="C25" s="376"/>
      <c r="D25" s="377"/>
      <c r="E25" s="482"/>
      <c r="F25" s="482"/>
      <c r="G25" s="482"/>
      <c r="H25" s="482"/>
      <c r="I25" s="482"/>
      <c r="J25" s="482"/>
      <c r="K25" s="482"/>
      <c r="L25" s="482"/>
      <c r="M25" s="482"/>
      <c r="N25" s="482"/>
      <c r="O25" s="482"/>
      <c r="P25" s="482"/>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c r="A26" s="350" t="s">
        <v>107</v>
      </c>
      <c r="B26" s="334"/>
      <c r="C26" s="136"/>
      <c r="D26" s="304" t="s">
        <v>126</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3" t="s">
        <v>53</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22"/>
      <c r="E28" s="723"/>
      <c r="F28" s="723"/>
      <c r="G28" s="723"/>
      <c r="H28" s="723"/>
      <c r="I28" s="723"/>
      <c r="J28" s="723"/>
      <c r="K28" s="723"/>
      <c r="L28" s="723"/>
      <c r="M28" s="723"/>
      <c r="N28" s="723"/>
      <c r="O28" s="723"/>
      <c r="P28" s="724"/>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c r="A29" s="344"/>
      <c r="B29" s="334"/>
      <c r="C29" s="232"/>
      <c r="D29" s="442" t="s">
        <v>60</v>
      </c>
      <c r="E29" s="292" t="s">
        <v>17</v>
      </c>
      <c r="F29" s="292" t="s">
        <v>18</v>
      </c>
      <c r="G29" s="292"/>
      <c r="H29" s="292"/>
      <c r="I29" s="292"/>
      <c r="J29" s="292"/>
      <c r="K29" s="292"/>
      <c r="L29" s="292"/>
      <c r="M29" s="292"/>
      <c r="N29" s="292"/>
      <c r="O29" s="292"/>
      <c r="P29" s="292" t="s">
        <v>19</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224</v>
      </c>
      <c r="F30" s="71">
        <v>1</v>
      </c>
      <c r="G30" s="72">
        <v>2</v>
      </c>
      <c r="H30" s="73">
        <v>3</v>
      </c>
      <c r="I30" s="74">
        <v>4</v>
      </c>
      <c r="J30" s="75">
        <v>5</v>
      </c>
      <c r="K30" s="76">
        <v>6</v>
      </c>
      <c r="L30" s="77">
        <v>7</v>
      </c>
      <c r="M30" s="78">
        <v>8</v>
      </c>
      <c r="N30" s="79">
        <v>9</v>
      </c>
      <c r="O30" s="80">
        <v>10</v>
      </c>
      <c r="P30" s="32" t="s">
        <v>0</v>
      </c>
      <c r="Q30" s="139"/>
      <c r="R30" s="334"/>
      <c r="S30" s="133">
        <f>VLOOKUP($E30,R.VL_DEQResourcesInvolved,2,FALSE)</f>
        <v>0</v>
      </c>
      <c r="T30" s="121">
        <f>VLOOKUP($E30,R.VL_DEQResourcesInvolved,3,FALSE)</f>
        <v>0</v>
      </c>
      <c r="U30" s="121">
        <f>IF(S30=10,T30,VLOOKUP($E30,R.VL_DEQResourcesInvolved,4,FALSE))</f>
        <v>0</v>
      </c>
      <c r="V30" s="128"/>
      <c r="W30" s="128"/>
      <c r="X30" s="575" t="s">
        <v>549</v>
      </c>
      <c r="Y30" s="436"/>
      <c r="Z30" s="436"/>
      <c r="AA30" s="436"/>
      <c r="AB30" s="64"/>
      <c r="AC30" s="64"/>
      <c r="AD30" s="64"/>
      <c r="AE30" s="64"/>
      <c r="AF30" s="130"/>
      <c r="AG30" s="130"/>
      <c r="AH30" s="130"/>
      <c r="AI30" s="130"/>
    </row>
    <row r="31" spans="1:35" s="28" customFormat="1" ht="15.75" hidden="1" customHeight="1" outlineLevel="1">
      <c r="A31" s="345"/>
      <c r="B31" s="334"/>
      <c r="C31" s="138"/>
      <c r="D31" s="36"/>
      <c r="E31" s="30" t="s">
        <v>224</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c r="A32" s="345"/>
      <c r="B32" s="334"/>
      <c r="C32" s="138"/>
      <c r="D32" s="36"/>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c r="A33" s="345"/>
      <c r="B33" s="334"/>
      <c r="C33" s="138"/>
      <c r="D33" s="36"/>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11" t="str">
        <f>SUM(T30:T33)&amp;"-"&amp;SUM(U30:U33)</f>
        <v>0-0</v>
      </c>
      <c r="W33" s="128"/>
      <c r="X33" s="436"/>
      <c r="Y33" s="436"/>
      <c r="Z33" s="436"/>
      <c r="AA33" s="436"/>
      <c r="AB33" s="64"/>
      <c r="AC33" s="64"/>
      <c r="AD33" s="64"/>
      <c r="AE33" s="64"/>
      <c r="AF33" s="130"/>
      <c r="AG33" s="130"/>
      <c r="AH33" s="130"/>
      <c r="AI33" s="130"/>
    </row>
    <row r="34" spans="1:35" s="28" customFormat="1" ht="15.75" customHeight="1" collapsed="1">
      <c r="A34" s="345"/>
      <c r="B34" s="334"/>
      <c r="C34" s="142"/>
      <c r="D34" s="443" t="s">
        <v>52</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c r="A35" s="345"/>
      <c r="B35" s="334"/>
      <c r="C35" s="138"/>
      <c r="D35" s="733"/>
      <c r="E35" s="734"/>
      <c r="F35" s="734"/>
      <c r="G35" s="734"/>
      <c r="H35" s="734"/>
      <c r="I35" s="734"/>
      <c r="J35" s="734"/>
      <c r="K35" s="734"/>
      <c r="L35" s="734"/>
      <c r="M35" s="734"/>
      <c r="N35" s="734"/>
      <c r="O35" s="734"/>
      <c r="P35" s="735"/>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c r="A36" s="344"/>
      <c r="B36" s="334"/>
      <c r="C36" s="232"/>
      <c r="D36" s="442" t="s">
        <v>60</v>
      </c>
      <c r="E36" s="292" t="s">
        <v>17</v>
      </c>
      <c r="F36" s="292" t="s">
        <v>18</v>
      </c>
      <c r="G36" s="292"/>
      <c r="H36" s="292"/>
      <c r="I36" s="292"/>
      <c r="J36" s="292"/>
      <c r="K36" s="292"/>
      <c r="L36" s="292"/>
      <c r="M36" s="292"/>
      <c r="N36" s="292"/>
      <c r="O36" s="292"/>
      <c r="P36" s="292" t="s">
        <v>19</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224</v>
      </c>
      <c r="F37" s="71">
        <v>1</v>
      </c>
      <c r="G37" s="72">
        <v>2</v>
      </c>
      <c r="H37" s="73">
        <v>3</v>
      </c>
      <c r="I37" s="74">
        <v>4</v>
      </c>
      <c r="J37" s="75">
        <v>5</v>
      </c>
      <c r="K37" s="76">
        <v>6</v>
      </c>
      <c r="L37" s="77">
        <v>7</v>
      </c>
      <c r="M37" s="78">
        <v>8</v>
      </c>
      <c r="N37" s="79">
        <v>9</v>
      </c>
      <c r="O37" s="80">
        <v>10</v>
      </c>
      <c r="P37" s="32" t="s">
        <v>0</v>
      </c>
      <c r="Q37" s="139"/>
      <c r="R37" s="334"/>
      <c r="S37" s="133">
        <f>VLOOKUP($E37,R.VL_DEQResourcesInvolved,2,FALSE)</f>
        <v>0</v>
      </c>
      <c r="T37" s="121">
        <f>VLOOKUP($E37,R.VL_DEQResourcesInvolved,3,FALSE)</f>
        <v>0</v>
      </c>
      <c r="U37" s="121">
        <f>IF(S37=10,T37,VLOOKUP($E37,R.VL_DEQResourcesInvolved,4,FALSE))</f>
        <v>0</v>
      </c>
      <c r="V37" s="128"/>
      <c r="W37" s="128"/>
      <c r="X37" s="575" t="s">
        <v>549</v>
      </c>
      <c r="Y37" s="436"/>
      <c r="Z37" s="436"/>
      <c r="AA37" s="436"/>
      <c r="AB37" s="64"/>
      <c r="AC37" s="64"/>
      <c r="AD37" s="64"/>
      <c r="AE37" s="64"/>
      <c r="AF37" s="130"/>
      <c r="AG37" s="130"/>
      <c r="AH37" s="130"/>
      <c r="AI37" s="130"/>
    </row>
    <row r="38" spans="1:35" s="28" customFormat="1" ht="15.75" hidden="1" customHeight="1" outlineLevel="1">
      <c r="A38" s="345"/>
      <c r="B38" s="334"/>
      <c r="C38" s="138"/>
      <c r="D38" s="36" t="s">
        <v>0</v>
      </c>
      <c r="E38" s="30" t="s">
        <v>224</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c r="A39" s="345"/>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c r="A40" s="345"/>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11" t="str">
        <f>SUM(T37:T40)&amp;"-"&amp;SUM(U37:U40)</f>
        <v>0-0</v>
      </c>
      <c r="W40" s="512" t="str">
        <f>SUM(T30:T40)&amp;"-"&amp;SUM(U30:U40)</f>
        <v>0-0</v>
      </c>
      <c r="X40" s="436"/>
      <c r="Y40" s="436"/>
      <c r="Z40" s="436"/>
      <c r="AA40" s="436"/>
      <c r="AB40" s="64"/>
      <c r="AC40" s="64"/>
      <c r="AD40" s="64"/>
      <c r="AE40" s="64"/>
      <c r="AF40" s="130"/>
      <c r="AG40" s="130"/>
      <c r="AH40" s="130"/>
      <c r="AI40" s="130"/>
    </row>
    <row r="41" spans="1:35" s="28" customFormat="1" ht="12.75" customHeight="1" collapsed="1">
      <c r="A41" s="345"/>
      <c r="B41" s="334"/>
      <c r="C41" s="138"/>
      <c r="D41" s="479"/>
      <c r="E41" s="732"/>
      <c r="F41" s="732"/>
      <c r="G41" s="732"/>
      <c r="H41" s="732"/>
      <c r="I41" s="732"/>
      <c r="J41" s="732"/>
      <c r="K41" s="732"/>
      <c r="L41" s="732"/>
      <c r="M41" s="732"/>
      <c r="N41" s="732"/>
      <c r="O41" s="732"/>
      <c r="P41" s="732"/>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c r="A42" s="345"/>
      <c r="B42" s="334"/>
      <c r="C42" s="376"/>
      <c r="D42" s="377"/>
      <c r="E42" s="738"/>
      <c r="F42" s="738"/>
      <c r="G42" s="738"/>
      <c r="H42" s="738"/>
      <c r="I42" s="738"/>
      <c r="J42" s="738"/>
      <c r="K42" s="738"/>
      <c r="L42" s="738"/>
      <c r="M42" s="738"/>
      <c r="N42" s="738"/>
      <c r="O42" s="738"/>
      <c r="P42" s="738"/>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c r="A43" s="350" t="s">
        <v>107</v>
      </c>
      <c r="B43" s="334"/>
      <c r="C43" s="480" t="s">
        <v>0</v>
      </c>
      <c r="D43" s="304" t="s">
        <v>127</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3" t="s">
        <v>53</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22"/>
      <c r="E45" s="723"/>
      <c r="F45" s="723"/>
      <c r="G45" s="723"/>
      <c r="H45" s="723"/>
      <c r="I45" s="723"/>
      <c r="J45" s="723"/>
      <c r="K45" s="723"/>
      <c r="L45" s="723"/>
      <c r="M45" s="723"/>
      <c r="N45" s="723"/>
      <c r="O45" s="723"/>
      <c r="P45" s="724"/>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c r="A46" s="344"/>
      <c r="B46" s="334"/>
      <c r="C46" s="232"/>
      <c r="D46" s="442" t="s">
        <v>60</v>
      </c>
      <c r="E46" s="292" t="s">
        <v>17</v>
      </c>
      <c r="F46" s="739" t="s">
        <v>18</v>
      </c>
      <c r="G46" s="739"/>
      <c r="H46" s="739"/>
      <c r="I46" s="739"/>
      <c r="J46" s="739"/>
      <c r="K46" s="739"/>
      <c r="L46" s="739"/>
      <c r="M46" s="739"/>
      <c r="N46" s="739"/>
      <c r="O46" s="739"/>
      <c r="P46" s="292" t="s">
        <v>19</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224</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128"/>
      <c r="W47" s="128"/>
      <c r="X47" s="575" t="s">
        <v>549</v>
      </c>
      <c r="Y47" s="436"/>
      <c r="Z47" s="436"/>
      <c r="AA47" s="436"/>
      <c r="AB47" s="64"/>
      <c r="AC47" s="64"/>
      <c r="AD47" s="64"/>
      <c r="AE47" s="64"/>
      <c r="AF47" s="130"/>
      <c r="AG47" s="130"/>
      <c r="AH47" s="130"/>
      <c r="AI47" s="130"/>
    </row>
    <row r="48" spans="1:35" s="28" customFormat="1" ht="15.75" hidden="1" customHeight="1" outlineLevel="1">
      <c r="A48" s="345"/>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c r="A49" s="345"/>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c r="A50" s="345"/>
      <c r="B50" s="334"/>
      <c r="C50" s="138"/>
      <c r="D50" s="36"/>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11" t="str">
        <f>SUM(T47:T50)&amp;"-"&amp;SUM(U47:U50)</f>
        <v>0-0</v>
      </c>
      <c r="W50" s="128"/>
      <c r="X50" s="436"/>
      <c r="Y50" s="436"/>
      <c r="Z50" s="436"/>
      <c r="AA50" s="436"/>
      <c r="AB50" s="64"/>
      <c r="AC50" s="64"/>
      <c r="AD50" s="64"/>
      <c r="AE50" s="64"/>
      <c r="AF50" s="130"/>
      <c r="AG50" s="130"/>
      <c r="AH50" s="130"/>
      <c r="AI50" s="130"/>
    </row>
    <row r="51" spans="1:35" s="28" customFormat="1" ht="15.75" customHeight="1" collapsed="1">
      <c r="A51" s="345"/>
      <c r="B51" s="334"/>
      <c r="C51" s="245"/>
      <c r="D51" s="442" t="s">
        <v>52</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22"/>
      <c r="E52" s="723"/>
      <c r="F52" s="723"/>
      <c r="G52" s="723"/>
      <c r="H52" s="723"/>
      <c r="I52" s="723"/>
      <c r="J52" s="723"/>
      <c r="K52" s="723"/>
      <c r="L52" s="723"/>
      <c r="M52" s="723"/>
      <c r="N52" s="723"/>
      <c r="O52" s="723"/>
      <c r="P52" s="724"/>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c r="A53" s="344"/>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224</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128"/>
      <c r="W54" s="128"/>
      <c r="X54" s="575" t="s">
        <v>549</v>
      </c>
      <c r="Y54" s="436"/>
      <c r="Z54" s="436"/>
      <c r="AA54" s="436"/>
      <c r="AB54" s="64"/>
      <c r="AC54" s="64"/>
      <c r="AD54" s="64"/>
      <c r="AE54" s="64"/>
      <c r="AF54" s="130"/>
      <c r="AG54" s="130"/>
      <c r="AH54" s="130"/>
      <c r="AI54" s="130"/>
    </row>
    <row r="55" spans="1:35" s="28" customFormat="1" ht="15.75" hidden="1" customHeight="1" outlineLevel="1">
      <c r="A55" s="345"/>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c r="A56" s="345"/>
      <c r="B56" s="334"/>
      <c r="C56" s="138"/>
      <c r="D56" s="36" t="s">
        <v>0</v>
      </c>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c r="A57" s="345"/>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11" t="str">
        <f>SUM(T54:T57)&amp;"-"&amp;SUM(U54:U57)</f>
        <v>0-0</v>
      </c>
      <c r="W57" s="512" t="str">
        <f>SUM(T47:T57)&amp;"-"&amp;SUM(U47:U57)</f>
        <v>0-0</v>
      </c>
      <c r="X57" s="436"/>
      <c r="Y57" s="436"/>
      <c r="Z57" s="436"/>
      <c r="AA57" s="436"/>
      <c r="AB57" s="64"/>
      <c r="AC57" s="64"/>
      <c r="AD57" s="64"/>
      <c r="AE57" s="64"/>
      <c r="AF57" s="130"/>
      <c r="AG57" s="130"/>
      <c r="AH57" s="130"/>
      <c r="AI57" s="130"/>
    </row>
    <row r="58" spans="1:35" s="28" customFormat="1" ht="8.25" customHeight="1" collapsed="1">
      <c r="A58" s="345"/>
      <c r="B58" s="334"/>
      <c r="C58" s="138"/>
      <c r="D58" s="479"/>
      <c r="E58" s="732"/>
      <c r="F58" s="732"/>
      <c r="G58" s="732"/>
      <c r="H58" s="732"/>
      <c r="I58" s="732"/>
      <c r="J58" s="732"/>
      <c r="K58" s="732"/>
      <c r="L58" s="732"/>
      <c r="M58" s="732"/>
      <c r="N58" s="732"/>
      <c r="O58" s="732"/>
      <c r="P58" s="732"/>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c r="A59" s="345"/>
      <c r="B59" s="334"/>
      <c r="C59" s="376"/>
      <c r="D59" s="377"/>
      <c r="E59" s="482"/>
      <c r="F59" s="482"/>
      <c r="G59" s="482"/>
      <c r="H59" s="482"/>
      <c r="I59" s="482"/>
      <c r="J59" s="482"/>
      <c r="K59" s="482"/>
      <c r="L59" s="482"/>
      <c r="M59" s="482"/>
      <c r="N59" s="482"/>
      <c r="O59" s="482"/>
      <c r="P59" s="482"/>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c r="A60" s="350" t="s">
        <v>107</v>
      </c>
      <c r="B60" s="334"/>
      <c r="C60" s="136"/>
      <c r="D60" s="381" t="s">
        <v>192</v>
      </c>
      <c r="E60" s="737" t="s">
        <v>193</v>
      </c>
      <c r="F60" s="737"/>
      <c r="G60" s="737"/>
      <c r="H60" s="737"/>
      <c r="I60" s="737"/>
      <c r="J60" s="737"/>
      <c r="K60" s="737"/>
      <c r="L60" s="737"/>
      <c r="M60" s="737"/>
      <c r="N60" s="737"/>
      <c r="O60" s="737"/>
      <c r="P60" s="737"/>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3" t="s">
        <v>53</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22" t="s">
        <v>0</v>
      </c>
      <c r="E62" s="723"/>
      <c r="F62" s="723"/>
      <c r="G62" s="723"/>
      <c r="H62" s="723"/>
      <c r="I62" s="723"/>
      <c r="J62" s="723"/>
      <c r="K62" s="723"/>
      <c r="L62" s="723"/>
      <c r="M62" s="723"/>
      <c r="N62" s="723"/>
      <c r="O62" s="723"/>
      <c r="P62" s="724"/>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c r="A63" s="344"/>
      <c r="B63" s="334"/>
      <c r="C63" s="232"/>
      <c r="D63" s="442" t="s">
        <v>60</v>
      </c>
      <c r="E63" s="292" t="s">
        <v>17</v>
      </c>
      <c r="F63" s="292" t="s">
        <v>18</v>
      </c>
      <c r="G63" s="292"/>
      <c r="H63" s="292"/>
      <c r="I63" s="292"/>
      <c r="J63" s="292"/>
      <c r="K63" s="292"/>
      <c r="L63" s="292"/>
      <c r="M63" s="292"/>
      <c r="N63" s="292"/>
      <c r="O63" s="292"/>
      <c r="P63" s="292" t="s">
        <v>19</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224</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128"/>
      <c r="W64" s="128"/>
      <c r="X64" s="575" t="s">
        <v>549</v>
      </c>
      <c r="Y64" s="436"/>
      <c r="Z64" s="436"/>
      <c r="AA64" s="436"/>
      <c r="AB64" s="64"/>
      <c r="AC64" s="64"/>
      <c r="AD64" s="64"/>
      <c r="AE64" s="64"/>
      <c r="AF64" s="130"/>
      <c r="AG64" s="130"/>
      <c r="AH64" s="130"/>
      <c r="AI64" s="130"/>
    </row>
    <row r="65" spans="1:35" s="28" customFormat="1" ht="15.75" hidden="1" customHeight="1" outlineLevel="1">
      <c r="A65" s="345"/>
      <c r="B65" s="334"/>
      <c r="C65" s="138"/>
      <c r="D65" s="36" t="s">
        <v>0</v>
      </c>
      <c r="E65" s="30" t="s">
        <v>224</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c r="A66" s="345"/>
      <c r="B66" s="334"/>
      <c r="C66" s="138"/>
      <c r="D66" s="36" t="s">
        <v>0</v>
      </c>
      <c r="E66" s="30" t="s">
        <v>224</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c r="A67" s="345"/>
      <c r="B67" s="334"/>
      <c r="C67" s="138"/>
      <c r="D67" s="36" t="s">
        <v>0</v>
      </c>
      <c r="E67" s="30" t="s">
        <v>224</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11" t="str">
        <f>SUM(T64:T67)&amp;"-"&amp;SUM(U64:U67)</f>
        <v>0-0</v>
      </c>
      <c r="W67" s="128"/>
      <c r="X67" s="436"/>
      <c r="Y67" s="436"/>
      <c r="Z67" s="436"/>
      <c r="AA67" s="436"/>
      <c r="AB67" s="64"/>
      <c r="AC67" s="64"/>
      <c r="AD67" s="64"/>
      <c r="AE67" s="64"/>
      <c r="AF67" s="130"/>
      <c r="AG67" s="130"/>
      <c r="AH67" s="130"/>
      <c r="AI67" s="130"/>
    </row>
    <row r="68" spans="1:35" s="28" customFormat="1" ht="15.75" customHeight="1" collapsed="1">
      <c r="A68" s="345"/>
      <c r="B68" s="334"/>
      <c r="C68" s="468"/>
      <c r="D68" s="435"/>
      <c r="E68" s="435"/>
      <c r="F68" s="435"/>
      <c r="G68" s="435"/>
      <c r="H68" s="435"/>
      <c r="I68" s="435"/>
      <c r="J68" s="435"/>
      <c r="K68" s="435"/>
      <c r="L68" s="435"/>
      <c r="M68" s="435"/>
      <c r="N68" s="435"/>
      <c r="O68" s="435"/>
      <c r="P68" s="435"/>
      <c r="Q68" s="469"/>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c r="A69" s="345"/>
      <c r="B69" s="334"/>
      <c r="C69" s="142"/>
      <c r="D69" s="443" t="s">
        <v>52</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c r="A70" s="345"/>
      <c r="B70" s="334"/>
      <c r="C70" s="138"/>
      <c r="D70" s="733"/>
      <c r="E70" s="734"/>
      <c r="F70" s="734"/>
      <c r="G70" s="734"/>
      <c r="H70" s="734"/>
      <c r="I70" s="734"/>
      <c r="J70" s="734"/>
      <c r="K70" s="734"/>
      <c r="L70" s="734"/>
      <c r="M70" s="734"/>
      <c r="N70" s="734"/>
      <c r="O70" s="734"/>
      <c r="P70" s="735"/>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c r="A71" s="344"/>
      <c r="B71" s="334"/>
      <c r="C71" s="232"/>
      <c r="D71" s="442" t="s">
        <v>60</v>
      </c>
      <c r="E71" s="292" t="s">
        <v>17</v>
      </c>
      <c r="F71" s="292" t="s">
        <v>18</v>
      </c>
      <c r="G71" s="292"/>
      <c r="H71" s="292"/>
      <c r="I71" s="292"/>
      <c r="J71" s="292"/>
      <c r="K71" s="292"/>
      <c r="L71" s="292"/>
      <c r="M71" s="292"/>
      <c r="N71" s="292"/>
      <c r="O71" s="292"/>
      <c r="P71" s="292" t="s">
        <v>19</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224</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75" t="s">
        <v>549</v>
      </c>
      <c r="Y72" s="436"/>
      <c r="Z72" s="436"/>
      <c r="AA72" s="436"/>
      <c r="AB72" s="64"/>
      <c r="AC72" s="64"/>
      <c r="AD72" s="64"/>
      <c r="AE72" s="64"/>
      <c r="AF72" s="130"/>
      <c r="AG72" s="130"/>
      <c r="AH72" s="130"/>
      <c r="AI72" s="130"/>
    </row>
    <row r="73" spans="1:35" s="28" customFormat="1" ht="15.75" hidden="1" customHeight="1" outlineLevel="1">
      <c r="A73" s="345"/>
      <c r="B73" s="334"/>
      <c r="C73" s="138"/>
      <c r="D73" s="36" t="s">
        <v>0</v>
      </c>
      <c r="E73" s="30" t="s">
        <v>224</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c r="A74" s="345"/>
      <c r="B74" s="334"/>
      <c r="C74" s="138"/>
      <c r="D74" s="36" t="s">
        <v>0</v>
      </c>
      <c r="E74" s="30" t="s">
        <v>224</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c r="A75" s="345"/>
      <c r="B75" s="334"/>
      <c r="C75" s="138"/>
      <c r="D75" s="36" t="s">
        <v>0</v>
      </c>
      <c r="E75" s="30" t="s">
        <v>224</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11" t="str">
        <f>SUM(T72:T75)&amp;"-"&amp;SUM(U72:U75)</f>
        <v>0-0</v>
      </c>
      <c r="W75" s="512" t="str">
        <f>SUM(T64:T75)&amp;"-"&amp;SUM(U64:U75)</f>
        <v>0-0</v>
      </c>
      <c r="X75" s="436"/>
      <c r="Y75" s="436"/>
      <c r="Z75" s="436"/>
      <c r="AA75" s="436"/>
      <c r="AB75" s="64"/>
      <c r="AC75" s="64"/>
      <c r="AD75" s="64"/>
      <c r="AE75" s="64"/>
      <c r="AF75" s="130"/>
      <c r="AG75" s="130"/>
      <c r="AH75" s="130"/>
      <c r="AI75" s="130"/>
    </row>
    <row r="76" spans="1:35" s="28" customFormat="1" ht="8.25" customHeight="1" collapsed="1">
      <c r="A76" s="345"/>
      <c r="B76" s="334"/>
      <c r="C76" s="138"/>
      <c r="D76" s="479"/>
      <c r="E76" s="732"/>
      <c r="F76" s="732"/>
      <c r="G76" s="732"/>
      <c r="H76" s="732"/>
      <c r="I76" s="732"/>
      <c r="J76" s="732"/>
      <c r="K76" s="732"/>
      <c r="L76" s="732"/>
      <c r="M76" s="732"/>
      <c r="N76" s="732"/>
      <c r="O76" s="732"/>
      <c r="P76" s="732"/>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c r="A77" s="345"/>
      <c r="B77" s="334"/>
      <c r="C77" s="376"/>
      <c r="D77" s="377"/>
      <c r="E77" s="482"/>
      <c r="F77" s="482"/>
      <c r="G77" s="482"/>
      <c r="H77" s="482"/>
      <c r="I77" s="482"/>
      <c r="J77" s="482"/>
      <c r="K77" s="482"/>
      <c r="L77" s="482"/>
      <c r="M77" s="482"/>
      <c r="N77" s="482"/>
      <c r="O77" s="482"/>
      <c r="P77" s="482"/>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c r="A78" s="344"/>
      <c r="B78" s="334"/>
      <c r="C78" s="146"/>
      <c r="D78" s="736" t="str">
        <f>"Please suggest process improvements to the "&amp;D2&amp;" worksheet."</f>
        <v>Please suggest process improvements to the Other Divisions worksheet.</v>
      </c>
      <c r="E78" s="736"/>
      <c r="F78" s="736"/>
      <c r="G78" s="470"/>
      <c r="H78" s="471"/>
      <c r="I78" s="472"/>
      <c r="J78" s="473"/>
      <c r="K78" s="474"/>
      <c r="L78" s="475"/>
      <c r="M78" s="476"/>
      <c r="N78" s="477"/>
      <c r="O78" s="478"/>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c r="A79" s="350"/>
      <c r="B79" s="334"/>
      <c r="C79" s="136"/>
      <c r="D79" s="650"/>
      <c r="E79" s="651"/>
      <c r="F79" s="651"/>
      <c r="G79" s="651"/>
      <c r="H79" s="651"/>
      <c r="I79" s="651"/>
      <c r="J79" s="651"/>
      <c r="K79" s="651"/>
      <c r="L79" s="651"/>
      <c r="M79" s="651"/>
      <c r="N79" s="651"/>
      <c r="O79" s="651"/>
      <c r="P79" s="652"/>
      <c r="Q79" s="148"/>
      <c r="R79" s="334"/>
      <c r="S79" s="132"/>
      <c r="T79" s="131"/>
      <c r="U79" s="131"/>
      <c r="V79" s="131"/>
      <c r="W79" s="131"/>
      <c r="X79" s="436"/>
      <c r="Y79" s="436"/>
      <c r="Z79" s="436"/>
      <c r="AA79" s="436"/>
      <c r="AB79" s="64"/>
      <c r="AC79" s="64"/>
      <c r="AD79" s="64"/>
      <c r="AE79" s="64"/>
      <c r="AF79" s="66"/>
      <c r="AG79" s="66"/>
      <c r="AH79" s="66"/>
      <c r="AI79" s="66"/>
    </row>
    <row r="80" spans="1:35" ht="18" customHeight="1">
      <c r="A80" s="350" t="s">
        <v>108</v>
      </c>
      <c r="B80" s="334"/>
      <c r="C80" s="149"/>
      <c r="D80" s="150"/>
      <c r="E80" s="150"/>
      <c r="F80" s="150"/>
      <c r="G80" s="150"/>
      <c r="H80" s="150"/>
      <c r="I80" s="150"/>
      <c r="J80" s="150"/>
      <c r="K80" s="150"/>
      <c r="L80" s="150"/>
      <c r="M80" s="150"/>
      <c r="N80" s="150"/>
      <c r="O80" s="150"/>
      <c r="P80" s="150"/>
      <c r="Q80" s="151"/>
      <c r="R80" s="334"/>
      <c r="AB80" s="111"/>
      <c r="AC80" s="111"/>
    </row>
    <row r="81" spans="1:29" s="64" customFormat="1" ht="13.8">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c r="A82" s="337"/>
      <c r="C82" s="112"/>
      <c r="D82" s="436"/>
      <c r="E82" s="436"/>
      <c r="F82" s="436"/>
      <c r="G82" s="436"/>
      <c r="H82" s="436"/>
      <c r="I82" s="435"/>
      <c r="J82" s="435"/>
      <c r="K82" s="435"/>
      <c r="L82" s="295"/>
      <c r="M82" s="296"/>
      <c r="N82" s="702"/>
      <c r="O82" s="702"/>
      <c r="P82" s="702"/>
      <c r="Q82" s="702"/>
      <c r="R82" s="702"/>
      <c r="S82" s="702"/>
      <c r="T82" s="702"/>
      <c r="U82" s="702"/>
      <c r="V82" s="702"/>
      <c r="W82" s="702"/>
      <c r="X82" s="702"/>
      <c r="Y82" s="702"/>
      <c r="Z82" s="702"/>
      <c r="AA82" s="702"/>
      <c r="AB82" s="95"/>
      <c r="AC82" s="111"/>
    </row>
    <row r="83" spans="1:29" s="64" customFormat="1">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E60:P60"/>
    <mergeCell ref="E42:P42"/>
    <mergeCell ref="D45:P45"/>
    <mergeCell ref="F46:O46"/>
    <mergeCell ref="E58:P58"/>
    <mergeCell ref="D79:P79"/>
    <mergeCell ref="D62:P62"/>
    <mergeCell ref="D70:P70"/>
    <mergeCell ref="D78:F78"/>
    <mergeCell ref="E76:P7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547" priority="377" stopIfTrue="1">
      <formula>IF($S13&lt;9,TRUE,)</formula>
    </cfRule>
  </conditionalFormatting>
  <conditionalFormatting sqref="M13:M16 M20:M23 M30:M33 M72:M75 M47:M50 M54:M57 M64:M67 M37:M40">
    <cfRule type="expression" dxfId="2546" priority="376" stopIfTrue="1">
      <formula>IF($S13&lt;8,TRUE,)</formula>
    </cfRule>
  </conditionalFormatting>
  <conditionalFormatting sqref="L13:L16 L20:L23 L30:L33 L72:L75 L47:L50 L54:L57 L64:L67 L37:L40">
    <cfRule type="expression" dxfId="2545" priority="375" stopIfTrue="1">
      <formula>IF($S13&lt;7,TRUE,)</formula>
    </cfRule>
  </conditionalFormatting>
  <conditionalFormatting sqref="K13:K16 K20:K23 K30:K33 K72:K75 K47:K50 K54:K57 K64:K67 K37:K40">
    <cfRule type="expression" dxfId="2544" priority="374" stopIfTrue="1">
      <formula>IF($S13&lt;6,TRUE,)</formula>
    </cfRule>
  </conditionalFormatting>
  <conditionalFormatting sqref="J13:J16 J20:J23 J30:J33 J72:J75 J47:J50 J54:J57 J64:J67 J37:J40">
    <cfRule type="expression" dxfId="2543" priority="373" stopIfTrue="1">
      <formula>IF($S13&lt;5,TRUE,)</formula>
    </cfRule>
  </conditionalFormatting>
  <conditionalFormatting sqref="I13:I16 I20:I23 I30:I33 I72:I75 I47:I50 I54:I57 I64:I67 I37:I40">
    <cfRule type="expression" dxfId="2542" priority="372" stopIfTrue="1">
      <formula>IF($S13&lt;4,TRUE,)</formula>
    </cfRule>
  </conditionalFormatting>
  <conditionalFormatting sqref="H13:H16 H20:H23 H30:H33 H72:H75 H47:H50 H54:H57 H64:H67 H37:H40">
    <cfRule type="expression" dxfId="2541" priority="371" stopIfTrue="1">
      <formula>IF($S13&lt;3,TRUE,)</formula>
    </cfRule>
  </conditionalFormatting>
  <conditionalFormatting sqref="G13:G16 G20:G23 G30:G33 G72:G75 G47:G50 G54:G57 G64:G67 G37:G40">
    <cfRule type="expression" dxfId="2540" priority="370" stopIfTrue="1">
      <formula>IF($S13&lt;2,TRUE,)</formula>
    </cfRule>
  </conditionalFormatting>
  <conditionalFormatting sqref="F13:F16 F20:F23 F30:F33 F72:F75 F47:F50 F54:F57 F64:F67 F37:F40">
    <cfRule type="expression" dxfId="2539" priority="369" stopIfTrue="1">
      <formula>IF($S13&lt;1,TRUE,)</formula>
    </cfRule>
  </conditionalFormatting>
  <conditionalFormatting sqref="O13:O16 O20:O23 O30:O33 O72:O75 O47:O50 O54:O57 O64:O67 O37:O40">
    <cfRule type="expression" dxfId="2538"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ategory xmlns="$ListId:docs;">Blank</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15DF8A1C-C0FF-4269-A68B-F44447F6A9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642</vt:i4>
      </vt:variant>
    </vt:vector>
  </HeadingPairs>
  <TitlesOfParts>
    <vt:vector size="662"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9OCO</vt:lpstr>
      <vt:lpstr>10OrgServices</vt:lpstr>
      <vt:lpstr>11TechServices</vt:lpstr>
      <vt:lpstr>12OCE</vt:lpstr>
      <vt:lpstr>13LEAD</vt:lpstr>
      <vt:lpstr>14Intergovernmental</vt:lpstr>
      <vt:lpstr>15CustomParticipants</vt:lpstr>
      <vt:lpstr>Sheet1</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PCAdmin</cp:lastModifiedBy>
  <cp:lastPrinted>2012-08-20T17:54:52Z</cp:lastPrinted>
  <dcterms:created xsi:type="dcterms:W3CDTF">2012-04-11T21:44:01Z</dcterms:created>
  <dcterms:modified xsi:type="dcterms:W3CDTF">2014-04-15T18:13:53Z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