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omments11.xml" ContentType="application/vnd.openxmlformats-officedocument.spreadsheetml.comments+xml"/>
  <Override PartName="/xl/drawings/drawing12.xml" ContentType="application/vnd.openxmlformats-officedocument.drawing+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omments12.xml" ContentType="application/vnd.openxmlformats-officedocument.spreadsheetml.comments+xml"/>
  <Override PartName="/xl/drawings/drawing13.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omments13.xml" ContentType="application/vnd.openxmlformats-officedocument.spreadsheetml.comments+xml"/>
  <Override PartName="/xl/drawings/drawing14.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omments1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ttp://deqsps/programs/rulemaking/aq/sippm25/docs/1-Planning/"/>
    </mc:Choice>
  </mc:AlternateContent>
  <bookViews>
    <workbookView xWindow="-15" yWindow="870" windowWidth="9120" windowHeight="7635" tabRatio="753"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52511"/>
</workbook>
</file>

<file path=xl/calcChain.xml><?xml version="1.0" encoding="utf-8"?>
<calcChain xmlns="http://schemas.openxmlformats.org/spreadsheetml/2006/main">
  <c r="D5" i="86" l="1"/>
  <c r="Y4" i="95" l="1"/>
  <c r="Z37" i="95" s="1"/>
  <c r="D30" i="86"/>
  <c r="X4" i="95"/>
  <c r="I344" i="107"/>
  <c r="I345" i="107"/>
  <c r="I347" i="107"/>
  <c r="I342" i="107"/>
  <c r="I343" i="107"/>
  <c r="I337" i="107"/>
  <c r="I340" i="107"/>
  <c r="I341" i="107"/>
  <c r="I338" i="107"/>
  <c r="I339" i="107"/>
  <c r="I336" i="107"/>
  <c r="I335" i="107"/>
  <c r="AH9" i="86"/>
  <c r="I6" i="107"/>
  <c r="I7" i="107"/>
  <c r="I8" i="107"/>
  <c r="I9" i="107"/>
  <c r="I10" i="107"/>
  <c r="I11" i="107"/>
  <c r="I12" i="107"/>
  <c r="I13" i="107"/>
  <c r="I14" i="107"/>
  <c r="I15" i="107"/>
  <c r="I16" i="107"/>
  <c r="I17" i="107"/>
  <c r="I18" i="107"/>
  <c r="I19" i="107"/>
  <c r="I20" i="107"/>
  <c r="I21" i="107"/>
  <c r="I22" i="107"/>
  <c r="I23" i="107"/>
  <c r="I24" i="107"/>
  <c r="I25" i="107"/>
  <c r="I26" i="107"/>
  <c r="I27" i="107"/>
  <c r="I28" i="107"/>
  <c r="I29" i="107"/>
  <c r="I30" i="107"/>
  <c r="I31" i="107"/>
  <c r="I32" i="107"/>
  <c r="I33" i="107"/>
  <c r="I34" i="107"/>
  <c r="I35" i="107"/>
  <c r="I36" i="107"/>
  <c r="I37" i="107"/>
  <c r="I38" i="107"/>
  <c r="I39" i="107"/>
  <c r="I40" i="107"/>
  <c r="I41" i="107"/>
  <c r="I42" i="107"/>
  <c r="I43" i="107"/>
  <c r="I44" i="107"/>
  <c r="I45" i="107"/>
  <c r="I46" i="107"/>
  <c r="I47" i="107"/>
  <c r="I48" i="107"/>
  <c r="I49" i="107"/>
  <c r="I50" i="107"/>
  <c r="I51" i="107"/>
  <c r="I52" i="107"/>
  <c r="I53" i="107"/>
  <c r="I54" i="107"/>
  <c r="I55" i="107"/>
  <c r="I56" i="107"/>
  <c r="I57" i="107"/>
  <c r="I58" i="107"/>
  <c r="I59" i="107"/>
  <c r="I60" i="107"/>
  <c r="I61" i="107"/>
  <c r="I62" i="107"/>
  <c r="I63" i="107"/>
  <c r="I64" i="107"/>
  <c r="I65" i="107"/>
  <c r="I66" i="107"/>
  <c r="I67" i="107"/>
  <c r="I68" i="107"/>
  <c r="I69" i="107"/>
  <c r="I70" i="107"/>
  <c r="I71" i="107"/>
  <c r="I72" i="107"/>
  <c r="I73" i="107"/>
  <c r="I74" i="107"/>
  <c r="I75" i="107"/>
  <c r="I76" i="107"/>
  <c r="I77" i="107"/>
  <c r="I78" i="107"/>
  <c r="I79" i="107"/>
  <c r="I80" i="107"/>
  <c r="I81" i="107"/>
  <c r="I82" i="107"/>
  <c r="I83" i="107"/>
  <c r="I84" i="107"/>
  <c r="I85" i="107"/>
  <c r="I86" i="107"/>
  <c r="I87" i="107"/>
  <c r="I88" i="107"/>
  <c r="I89" i="107"/>
  <c r="I90" i="107"/>
  <c r="I91" i="107"/>
  <c r="I92" i="107"/>
  <c r="I93" i="107"/>
  <c r="I94" i="107"/>
  <c r="I95" i="107"/>
  <c r="I96" i="107"/>
  <c r="I97" i="107"/>
  <c r="I98" i="107"/>
  <c r="I99" i="107"/>
  <c r="I100" i="107"/>
  <c r="I101" i="107"/>
  <c r="I102" i="107"/>
  <c r="I103" i="107"/>
  <c r="I104" i="107"/>
  <c r="I105" i="107"/>
  <c r="I106" i="107"/>
  <c r="I107" i="107"/>
  <c r="I108" i="107"/>
  <c r="I109" i="107"/>
  <c r="I110" i="107"/>
  <c r="I111" i="107"/>
  <c r="I112" i="107"/>
  <c r="I113" i="107"/>
  <c r="I114" i="107"/>
  <c r="I115" i="107"/>
  <c r="I116" i="107"/>
  <c r="I117" i="107"/>
  <c r="I118" i="107"/>
  <c r="I119" i="107"/>
  <c r="I120" i="107"/>
  <c r="I121" i="107"/>
  <c r="I122" i="107"/>
  <c r="I123" i="107"/>
  <c r="I124" i="107"/>
  <c r="I125" i="107"/>
  <c r="I126" i="107"/>
  <c r="I127" i="107"/>
  <c r="I128" i="107"/>
  <c r="I129" i="107"/>
  <c r="I130" i="107"/>
  <c r="I131" i="107"/>
  <c r="I132" i="107"/>
  <c r="I133" i="107"/>
  <c r="I134" i="107"/>
  <c r="I135" i="107"/>
  <c r="I136" i="107"/>
  <c r="I137" i="107"/>
  <c r="I138" i="107"/>
  <c r="I139" i="107"/>
  <c r="I140" i="107"/>
  <c r="I141" i="107"/>
  <c r="I142" i="107"/>
  <c r="I143" i="107"/>
  <c r="I144" i="107"/>
  <c r="I145" i="107"/>
  <c r="I146" i="107"/>
  <c r="I147" i="107"/>
  <c r="I148" i="107"/>
  <c r="I149" i="107"/>
  <c r="I150" i="107"/>
  <c r="I151" i="107"/>
  <c r="I152" i="107"/>
  <c r="I153" i="107"/>
  <c r="I154" i="107"/>
  <c r="I155" i="107"/>
  <c r="I156" i="107"/>
  <c r="I157" i="107"/>
  <c r="I158" i="107"/>
  <c r="I159" i="107"/>
  <c r="I160" i="107"/>
  <c r="I161" i="107"/>
  <c r="I162" i="107"/>
  <c r="I163" i="107"/>
  <c r="I164" i="107"/>
  <c r="I165" i="107"/>
  <c r="I166" i="107"/>
  <c r="I167" i="107"/>
  <c r="I168" i="107"/>
  <c r="I169" i="107"/>
  <c r="I170" i="107"/>
  <c r="I171" i="107"/>
  <c r="I172" i="107"/>
  <c r="I173" i="107"/>
  <c r="I174" i="107"/>
  <c r="I175" i="107"/>
  <c r="I176" i="107"/>
  <c r="I177" i="107"/>
  <c r="I178" i="107"/>
  <c r="I179" i="107"/>
  <c r="I180" i="107"/>
  <c r="I181" i="107"/>
  <c r="I182" i="107"/>
  <c r="I183" i="107"/>
  <c r="I184" i="107"/>
  <c r="I185" i="107"/>
  <c r="I186" i="107"/>
  <c r="I187" i="107"/>
  <c r="I188" i="107"/>
  <c r="I189" i="107"/>
  <c r="I190" i="107"/>
  <c r="I191" i="107"/>
  <c r="I192" i="107"/>
  <c r="I193" i="107"/>
  <c r="I194" i="107"/>
  <c r="I195" i="107"/>
  <c r="I196" i="107"/>
  <c r="I197" i="107"/>
  <c r="I198" i="107"/>
  <c r="I199" i="107"/>
  <c r="I200" i="107"/>
  <c r="I201" i="107"/>
  <c r="I202" i="107"/>
  <c r="I203" i="107"/>
  <c r="I204" i="107"/>
  <c r="I205" i="107"/>
  <c r="I206" i="107"/>
  <c r="I207" i="107"/>
  <c r="I208" i="107"/>
  <c r="I209" i="107"/>
  <c r="I210" i="107"/>
  <c r="I211" i="107"/>
  <c r="I212" i="107"/>
  <c r="I213" i="107"/>
  <c r="I214" i="107"/>
  <c r="I215" i="107"/>
  <c r="I216" i="107"/>
  <c r="I217" i="107"/>
  <c r="I218" i="107"/>
  <c r="I219" i="107"/>
  <c r="I220" i="107"/>
  <c r="I221" i="107"/>
  <c r="I222" i="107"/>
  <c r="I223" i="107"/>
  <c r="I224" i="107"/>
  <c r="I225" i="107"/>
  <c r="I226" i="107"/>
  <c r="I227" i="107"/>
  <c r="I228" i="107"/>
  <c r="I229" i="107"/>
  <c r="I230" i="107"/>
  <c r="I231" i="107"/>
  <c r="I232" i="107"/>
  <c r="I233" i="107"/>
  <c r="I234" i="107"/>
  <c r="I235" i="107"/>
  <c r="I236" i="107"/>
  <c r="I237" i="107"/>
  <c r="I238" i="107"/>
  <c r="I239" i="107"/>
  <c r="I240" i="107"/>
  <c r="I241" i="107"/>
  <c r="I242" i="107"/>
  <c r="I243" i="107"/>
  <c r="I244" i="107"/>
  <c r="I245" i="107"/>
  <c r="I246" i="107"/>
  <c r="I247" i="107"/>
  <c r="I248" i="107"/>
  <c r="I249" i="107"/>
  <c r="I250" i="107"/>
  <c r="I251" i="107"/>
  <c r="I252" i="107"/>
  <c r="I253" i="107"/>
  <c r="I254" i="107"/>
  <c r="I255" i="107"/>
  <c r="I256" i="107"/>
  <c r="I257" i="107"/>
  <c r="I258" i="107"/>
  <c r="I259" i="107"/>
  <c r="I260" i="107"/>
  <c r="I261" i="107"/>
  <c r="I262" i="107"/>
  <c r="I263" i="107"/>
  <c r="I264" i="107"/>
  <c r="I265" i="107"/>
  <c r="I266" i="107"/>
  <c r="I267" i="107"/>
  <c r="I268" i="107"/>
  <c r="I269" i="107"/>
  <c r="I270" i="107"/>
  <c r="I271" i="107"/>
  <c r="I272" i="107"/>
  <c r="I273" i="107"/>
  <c r="I274" i="107"/>
  <c r="I275" i="107"/>
  <c r="I276" i="107"/>
  <c r="I277" i="107"/>
  <c r="I278" i="107"/>
  <c r="I279" i="107"/>
  <c r="I280" i="107"/>
  <c r="I281" i="107"/>
  <c r="I282" i="107"/>
  <c r="I283" i="107"/>
  <c r="I284" i="107"/>
  <c r="I285" i="107"/>
  <c r="I286" i="107"/>
  <c r="I287" i="107"/>
  <c r="I288" i="107"/>
  <c r="I289" i="107"/>
  <c r="I290" i="107"/>
  <c r="I291" i="107"/>
  <c r="I292" i="107"/>
  <c r="I293" i="107"/>
  <c r="I294" i="107"/>
  <c r="I295" i="107"/>
  <c r="I296" i="107"/>
  <c r="I297" i="107"/>
  <c r="I298" i="107"/>
  <c r="I299" i="107"/>
  <c r="I300" i="107"/>
  <c r="I301" i="107"/>
  <c r="I302" i="107"/>
  <c r="I303" i="107"/>
  <c r="I304" i="107"/>
  <c r="I305" i="107"/>
  <c r="I306" i="107"/>
  <c r="I307" i="107"/>
  <c r="I308" i="107"/>
  <c r="I309" i="107"/>
  <c r="I310" i="107"/>
  <c r="I311" i="107"/>
  <c r="I312" i="107"/>
  <c r="I313" i="107"/>
  <c r="I314" i="107"/>
  <c r="I315" i="107"/>
  <c r="I316" i="107"/>
  <c r="I317" i="107"/>
  <c r="I318" i="107"/>
  <c r="I319" i="107"/>
  <c r="I320" i="107"/>
  <c r="I321" i="107"/>
  <c r="I322" i="107"/>
  <c r="I323" i="107"/>
  <c r="I324" i="107"/>
  <c r="I325" i="107"/>
  <c r="I326" i="107"/>
  <c r="I327" i="107"/>
  <c r="I328" i="107"/>
  <c r="I329" i="107"/>
  <c r="I330" i="107"/>
  <c r="I331" i="107"/>
  <c r="I332" i="107"/>
  <c r="I333" i="107"/>
  <c r="I334" i="107"/>
  <c r="I5" i="107"/>
  <c r="F2" i="103"/>
  <c r="F2" i="102"/>
  <c r="F2" i="101"/>
  <c r="F2" i="100"/>
  <c r="F2" i="98"/>
  <c r="G2" i="96"/>
  <c r="X16" i="95" l="1"/>
  <c r="D32" i="86" s="1"/>
  <c r="C61" i="106"/>
  <c r="C175" i="106"/>
  <c r="C172" i="106"/>
  <c r="C169" i="106"/>
  <c r="B168" i="106"/>
  <c r="X8" i="100"/>
  <c r="X9" i="101"/>
  <c r="C165" i="106"/>
  <c r="B164" i="106"/>
  <c r="B163" i="106"/>
  <c r="X12" i="100"/>
  <c r="B206" i="106"/>
  <c r="B205" i="106"/>
  <c r="B204" i="106"/>
  <c r="B203" i="106"/>
  <c r="B202" i="106"/>
  <c r="B201" i="106"/>
  <c r="B199" i="106"/>
  <c r="B200" i="106"/>
  <c r="B198" i="106"/>
  <c r="B196" i="106"/>
  <c r="B195" i="106"/>
  <c r="B194" i="106"/>
  <c r="B193" i="106"/>
  <c r="B192" i="106"/>
  <c r="B191" i="106"/>
  <c r="B190" i="106"/>
  <c r="B189" i="106"/>
  <c r="B188" i="106"/>
  <c r="B186" i="106"/>
  <c r="B185" i="106"/>
  <c r="B184" i="106"/>
  <c r="B183" i="106"/>
  <c r="B182" i="106"/>
  <c r="B181" i="106"/>
  <c r="B180" i="106"/>
  <c r="B179" i="106"/>
  <c r="B178" i="106"/>
  <c r="C160" i="106"/>
  <c r="C159" i="106"/>
  <c r="C158" i="106"/>
  <c r="C157" i="106"/>
  <c r="C156" i="106"/>
  <c r="C155" i="106"/>
  <c r="C153" i="106"/>
  <c r="AA11" i="96"/>
  <c r="AA12" i="96"/>
  <c r="B116" i="106" s="1"/>
  <c r="AA13" i="96"/>
  <c r="B117" i="106" s="1"/>
  <c r="AA14" i="96"/>
  <c r="B118" i="106" s="1"/>
  <c r="AA15" i="96"/>
  <c r="AA16" i="96"/>
  <c r="AA10" i="96"/>
  <c r="B114" i="106" s="1"/>
  <c r="C89" i="106"/>
  <c r="C90" i="106"/>
  <c r="C91" i="106"/>
  <c r="C92" i="106"/>
  <c r="C93" i="106"/>
  <c r="C88" i="106"/>
  <c r="C115" i="106"/>
  <c r="C116" i="106"/>
  <c r="C117" i="106"/>
  <c r="C118" i="106"/>
  <c r="C119" i="106"/>
  <c r="C120" i="106"/>
  <c r="C114" i="106"/>
  <c r="C140" i="106"/>
  <c r="B140" i="106" s="1"/>
  <c r="C141" i="106"/>
  <c r="B141" i="106" s="1"/>
  <c r="C139" i="106"/>
  <c r="B139" i="106" s="1"/>
  <c r="C148" i="106"/>
  <c r="B148" i="106" s="1"/>
  <c r="C149" i="106"/>
  <c r="B149" i="106" s="1"/>
  <c r="C150" i="106"/>
  <c r="B150" i="106" s="1"/>
  <c r="C151" i="106"/>
  <c r="B151" i="106" s="1"/>
  <c r="C152" i="106"/>
  <c r="B152" i="106" s="1"/>
  <c r="C147" i="106"/>
  <c r="B147" i="106" s="1"/>
  <c r="A148" i="106"/>
  <c r="A149" i="106"/>
  <c r="A150" i="106"/>
  <c r="A151" i="106"/>
  <c r="A152" i="106"/>
  <c r="A147" i="106"/>
  <c r="Y14" i="98"/>
  <c r="C146" i="106" s="1"/>
  <c r="C135" i="106"/>
  <c r="C143" i="106"/>
  <c r="C137" i="106"/>
  <c r="AC13" i="94"/>
  <c r="AC12" i="94"/>
  <c r="AB13" i="94"/>
  <c r="AB12" i="94"/>
  <c r="Z15" i="94"/>
  <c r="Z13" i="94"/>
  <c r="Z14" i="94"/>
  <c r="Z12" i="94"/>
  <c r="Z11" i="94"/>
  <c r="B115" i="106"/>
  <c r="B119" i="106"/>
  <c r="B120" i="106"/>
  <c r="A115" i="106"/>
  <c r="A116" i="106"/>
  <c r="A117" i="106"/>
  <c r="A118" i="106"/>
  <c r="A119" i="106"/>
  <c r="A120" i="106"/>
  <c r="A114" i="106"/>
  <c r="AA13" i="94"/>
  <c r="AA12" i="94"/>
  <c r="Y15" i="94"/>
  <c r="C109" i="106" s="1"/>
  <c r="Y14" i="94"/>
  <c r="C108" i="106" s="1"/>
  <c r="Y13" i="94"/>
  <c r="AD13" i="94" s="1"/>
  <c r="Y12" i="94"/>
  <c r="C105" i="106" s="1"/>
  <c r="Y11" i="94"/>
  <c r="C110" i="106"/>
  <c r="X19" i="95"/>
  <c r="B94" i="106" s="1"/>
  <c r="AE18" i="94"/>
  <c r="C103" i="106" s="1"/>
  <c r="Y20" i="94"/>
  <c r="B103" i="106" s="1"/>
  <c r="C100" i="106"/>
  <c r="B100" i="106"/>
  <c r="C99" i="106"/>
  <c r="AA16" i="92"/>
  <c r="Y51" i="92"/>
  <c r="C65" i="106" s="1"/>
  <c r="B4" i="106"/>
  <c r="Z9" i="95"/>
  <c r="B89" i="106" s="1"/>
  <c r="Z10" i="95"/>
  <c r="B90" i="106" s="1"/>
  <c r="Z11" i="95"/>
  <c r="B91" i="106" s="1"/>
  <c r="Z12" i="95"/>
  <c r="B92" i="106" s="1"/>
  <c r="Z13" i="95"/>
  <c r="B93" i="106" s="1"/>
  <c r="Z8" i="95"/>
  <c r="B88" i="106" s="1"/>
  <c r="A89" i="106"/>
  <c r="A90" i="106"/>
  <c r="A91" i="106"/>
  <c r="A92" i="106"/>
  <c r="A93" i="106"/>
  <c r="A88" i="106"/>
  <c r="Y24" i="93"/>
  <c r="C82" i="106" s="1"/>
  <c r="C83" i="106"/>
  <c r="X24" i="93"/>
  <c r="B82" i="106" s="1"/>
  <c r="C81" i="106"/>
  <c r="C80" i="106"/>
  <c r="Z10" i="93"/>
  <c r="B72" i="106" s="1"/>
  <c r="C72" i="106" s="1"/>
  <c r="Z11" i="93"/>
  <c r="B73" i="106" s="1"/>
  <c r="C73" i="106" s="1"/>
  <c r="Z12" i="93"/>
  <c r="B74" i="106" s="1"/>
  <c r="C74" i="106" s="1"/>
  <c r="Z13" i="93"/>
  <c r="B75" i="106" s="1"/>
  <c r="C75" i="106" s="1"/>
  <c r="Z14" i="93"/>
  <c r="B76" i="106" s="1"/>
  <c r="C76" i="106" s="1"/>
  <c r="Z15" i="93"/>
  <c r="B77" i="106" s="1"/>
  <c r="C77" i="106" s="1"/>
  <c r="Z16" i="93"/>
  <c r="B78" i="106" s="1"/>
  <c r="C78" i="106" s="1"/>
  <c r="Z9" i="93"/>
  <c r="B71" i="106" s="1"/>
  <c r="C71" i="106" s="1"/>
  <c r="A78" i="106"/>
  <c r="A77" i="106"/>
  <c r="A76" i="106"/>
  <c r="A75" i="106"/>
  <c r="A74" i="106"/>
  <c r="A73" i="106"/>
  <c r="A72" i="106"/>
  <c r="A71" i="106"/>
  <c r="Y7" i="93"/>
  <c r="C70" i="106" s="1"/>
  <c r="C66" i="106"/>
  <c r="C67" i="106"/>
  <c r="Z51" i="92"/>
  <c r="C63" i="106"/>
  <c r="C62" i="106"/>
  <c r="X38" i="92"/>
  <c r="C59" i="106" s="1"/>
  <c r="C36" i="106"/>
  <c r="C29" i="106"/>
  <c r="C28" i="106"/>
  <c r="C27" i="106"/>
  <c r="C24" i="106"/>
  <c r="C26" i="106"/>
  <c r="C25" i="106"/>
  <c r="C23" i="106"/>
  <c r="C22" i="106"/>
  <c r="C20" i="106"/>
  <c r="C21" i="106"/>
  <c r="C19" i="106"/>
  <c r="C7" i="106"/>
  <c r="C18" i="106"/>
  <c r="C17" i="106"/>
  <c r="C16" i="106"/>
  <c r="C15" i="106"/>
  <c r="C14" i="106"/>
  <c r="C13" i="106"/>
  <c r="C12" i="106"/>
  <c r="C11" i="106"/>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i="106"/>
  <c r="C3" i="106"/>
  <c r="B38" i="106"/>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i="106"/>
  <c r="AA41" i="96"/>
  <c r="C142" i="106" s="1"/>
  <c r="B142" i="106" s="1"/>
  <c r="Y34" i="96"/>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i="106"/>
  <c r="C122" i="106"/>
  <c r="AA21" i="94"/>
  <c r="C102" i="106" s="1"/>
  <c r="Y28" i="93"/>
  <c r="C69" i="106" s="1"/>
  <c r="Y6" i="95"/>
  <c r="C87" i="106" s="1"/>
  <c r="X17" i="90"/>
  <c r="X16" i="90"/>
  <c r="X15" i="90"/>
  <c r="X14" i="90"/>
  <c r="X13" i="90"/>
  <c r="X12" i="90"/>
  <c r="X11" i="90"/>
  <c r="X10" i="90"/>
  <c r="C9" i="106"/>
  <c r="AA53" i="90"/>
  <c r="C34" i="106" s="1"/>
  <c r="AA52" i="90"/>
  <c r="C33" i="106" s="1"/>
  <c r="Y38" i="96"/>
  <c r="Y42" i="92"/>
  <c r="X5" i="95"/>
  <c r="Y36" i="92"/>
  <c r="X42" i="92"/>
  <c r="X41" i="92" s="1"/>
  <c r="B13" i="106" l="1"/>
  <c r="B15" i="106"/>
  <c r="B17" i="106"/>
  <c r="C96" i="106"/>
  <c r="C163" i="106"/>
  <c r="B12" i="106"/>
  <c r="B14" i="106"/>
  <c r="B16" i="106"/>
  <c r="B18" i="106"/>
  <c r="C38" i="106"/>
  <c r="J13" i="94"/>
  <c r="B105" i="106"/>
  <c r="B108" i="106"/>
  <c r="B109" i="106"/>
  <c r="C164" i="106"/>
  <c r="C168" i="106"/>
  <c r="B34" i="106"/>
  <c r="B33" i="106"/>
  <c r="L33" i="86"/>
  <c r="B104" i="106"/>
  <c r="AD12" i="94"/>
  <c r="C104" i="106"/>
  <c r="L34" i="86"/>
  <c r="M30" i="86"/>
  <c r="B11" i="106"/>
  <c r="C107" i="106"/>
  <c r="B107" i="106" s="1"/>
  <c r="AA39" i="92"/>
  <c r="AA40" i="92"/>
  <c r="AA38" i="92"/>
  <c r="AB40" i="92"/>
  <c r="AB39" i="92"/>
  <c r="AB37" i="92"/>
  <c r="AB38" i="92"/>
  <c r="I43" i="86"/>
  <c r="I44" i="86"/>
  <c r="I45" i="86"/>
  <c r="I46" i="86"/>
  <c r="I47" i="86"/>
  <c r="I48" i="86"/>
  <c r="F15" i="103"/>
  <c r="L41" i="86"/>
  <c r="H41" i="86"/>
  <c r="D41" i="86"/>
  <c r="AA19" i="96"/>
  <c r="AA13" i="92"/>
  <c r="AA11" i="92"/>
  <c r="Z13" i="92"/>
  <c r="Z12" i="92"/>
  <c r="AA12" i="92" s="1"/>
  <c r="Z11" i="92"/>
  <c r="Z10" i="92"/>
  <c r="AA10" i="92" s="1"/>
  <c r="C42" i="106" s="1"/>
  <c r="Z9" i="92"/>
  <c r="AA9" i="92" s="1"/>
  <c r="C41" i="106" s="1"/>
  <c r="Z8" i="92"/>
  <c r="AA8" i="92" s="1"/>
  <c r="AB13" i="92"/>
  <c r="AB11" i="92"/>
  <c r="Y8" i="92"/>
  <c r="AB8" i="92" s="1"/>
  <c r="Y13" i="92"/>
  <c r="Y12" i="92"/>
  <c r="AB12" i="92" s="1"/>
  <c r="Y11" i="92"/>
  <c r="Y10" i="92"/>
  <c r="AB10" i="92" s="1"/>
  <c r="Y9" i="92"/>
  <c r="AB9" i="92" s="1"/>
  <c r="B41" i="106" s="1"/>
  <c r="AA55" i="90"/>
  <c r="X68" i="90"/>
  <c r="Z68" i="90" s="1"/>
  <c r="F16" i="102"/>
  <c r="J49" i="86"/>
  <c r="E19" i="91"/>
  <c r="D5" i="95"/>
  <c r="D4" i="86"/>
  <c r="G2" i="94"/>
  <c r="G2" i="95"/>
  <c r="G2" i="93"/>
  <c r="F61" i="92"/>
  <c r="AB21" i="96"/>
  <c r="X18" i="96"/>
  <c r="X42" i="90"/>
  <c r="C32" i="106" s="1"/>
  <c r="X40" i="90"/>
  <c r="C31" i="106" s="1"/>
  <c r="F17" i="101"/>
  <c r="F20" i="100"/>
  <c r="G35" i="98"/>
  <c r="G56" i="96"/>
  <c r="H28" i="94"/>
  <c r="G47" i="95"/>
  <c r="G36" i="93"/>
  <c r="H72" i="90"/>
  <c r="G2" i="92"/>
  <c r="Y66" i="90"/>
  <c r="Y65" i="90"/>
  <c r="Y64" i="90"/>
  <c r="Y63" i="90"/>
  <c r="Y62" i="90"/>
  <c r="Y61" i="90"/>
  <c r="Y60" i="90"/>
  <c r="Y59" i="90"/>
  <c r="Y58" i="90"/>
  <c r="Y57" i="90"/>
  <c r="A67" i="84"/>
  <c r="M29" i="86"/>
  <c r="Z41" i="92" l="1"/>
  <c r="Z36" i="92" s="1"/>
  <c r="L32" i="86"/>
  <c r="B138" i="106"/>
  <c r="C106" i="106"/>
  <c r="B106" i="106" s="1"/>
  <c r="H19" i="96"/>
  <c r="AB18" i="96"/>
  <c r="C138" i="106" s="1"/>
  <c r="J12" i="94"/>
  <c r="Z42" i="92"/>
  <c r="C60" i="106" s="1"/>
  <c r="C94" i="106"/>
  <c r="B35" i="106"/>
  <c r="L31" i="86"/>
  <c r="L48" i="86"/>
  <c r="C45" i="106"/>
  <c r="K48" i="86"/>
  <c r="B45" i="106"/>
  <c r="L47" i="86"/>
  <c r="C44" i="106"/>
  <c r="K47" i="86"/>
  <c r="B44" i="106"/>
  <c r="K46" i="86"/>
  <c r="B43" i="106"/>
  <c r="L46" i="86"/>
  <c r="C43" i="106"/>
  <c r="K45" i="86"/>
  <c r="B42" i="106"/>
  <c r="K43" i="86"/>
  <c r="B40" i="106"/>
  <c r="L43" i="86"/>
  <c r="C40" i="106"/>
  <c r="M34" i="86"/>
  <c r="M33" i="86"/>
  <c r="AA68" i="90"/>
  <c r="C35" i="106" s="1"/>
  <c r="L45" i="86"/>
  <c r="L44" i="86"/>
  <c r="K44" i="86"/>
  <c r="X27" i="98"/>
  <c r="AH14" i="86" s="1"/>
  <c r="X13" i="100"/>
  <c r="B162" i="106" s="1"/>
  <c r="Z6" i="92"/>
  <c r="AA6" i="92"/>
  <c r="AB6" i="92"/>
  <c r="D7" i="86"/>
  <c r="H39" i="86"/>
  <c r="D39" i="86"/>
  <c r="B145" i="106" l="1"/>
  <c r="AH15" i="86"/>
  <c r="M31" i="86"/>
  <c r="Z7" i="92"/>
  <c r="X7" i="92" s="1"/>
  <c r="X20" i="90"/>
  <c r="Y15" i="93"/>
  <c r="Y16" i="93"/>
  <c r="Y14" i="93"/>
  <c r="Y13" i="93"/>
  <c r="Y12" i="93"/>
  <c r="Y11" i="93"/>
  <c r="Y9" i="93"/>
  <c r="X7" i="93"/>
  <c r="B70" i="106" l="1"/>
  <c r="M10" i="86"/>
  <c r="X17" i="93"/>
  <c r="X7" i="103"/>
  <c r="X7" i="102"/>
  <c r="AH18" i="86" l="1"/>
  <c r="B174" i="106"/>
  <c r="AH17" i="86"/>
  <c r="B171" i="106"/>
  <c r="X35" i="95"/>
  <c r="Y35" i="95" s="1"/>
  <c r="D36" i="86" s="1"/>
  <c r="C8" i="106"/>
  <c r="X10" i="101" l="1"/>
  <c r="X45" i="96"/>
  <c r="D45" i="96" s="1"/>
  <c r="X32" i="96"/>
  <c r="X27" i="92"/>
  <c r="X28" i="92"/>
  <c r="B54" i="106" l="1"/>
  <c r="B55" i="106"/>
  <c r="B132" i="106"/>
  <c r="AH16" i="86"/>
  <c r="B167" i="106"/>
  <c r="X30" i="92"/>
  <c r="X29" i="92"/>
  <c r="X26" i="92"/>
  <c r="X25" i="92"/>
  <c r="X24" i="92"/>
  <c r="X23" i="92"/>
  <c r="X22" i="92"/>
  <c r="X21" i="92"/>
  <c r="X20" i="92"/>
  <c r="B47" i="106" l="1"/>
  <c r="B49" i="106"/>
  <c r="B51" i="106"/>
  <c r="B53" i="106"/>
  <c r="B57" i="106"/>
  <c r="B48" i="106"/>
  <c r="B50" i="106"/>
  <c r="B52" i="106"/>
  <c r="B56" i="106"/>
  <c r="X49" i="96"/>
  <c r="X25" i="96"/>
  <c r="Y20" i="96"/>
  <c r="Y21" i="96"/>
  <c r="Y19" i="96"/>
  <c r="Y14" i="96"/>
  <c r="Y13" i="96"/>
  <c r="Y15" i="96"/>
  <c r="Y16" i="96"/>
  <c r="Y12" i="96"/>
  <c r="Y11" i="96"/>
  <c r="Y10" i="96"/>
  <c r="X26" i="96"/>
  <c r="X7" i="96"/>
  <c r="M13" i="86" s="1"/>
  <c r="Y12" i="95"/>
  <c r="Y13" i="95"/>
  <c r="Y11" i="95"/>
  <c r="Y10" i="95"/>
  <c r="Y9" i="95"/>
  <c r="Y8" i="95"/>
  <c r="Z22" i="98"/>
  <c r="Z21" i="98"/>
  <c r="Z19" i="98"/>
  <c r="Z18" i="98"/>
  <c r="Z17" i="98"/>
  <c r="X6" i="95"/>
  <c r="X14" i="98"/>
  <c r="B146" i="106" s="1"/>
  <c r="Z23" i="98"/>
  <c r="Y14" i="95" l="1"/>
  <c r="X7" i="95"/>
  <c r="H36" i="86" s="1"/>
  <c r="B126" i="106"/>
  <c r="B125" i="106"/>
  <c r="M14" i="86"/>
  <c r="AB20" i="96"/>
  <c r="C136" i="106" s="1"/>
  <c r="B136" i="106" s="1"/>
  <c r="AH13" i="86"/>
  <c r="B112" i="106"/>
  <c r="M11" i="86"/>
  <c r="B113" i="106"/>
  <c r="B87" i="106"/>
  <c r="X17" i="96"/>
  <c r="C28" i="86"/>
  <c r="X24" i="98"/>
  <c r="X33" i="96"/>
  <c r="B133" i="106" l="1"/>
  <c r="M32" i="86"/>
  <c r="X28" i="95"/>
  <c r="Y28" i="95" s="1"/>
  <c r="D34" i="86" s="1"/>
  <c r="X34" i="96"/>
  <c r="X31" i="96"/>
  <c r="X30" i="96"/>
  <c r="X29" i="96"/>
  <c r="X28" i="96"/>
  <c r="X27" i="96"/>
  <c r="B128" i="106" l="1"/>
  <c r="B130" i="106"/>
  <c r="B134" i="106"/>
  <c r="B127" i="106"/>
  <c r="B129" i="106"/>
  <c r="B131" i="106"/>
  <c r="X22" i="95"/>
  <c r="C97" i="106" s="1"/>
  <c r="B97" i="106" s="1"/>
  <c r="AE15" i="94"/>
  <c r="J15" i="94" s="1"/>
  <c r="AE12" i="94"/>
  <c r="AE13" i="94"/>
  <c r="AE14" i="94"/>
  <c r="J14" i="94" s="1"/>
  <c r="X37" i="96"/>
  <c r="B124" i="106" s="1"/>
  <c r="X40" i="95"/>
  <c r="Y21" i="94"/>
  <c r="AH11" i="86" l="1"/>
  <c r="B86" i="106"/>
  <c r="AH12" i="86"/>
  <c r="B102" i="106"/>
  <c r="X28" i="93"/>
  <c r="B69" i="106" s="1"/>
  <c r="D63" i="90"/>
  <c r="D62" i="90"/>
  <c r="D61" i="90"/>
  <c r="D60" i="90"/>
  <c r="D59" i="90"/>
  <c r="D58" i="90"/>
  <c r="D57" i="90" l="1"/>
  <c r="AH10" i="86"/>
  <c r="X33" i="92"/>
  <c r="C42" i="86" s="1"/>
  <c r="D22" i="86"/>
  <c r="H22" i="86" l="1"/>
  <c r="H27" i="86" s="1"/>
  <c r="L22" i="86"/>
  <c r="Y33" i="92"/>
  <c r="Z33" i="92" s="1"/>
  <c r="X36" i="92" s="1"/>
  <c r="G27" i="86"/>
  <c r="E27" i="86"/>
  <c r="D27" i="86"/>
  <c r="F27" i="86"/>
  <c r="D25" i="86"/>
  <c r="E25" i="86" s="1"/>
  <c r="F25" i="86" s="1"/>
  <c r="G25" i="86" s="1"/>
  <c r="H25" i="86" s="1"/>
  <c r="D26" i="86"/>
  <c r="E26" i="86" s="1"/>
  <c r="D24" i="86"/>
  <c r="E24" i="86" s="1"/>
  <c r="F24" i="86" s="1"/>
  <c r="G24" i="86" s="1"/>
  <c r="F26" i="86" l="1"/>
  <c r="G26" i="86" s="1"/>
  <c r="H26" i="86" s="1"/>
  <c r="I26" i="86" s="1"/>
  <c r="J26" i="86" s="1"/>
  <c r="K26" i="86" s="1"/>
  <c r="L26" i="86" s="1"/>
  <c r="M26" i="86" s="1"/>
  <c r="R27" i="86"/>
  <c r="M27" i="86"/>
  <c r="N27" i="86"/>
  <c r="L27" i="86"/>
  <c r="H24" i="86"/>
  <c r="I24" i="86" s="1"/>
  <c r="J24" i="86" s="1"/>
  <c r="K24" i="86" s="1"/>
  <c r="L24" i="86" s="1"/>
  <c r="M24" i="86" s="1"/>
  <c r="N24" i="86" s="1"/>
  <c r="R24" i="86" s="1"/>
  <c r="J27" i="86"/>
  <c r="I27" i="86"/>
  <c r="K27" i="86"/>
  <c r="I25" i="86"/>
  <c r="J25" i="86"/>
  <c r="K25" i="86" s="1"/>
  <c r="L25" i="86" s="1"/>
  <c r="M25" i="86" s="1"/>
  <c r="N25" i="86" s="1"/>
  <c r="R25" i="86" s="1"/>
  <c r="N26" i="86" l="1"/>
  <c r="R26" i="86" s="1"/>
  <c r="L2" i="86" l="1"/>
  <c r="A70" i="84" l="1"/>
  <c r="A69" i="84"/>
  <c r="A68" i="84"/>
  <c r="X30" i="95" l="1"/>
  <c r="C98" i="106" s="1"/>
  <c r="B98" i="106" s="1"/>
  <c r="B8" i="106" s="1"/>
</calcChain>
</file>

<file path=xl/comments1.xml><?xml version="1.0" encoding="utf-8"?>
<comments xmlns="http://schemas.openxmlformats.org/spreadsheetml/2006/main">
  <authors>
    <author>mvandeh</author>
  </authors>
  <commentList>
    <comment ref="Z3"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shapeId="0">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shapeId="0">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shapeId="0">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<sst xmlns="http://schemas.openxmlformats.org/spreadsheetml/2006/main" count="3098" uniqueCount="1088">
  <si>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</si>
  <si>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</si>
  <si>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</si>
  <si>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</si>
  <si>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</si>
  <si>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</si>
  <si>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</si>
  <si>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</si>
  <si>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</si>
  <si>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</si>
  <si>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</si>
  <si>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</si>
  <si>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</si>
  <si>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</si>
  <si>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</si>
  <si>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</si>
  <si>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</si>
  <si>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</si>
  <si>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</si>
  <si>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</si>
  <si>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</si>
  <si>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</si>
  <si>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</si>
  <si>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</si>
  <si>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</si>
  <si>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</si>
  <si>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</si>
  <si>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</si>
  <si>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</si>
  <si>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</si>
  <si>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</si>
  <si>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</si>
  <si>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</si>
  <si>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</si>
  <si>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</si>
  <si>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</si>
  <si>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</si>
  <si>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</si>
  <si>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</si>
  <si>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</si>
  <si>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</si>
  <si>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</si>
  <si>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</si>
  <si>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</si>
  <si>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</si>
  <si>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</si>
  <si>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</si>
  <si>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</si>
  <si>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</si>
  <si>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</si>
  <si>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</si>
  <si>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</si>
  <si>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</si>
  <si>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</si>
  <si>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</si>
  <si>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</si>
  <si>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</si>
  <si>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</si>
  <si>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</si>
  <si>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</si>
  <si>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</si>
  <si>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</si>
  <si>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</si>
  <si>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</si>
  <si>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</si>
  <si>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</si>
  <si>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</si>
  <si>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</si>
  <si>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</si>
  <si>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</si>
  <si>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</si>
  <si>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</si>
  <si>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</si>
  <si>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</si>
  <si>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</si>
  <si>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</si>
  <si>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</si>
  <si>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</si>
  <si>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</si>
  <si>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</si>
  <si>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</si>
  <si>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</si>
  <si>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</si>
  <si>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</si>
  <si>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</si>
  <si>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</si>
  <si>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</si>
  <si>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</si>
  <si>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</si>
  <si>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</si>
  <si>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</si>
  <si>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</si>
  <si>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</si>
  <si>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</si>
  <si>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</si>
  <si>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</si>
  <si>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</si>
  <si>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</si>
  <si>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</si>
  <si>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</si>
  <si>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</si>
  <si>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</si>
  <si>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</si>
  <si>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</si>
  <si>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</si>
  <si>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</si>
  <si>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</si>
  <si>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</si>
  <si>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</si>
  <si>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</si>
  <si>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</si>
  <si>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</si>
  <si>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</si>
  <si>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</si>
  <si>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</si>
  <si>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</si>
  <si>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</si>
  <si>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</si>
  <si>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</si>
  <si>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</si>
  <si>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</si>
  <si>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</si>
  <si>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</si>
  <si>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</si>
  <si>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</si>
  <si>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</si>
  <si>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</si>
  <si>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</si>
  <si>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</si>
  <si>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</si>
  <si>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</si>
  <si>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</si>
  <si>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</si>
  <si>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</si>
  <si>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</si>
  <si>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</si>
  <si>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</si>
  <si>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</si>
  <si>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</si>
  <si>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</si>
  <si>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</si>
  <si>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</si>
  <si>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</si>
  <si>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</si>
  <si>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</si>
  <si>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</si>
  <si>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</si>
  <si>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</si>
  <si>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</si>
  <si>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</si>
  <si>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</si>
  <si>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</si>
  <si>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</si>
  <si>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</si>
  <si>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</si>
  <si>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</si>
  <si>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</si>
  <si>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</si>
  <si>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</si>
  <si>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</si>
  <si>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</si>
  <si>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</si>
  <si>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</si>
  <si>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</si>
  <si>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</si>
  <si>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</si>
  <si>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</si>
  <si>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</si>
  <si>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</si>
  <si>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</si>
  <si>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</si>
  <si>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</si>
  <si>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</si>
  <si>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</si>
  <si>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</si>
  <si>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</si>
  <si>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</si>
  <si>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</si>
  <si>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</si>
  <si>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</si>
  <si>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</si>
  <si>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</si>
  <si>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</si>
  <si>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</si>
  <si>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</si>
  <si>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</si>
  <si>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</si>
  <si>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</si>
  <si>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</si>
  <si>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</si>
  <si>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</si>
  <si>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</si>
  <si>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</si>
  <si>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</si>
  <si>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</si>
  <si>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</si>
  <si>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</si>
  <si>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</si>
  <si>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</si>
  <si>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</si>
  <si>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</si>
  <si>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</si>
  <si>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</si>
  <si>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</si>
  <si>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</si>
  <si>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</si>
  <si>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</si>
  <si>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</si>
  <si>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</si>
  <si>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</si>
  <si>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</si>
  <si>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</si>
  <si>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</si>
  <si>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</si>
  <si>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</si>
  <si>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</si>
  <si>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</si>
  <si>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</si>
  <si>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</si>
  <si>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</si>
  <si>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</si>
  <si>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</si>
  <si>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</si>
  <si>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</si>
  <si>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</si>
  <si>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</si>
  <si>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</si>
  <si>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</si>
  <si>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</si>
  <si>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</si>
  <si>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</si>
  <si>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</si>
  <si>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</si>
  <si>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</si>
  <si>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</si>
  <si>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</si>
  <si>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</si>
  <si>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</si>
  <si>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</si>
  <si>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</si>
  <si>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</si>
  <si>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</si>
  <si>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</si>
  <si>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</si>
  <si>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</si>
  <si>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</si>
  <si>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</si>
  <si>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</si>
  <si>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</si>
  <si>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</si>
  <si>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</si>
  <si>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</si>
  <si>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</si>
  <si>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</si>
  <si>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</si>
  <si>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</si>
  <si>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</si>
  <si>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</si>
  <si>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</si>
  <si>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</si>
  <si>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</si>
  <si>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</si>
  <si>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</si>
  <si>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</si>
  <si>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</si>
  <si>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</si>
  <si>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</si>
  <si>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</si>
  <si>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</si>
  <si>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</si>
  <si>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</si>
  <si>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</si>
  <si>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</si>
  <si>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</si>
  <si>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</si>
  <si>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</si>
  <si>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</si>
  <si>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</si>
  <si>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</si>
  <si>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</si>
  <si>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</si>
  <si>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</si>
  <si>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</si>
  <si>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</si>
  <si>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</si>
  <si>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</si>
  <si>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</si>
  <si>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</si>
  <si>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</si>
  <si>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</si>
  <si>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</si>
  <si>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</si>
  <si>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</si>
  <si>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</si>
  <si>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</si>
  <si>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</si>
  <si>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</si>
  <si>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</si>
  <si>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</si>
  <si>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</si>
  <si>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</si>
  <si>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</si>
  <si>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</si>
  <si>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</si>
  <si>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</si>
  <si>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</si>
  <si>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</si>
  <si>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</si>
  <si>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</si>
  <si>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</si>
  <si>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</si>
  <si>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</si>
  <si>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</si>
  <si>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</si>
  <si>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</si>
  <si>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</si>
  <si>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</si>
  <si>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</si>
  <si>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</si>
  <si>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</si>
  <si>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</si>
  <si>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</si>
  <si>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</si>
  <si>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</si>
  <si>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</si>
  <si>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</si>
  <si>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</si>
  <si>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</si>
  <si>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</si>
  <si>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</si>
  <si>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</si>
  <si>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</si>
  <si>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</si>
  <si>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</si>
  <si>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</si>
  <si>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</si>
  <si>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</si>
  <si>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</si>
  <si>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</si>
  <si>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</si>
  <si>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</si>
  <si>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</si>
  <si>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</si>
  <si>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</si>
  <si>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</si>
  <si>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</si>
  <si>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</si>
  <si>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</si>
  <si>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</si>
  <si>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</si>
  <si>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</si>
  <si>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</si>
  <si>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</si>
  <si>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</si>
  <si>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</si>
  <si>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</si>
  <si>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</si>
  <si>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</si>
  <si>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</si>
  <si>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</si>
  <si>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</si>
  <si>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</si>
  <si>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</si>
  <si>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</si>
  <si>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</si>
  <si>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</si>
  <si>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</si>
  <si>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</si>
  <si>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</si>
  <si>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</si>
  <si>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</si>
  <si>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</si>
  <si>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</si>
  <si>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</si>
  <si>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</si>
  <si>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</si>
  <si>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</si>
  <si>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</si>
  <si>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</si>
  <si>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</si>
  <si>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</si>
  <si>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</si>
  <si>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</si>
  <si>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</si>
  <si>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</si>
  <si>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</si>
  <si>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</si>
  <si>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</si>
  <si>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</si>
  <si>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</si>
  <si>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</si>
  <si>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</si>
  <si>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</si>
  <si>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</si>
  <si>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</si>
  <si>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</si>
  <si>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</si>
  <si>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</si>
  <si>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</si>
  <si>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</si>
  <si>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</si>
  <si>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</si>
  <si>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</si>
  <si>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</si>
  <si>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</si>
  <si>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</si>
  <si>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</si>
  <si>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</si>
  <si>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</si>
  <si>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</si>
  <si>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</si>
  <si>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</si>
  <si>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</si>
  <si>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</si>
  <si>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</si>
  <si>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</si>
  <si>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</si>
  <si>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</si>
  <si>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</si>
  <si>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</si>
  <si>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</si>
  <si>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</si>
  <si>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</si>
  <si>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</si>
  <si>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</si>
  <si>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</si>
  <si>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</si>
  <si>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</si>
  <si>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</si>
  <si>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</si>
  <si>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</si>
  <si>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</si>
  <si>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</si>
  <si>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</si>
  <si>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</si>
  <si>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</si>
  <si>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</si>
  <si>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</si>
  <si>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</si>
  <si>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</si>
  <si>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</si>
  <si>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</si>
  <si>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</si>
  <si>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</si>
  <si>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</si>
  <si>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</si>
  <si>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</si>
  <si>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</si>
  <si>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</si>
  <si>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</si>
  <si>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</si>
  <si>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</si>
  <si>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</si>
  <si>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</si>
  <si>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</si>
  <si>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</si>
  <si>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</si>
  <si>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</si>
  <si>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</si>
  <si>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</si>
  <si>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</si>
  <si>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</si>
  <si>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</si>
  <si>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</si>
  <si>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</si>
  <si>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</si>
  <si>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</si>
  <si>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</si>
  <si>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</si>
  <si>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</si>
  <si>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</si>
  <si>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</si>
  <si>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</si>
  <si>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</si>
  <si>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</si>
  <si>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</si>
  <si>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</si>
  <si>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</si>
  <si>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</si>
  <si>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</si>
  <si>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</si>
  <si>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</si>
  <si>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</si>
  <si>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</si>
  <si>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</si>
  <si>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</si>
  <si>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</si>
  <si>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</si>
  <si>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</si>
  <si>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</si>
  <si>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</si>
  <si>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</si>
  <si>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</si>
  <si>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</si>
  <si>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</si>
  <si>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</si>
  <si>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</si>
  <si>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</si>
  <si>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</si>
  <si>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</si>
  <si>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</si>
  <si>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</si>
  <si>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</si>
  <si>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</si>
  <si>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</si>
  <si>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</si>
  <si>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</si>
  <si>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</si>
  <si>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</si>
  <si>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</si>
  <si>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</si>
  <si>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</si>
  <si>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</si>
  <si>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</si>
  <si>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</si>
  <si>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</si>
  <si>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</si>
  <si>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</si>
  <si>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</si>
  <si>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</si>
  <si>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</si>
  <si>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</si>
  <si>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</si>
  <si>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</si>
  <si>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</si>
  <si>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</si>
  <si>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</si>
  <si>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</si>
  <si>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</si>
  <si>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</si>
  <si>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</si>
  <si>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</si>
  <si>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</si>
  <si>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</si>
  <si>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</si>
  <si>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</si>
  <si>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</si>
  <si>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</si>
  <si>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</si>
  <si>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</si>
  <si>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</si>
  <si>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</si>
  <si>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</si>
  <si>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</si>
  <si>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</si>
  <si>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</si>
  <si>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</si>
  <si>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</si>
  <si>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</si>
  <si>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</si>
  <si>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</si>
  <si>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</si>
  <si>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</si>
  <si>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</si>
  <si>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</si>
  <si>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</si>
  <si>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</si>
  <si>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</si>
  <si>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</si>
  <si>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</si>
  <si>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</si>
  <si>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</si>
  <si>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</si>
  <si>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</si>
  <si>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</si>
  <si>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</si>
  <si>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</si>
  <si>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</si>
  <si>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</si>
  <si>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</si>
  <si>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</si>
  <si>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</si>
  <si>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</si>
  <si>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</si>
  <si>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</si>
  <si>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</si>
  <si>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</si>
  <si>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</si>
  <si>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</si>
  <si>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</si>
  <si>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</si>
  <si>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</si>
  <si>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</si>
  <si>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</si>
  <si>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</si>
  <si>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</si>
  <si>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</si>
  <si>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</si>
  <si>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</si>
  <si>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</si>
  <si>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</si>
  <si>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</si>
  <si>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</si>
  <si>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</si>
  <si>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</si>
  <si>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</si>
  <si>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</si>
  <si>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</si>
  <si>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</si>
  <si>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</si>
  <si>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</si>
  <si>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</si>
  <si>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</si>
  <si>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</si>
  <si>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</si>
  <si>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</si>
  <si>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</si>
  <si>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</si>
  <si>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</si>
  <si>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</si>
  <si>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</si>
  <si>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</si>
  <si>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</si>
  <si>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</si>
  <si>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</si>
  <si>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</si>
  <si>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</si>
  <si>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</si>
  <si>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</si>
  <si>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</si>
  <si>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</si>
  <si>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</si>
  <si>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</si>
  <si>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</si>
  <si>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</si>
  <si>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</si>
  <si>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</si>
  <si>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</si>
  <si>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</si>
  <si>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</si>
  <si>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</si>
  <si>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</si>
  <si>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</si>
  <si>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</si>
  <si>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</si>
  <si>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</si>
  <si>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</si>
  <si>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</si>
  <si>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</si>
  <si>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</si>
  <si>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</si>
  <si>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</si>
  <si>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</si>
  <si>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</si>
  <si>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</si>
  <si>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</si>
  <si>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</si>
  <si>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</si>
  <si>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</si>
  <si>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</si>
  <si>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</si>
  <si>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</si>
  <si>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</si>
  <si>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</si>
  <si>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</si>
  <si>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</si>
  <si>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</si>
  <si>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</si>
  <si>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</si>
  <si>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</si>
  <si>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</si>
  <si>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</si>
  <si>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</si>
  <si>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</si>
  <si>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</si>
  <si>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</si>
  <si>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</si>
  <si>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</si>
  <si>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</si>
  <si>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</si>
  <si>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</si>
  <si>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</si>
  <si>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</si>
  <si>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</si>
  <si>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</si>
  <si>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</si>
  <si>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</si>
  <si>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</si>
  <si>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</si>
  <si>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</si>
  <si>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</si>
  <si>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</si>
  <si>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</si>
  <si>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</si>
  <si>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</si>
  <si>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</si>
  <si>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</si>
  <si>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</si>
  <si>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</si>
  <si>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</si>
  <si>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</si>
  <si>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</si>
  <si>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</si>
  <si>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</si>
  <si>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</si>
  <si>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</si>
  <si>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</si>
  <si>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</si>
  <si>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</si>
  <si>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</si>
  <si>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</si>
  <si>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</si>
  <si>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</si>
  <si>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</si>
  <si>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</si>
  <si>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</si>
  <si>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</si>
  <si>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</si>
  <si>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</si>
  <si>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</si>
  <si>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</si>
  <si>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</si>
  <si>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</si>
  <si>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</si>
  <si>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</si>
  <si>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</si>
  <si>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</si>
  <si>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</si>
  <si>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</si>
  <si>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</si>
  <si>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</si>
  <si>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</si>
  <si>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</si>
  <si>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</si>
  <si>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</si>
  <si>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</si>
  <si>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</si>
  <si>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</si>
  <si>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</si>
  <si>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</si>
  <si>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</si>
  <si>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</si>
  <si>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</si>
  <si>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</si>
  <si>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</si>
  <si>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</si>
  <si>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</si>
  <si>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</si>
  <si>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</si>
  <si>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</si>
  <si>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</si>
  <si>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</si>
  <si>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</si>
  <si>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</si>
  <si>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</si>
  <si>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</si>
  <si>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</si>
  <si>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</si>
  <si>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</si>
  <si>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</si>
  <si>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</si>
  <si>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</si>
  <si>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</si>
  <si>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</si>
  <si>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</si>
  <si>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</si>
  <si>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</si>
  <si>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</si>
  <si>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</si>
  <si>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</si>
  <si>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</si>
  <si>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</si>
  <si>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</si>
  <si>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</si>
  <si>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</si>
  <si>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</si>
  <si>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</si>
  <si>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</si>
  <si>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</si>
  <si>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</si>
  <si>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</si>
  <si>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</si>
  <si>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</si>
  <si>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</si>
  <si>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</si>
  <si>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</si>
  <si>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</si>
  <si>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</si>
  <si>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</si>
  <si>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</si>
  <si>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</si>
  <si>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</si>
  <si>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</si>
  <si>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</si>
  <si>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</si>
  <si>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</si>
  <si>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</si>
  <si>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</si>
  <si>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</si>
  <si>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</si>
  <si>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</si>
  <si>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</si>
  <si>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</si>
  <si>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</si>
  <si>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</si>
  <si>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</si>
  <si>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</si>
  <si>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</si>
  <si>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</si>
  <si>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</si>
  <si>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</si>
  <si>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</si>
  <si>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</si>
  <si>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</si>
  <si>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</si>
  <si>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</si>
  <si>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</si>
  <si>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</si>
  <si>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</si>
  <si>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</si>
  <si>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</si>
  <si>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</si>
  <si>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</si>
  <si>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</si>
  <si>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</si>
  <si>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</si>
  <si>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</si>
  <si>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</si>
  <si>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</si>
  <si>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</si>
  <si>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</si>
  <si>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</si>
  <si>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</si>
  <si>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</si>
  <si>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</si>
  <si>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</si>
  <si>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</si>
  <si>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</si>
  <si>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</si>
  <si>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</si>
  <si>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</si>
  <si>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</si>
  <si>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</si>
  <si>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</si>
  <si>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</si>
  <si>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</si>
  <si>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</si>
  <si>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</si>
  <si>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</si>
  <si>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</si>
  <si>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</si>
  <si>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</si>
  <si>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</si>
  <si>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</si>
  <si>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</si>
  <si>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</si>
  <si>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</si>
  <si>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</si>
  <si>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</si>
  <si>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</si>
  <si>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</si>
  <si>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</si>
  <si>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</si>
  <si>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</si>
  <si>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</si>
  <si>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</si>
  <si>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</si>
  <si>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</si>
  <si>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</si>
  <si>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</si>
  <si>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</si>
  <si>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</si>
  <si>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</si>
  <si>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</si>
  <si>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</si>
  <si>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</si>
  <si>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</si>
  <si>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</si>
  <si>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</si>
  <si>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</si>
  <si>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</si>
  <si>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</si>
  <si>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</si>
  <si>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</si>
  <si>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</si>
  <si>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</si>
  <si>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</si>
  <si>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</si>
  <si>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</si>
  <si>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</si>
  <si>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</si>
  <si>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</si>
  <si>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</si>
  <si>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</si>
  <si>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</si>
  <si>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</si>
  <si>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</si>
  <si>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</si>
  <si>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</si>
  <si>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</si>
  <si>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</si>
  <si>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</si>
  <si>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</si>
  <si>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</si>
  <si>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</si>
  <si>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</si>
  <si>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</si>
  <si>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</si>
  <si>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</si>
  <si>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</si>
  <si>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</si>
  <si>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</si>
  <si>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</si>
  <si>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</si>
  <si>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</si>
  <si>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</si>
  <si>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</si>
  <si>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</si>
  <si>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</si>
  <si>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</si>
  <si>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</si>
  <si>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</si>
  <si>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</si>
  <si>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</si>
  <si>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</si>
  <si>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</si>
  <si>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</si>
  <si>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</si>
  <si>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</si>
  <si>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</si>
  <si>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</si>
  <si>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</si>
  <si>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</si>
  <si>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</si>
  <si>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</si>
  <si>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</si>
  <si>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</si>
  <si>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</si>
  <si>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</si>
  <si>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</si>
  <si>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</si>
  <si>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</si>
  <si>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</si>
  <si>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</si>
  <si>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</si>
  <si>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</si>
  <si>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</si>
  <si>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</si>
  <si>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</si>
  <si>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</si>
  <si>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</si>
  <si>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</si>
  <si>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</si>
  <si>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</si>
  <si>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</si>
  <si>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</si>
  <si>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</si>
  <si>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</si>
  <si>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</si>
  <si>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</si>
  <si>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</si>
  <si>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</si>
  <si>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</si>
  <si>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</si>
  <si>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</si>
  <si>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</si>
  <si>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</si>
  <si>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</si>
  <si>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</si>
  <si>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</si>
  <si>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</si>
  <si>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</si>
  <si>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</si>
  <si>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</si>
  <si>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</si>
  <si>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</si>
  <si>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</si>
  <si>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</si>
  <si>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</si>
  <si>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</si>
  <si>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</si>
  <si>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</si>
  <si>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</si>
  <si>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</si>
  <si>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</si>
  <si>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</si>
  <si>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</si>
  <si>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</si>
  <si>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</si>
  <si>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</si>
  <si>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</si>
  <si>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</si>
  <si>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</si>
  <si>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</si>
  <si>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</si>
  <si>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</si>
  <si>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</si>
  <si>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</si>
  <si>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</si>
  <si>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</si>
  <si>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</si>
  <si>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</si>
  <si>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</si>
  <si>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</si>
  <si>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</si>
  <si>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</si>
  <si>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</si>
  <si>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</si>
  <si>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</si>
  <si>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</si>
  <si>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</si>
  <si>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</si>
  <si>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</si>
  <si>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</si>
  <si>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</si>
  <si>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</si>
  <si>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</si>
  <si>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</si>
  <si>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</si>
  <si>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</si>
  <si>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</si>
  <si>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</si>
  <si>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</si>
  <si>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</si>
  <si>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</si>
  <si>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</si>
  <si>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</si>
  <si>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</si>
  <si>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</si>
  <si>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</si>
  <si>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</si>
  <si>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</si>
  <si>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</si>
  <si>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</si>
  <si>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</si>
  <si>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</si>
  <si>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</si>
  <si>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</si>
  <si>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</si>
  <si>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</si>
  <si>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</si>
  <si>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</si>
  <si>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</si>
  <si>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</si>
  <si>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</si>
  <si>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</si>
  <si>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</si>
  <si>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</si>
  <si>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</si>
  <si>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</si>
  <si>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</si>
  <si>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</si>
  <si>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</si>
  <si>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</si>
  <si>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</si>
  <si>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</si>
  <si>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</si>
  <si>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</si>
  <si>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</si>
  <si>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</si>
  <si>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</si>
  <si>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</si>
  <si>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</si>
  <si>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</si>
  <si>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</si>
  <si>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</si>
  <si>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</si>
  <si>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</si>
  <si>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</si>
  <si>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</si>
  <si>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</si>
  <si>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</si>
  <si>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</si>
  <si>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Ignore this selection</t>
  </si>
  <si>
    <t>ORS 468 and 468A</t>
  </si>
  <si>
    <t xml:space="preserve"> NA</t>
  </si>
  <si>
    <t>202-0060(3), 200</t>
  </si>
  <si>
    <t>X</t>
  </si>
  <si>
    <t xml:space="preserve"> Timecenter: 43003  Rulemaking: AQ Infrastructure SIP - PM2.5 - Mgr 15</t>
  </si>
  <si>
    <t>CAA 110</t>
  </si>
  <si>
    <t>Contingent on any effects to PSD, permitting or LRAPA</t>
  </si>
  <si>
    <t>Because the rules are necessary to comply with the CAA, DEQ is not considering other options.</t>
  </si>
  <si>
    <t xml:space="preserve"> States need to adopt federal standards within 3 years. This update is due to EPA by Dec. 14, 2015.</t>
  </si>
  <si>
    <t>We can use previous similar rulemakings as a model for this rulemaking.</t>
  </si>
  <si>
    <t>Environmental Solutions AQ Planning Section</t>
  </si>
  <si>
    <t>Address an environmental problem indirectly.</t>
  </si>
  <si>
    <t xml:space="preserve">Develop Interstate Transport Submittals for 2012 PM 2.5, along with the 2008 Pb,  2010 NO2, and 2010 SO2 NAAQS </t>
  </si>
  <si>
    <t>2012 PM 2.5 Annual NAAQS Infrastructure SIP, and Interstate Transport Submittal for PM 2.5, Pb, SO2, NO2</t>
  </si>
  <si>
    <t>Keep PM2.5 pollution below harmful levels and maintain a federally approved State Implementation Plan to protect air quality.  We also want to ensure there are no adverse air quality effects in neighboring states.</t>
  </si>
  <si>
    <t>Incorporate the annual NAAQS for PM2.5 into Oregon's State Implementation Plan by Dec. 14, 2015.   And, comply with the interstate transport provision in the CAA demonstrating Oregon does not have adverse air quality effects in neighboring states.</t>
  </si>
  <si>
    <t>If we do nothing, DEQ's SIP would become delinquent and DEQ could be sued and lose delegation of the AQ program.   The US Supreme Court recently ruled that all states have to submit an interstate transport SIP for new/revised NAAQS.</t>
  </si>
  <si>
    <t>We need to address the interstate transport component to this rulemaking (2012 PM 2.5) and for previous rulemakings (2008 Pb, 2010 NO2 and 2010 SO2)</t>
  </si>
  <si>
    <t>Interest in this proposal is low/medium.  There are no significant policy decisions to be made; therefore, DEQ does not plan to appoin an advisory committee.</t>
  </si>
  <si>
    <t>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t>
  </si>
  <si>
    <t>If we do nothing the agency runs the risk of being issued a finding of failure to submit from EPA.  EPA is routinely sued to issue a finding of failure to a state that hasn't sumitted a SIP.</t>
  </si>
  <si>
    <t>Potential of being issue a findng of failure to submit from EPA.</t>
  </si>
  <si>
    <t>Unlikely to result in funding reduction.  Consequences of doing nothing would first be resolved through EPA action.</t>
  </si>
  <si>
    <t>Prevent DEQ from being listed as delinquent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</si>
</sst>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rgb="FF00CC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2">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 fontId="101" fillId="32" borderId="2" xfId="0" applyNumberFormat="1" applyFont="1" applyFill="1" applyBorder="1" applyAlignment="1" applyProtection="1">
      <alignment horizontal="left" vertical="top"/>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118" fillId="0" borderId="0" xfId="0" applyFont="1" applyFill="1" applyBorder="1" applyAlignment="1">
      <alignment horizontal="left" vertical="center"/>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 fillId="0"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0" borderId="0" xfId="0" applyFont="1" applyFill="1" applyBorder="1" applyAlignment="1">
      <alignment horizontal="left" wrapText="1" indent="6"/>
    </xf>
    <xf numFmtId="164" fontId="81" fillId="0" borderId="21" xfId="0" applyFont="1" applyFill="1" applyBorder="1" applyAlignment="1">
      <alignment horizontal="left" wrapText="1" indent="6"/>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0" borderId="2" xfId="0" applyNumberFormat="1" applyFont="1" applyFill="1" applyBorder="1" applyAlignment="1" applyProtection="1">
      <alignment vertical="center" wrapText="1"/>
      <protection locked="0"/>
    </xf>
    <xf numFmtId="49" fontId="153" fillId="0" borderId="3" xfId="0" quotePrefix="1" applyNumberFormat="1" applyFont="1" applyFill="1" applyBorder="1" applyAlignment="1" applyProtection="1">
      <alignment vertical="center" wrapText="1"/>
      <protection locked="0"/>
    </xf>
    <xf numFmtId="49" fontId="153" fillId="0" borderId="4" xfId="0" quotePrefix="1" applyNumberFormat="1" applyFont="1" applyFill="1" applyBorder="1" applyAlignment="1" applyProtection="1">
      <alignment vertical="center" wrapText="1"/>
      <protection locked="0"/>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 fontId="157"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1"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433">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167" formatCode="m/d/yy;@"/>
    </dxf>
    <dxf>
      <alignment horizontal="general" vertical="bottom" textRotation="0" wrapText="1" relativeIndent="0" justifyLastLine="0" shrinkToFit="0" readingOrder="0"/>
    </dxf>
    <dxf>
      <alignment horizontal="general" vertical="bottom" textRotation="0" wrapText="1" relativeIndent="0" justifyLastLine="0" shrinkToFit="0" readingOrder="0"/>
    </dxf>
    <dxf>
      <numFmt numFmtId="1" formatCode="0"/>
    </dxf>
    <dxf>
      <numFmt numFmtId="167" formatCode="m/d/yy;@"/>
    </dxf>
    <dxf>
      <numFmt numFmtId="1" formatCode="0"/>
      <alignment horizontal="center" vertical="bottom" textRotation="0" wrapText="0" relativeIndent="0" justifyLastLine="0" shrinkToFit="0" readingOrder="0"/>
    </dxf>
    <dxf>
      <numFmt numFmtId="166" formatCode="0.0"/>
    </dxf>
    <dxf>
      <numFmt numFmtId="1" formatCode="0"/>
      <alignment horizontal="center" vertical="center" textRotation="0" wrapTex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432"/>
    </tableStyle>
    <tableStyle name="Table Style 2" pivot="0" count="1">
      <tableStyleElement type="wholeTable" dxfId="431"/>
    </tableStyle>
    <tableStyle name="TableStyleMedium9 2" pivot="0" count="7">
      <tableStyleElement type="wholeTable" dxfId="430"/>
      <tableStyleElement type="headerRow" dxfId="429"/>
      <tableStyleElement type="totalRow" dxfId="428"/>
      <tableStyleElement type="firstColumn" dxfId="427"/>
      <tableStyleElement type="lastColumn" dxfId="426"/>
      <tableStyleElement type="firstRowStripe" dxfId="425"/>
      <tableStyleElement type="firstColumnStripe" dxfId="424"/>
    </tableStyle>
    <tableStyle name="TableStyleMedium9 3" pivot="0" count="7">
      <tableStyleElement type="wholeTable" dxfId="423"/>
      <tableStyleElement type="headerRow" dxfId="422"/>
      <tableStyleElement type="totalRow" dxfId="421"/>
      <tableStyleElement type="firstColumn" dxfId="420"/>
      <tableStyleElement type="lastColumn" dxfId="419"/>
      <tableStyleElement type="firstRowStripe" dxfId="418"/>
      <tableStyleElement type="firstColumnStripe" dxfId="417"/>
    </tableStyle>
    <tableStyle name="TimeTable" pivot="0" count="1">
      <tableStyleElement type="wholeTable" dxfId="416"/>
    </tableStyle>
  </tableStyles>
  <colors>
    <mruColors>
      <color rgb="FF00CC00"/>
      <color rgb="FF0E7A56"/>
      <color rgb="FFFB9C33"/>
      <color rgb="FF993300"/>
      <color rgb="FFCC3300"/>
      <color rgb="FFF53D39"/>
      <color rgb="FFF6FCF7"/>
      <color rgb="FFE0F4E5"/>
      <color rgb="FFCEEED6"/>
      <color rgb="FF6FCB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X64"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firstButton="1" fmlaLink="X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firstButton="1" fmlaLink="X12"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firstButton="1" fmlaLink="X13"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CheckBox" checked="Checked" fmlaLink="X51"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X52"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Z52" lockText="1" noThreeD="1"/>
</file>

<file path=xl/ctrlProps/ctrlProp113.xml><?xml version="1.0" encoding="utf-8"?>
<formControlPr xmlns="http://schemas.microsoft.com/office/spreadsheetml/2009/9/main" objectType="Radio" firstButton="1" fmlaLink="Z50"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CheckBox" fmlaLink="Y37" lockText="1" noThreeD="1"/>
</file>

<file path=xl/ctrlProps/ctrlProp117.xml><?xml version="1.0" encoding="utf-8"?>
<formControlPr xmlns="http://schemas.microsoft.com/office/spreadsheetml/2009/9/main" objectType="CheckBox" fmlaLink="Y38" lockText="1" noThreeD="1"/>
</file>

<file path=xl/ctrlProps/ctrlProp118.xml><?xml version="1.0" encoding="utf-8"?>
<formControlPr xmlns="http://schemas.microsoft.com/office/spreadsheetml/2009/9/main" objectType="CheckBox" fmlaLink="Y39" lockText="1" noThreeD="1"/>
</file>

<file path=xl/ctrlProps/ctrlProp119.xml><?xml version="1.0" encoding="utf-8"?>
<formControlPr xmlns="http://schemas.microsoft.com/office/spreadsheetml/2009/9/main" objectType="CheckBox" fmlaLink="Z37"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Z38" lockText="1" noThreeD="1"/>
</file>

<file path=xl/ctrlProps/ctrlProp121.xml><?xml version="1.0" encoding="utf-8"?>
<formControlPr xmlns="http://schemas.microsoft.com/office/spreadsheetml/2009/9/main" objectType="CheckBox" fmlaLink="Z39" lockText="1" noThreeD="1"/>
</file>

<file path=xl/ctrlProps/ctrlProp122.xml><?xml version="1.0" encoding="utf-8"?>
<formControlPr xmlns="http://schemas.microsoft.com/office/spreadsheetml/2009/9/main" objectType="CheckBox" fmlaLink="Z40" lockText="1" noThreeD="1"/>
</file>

<file path=xl/ctrlProps/ctrlProp123.xml><?xml version="1.0" encoding="utf-8"?>
<formControlPr xmlns="http://schemas.microsoft.com/office/spreadsheetml/2009/9/main" objectType="CheckBox" fmlaLink="Y40"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checked="Checked" firstButton="1" fmlaLink="X37"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checked="Checked" firstButton="1" fmlaLink="X23"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CheckBox" fmlaLink="X11" lockText="1" noThreeD="1"/>
</file>

<file path=xl/ctrlProps/ctrlProp136.xml><?xml version="1.0" encoding="utf-8"?>
<formControlPr xmlns="http://schemas.microsoft.com/office/spreadsheetml/2009/9/main" objectType="CheckBox" checked="Checked" fmlaLink="X12" lockText="1" noThreeD="1"/>
</file>

<file path=xl/ctrlProps/ctrlProp137.xml><?xml version="1.0" encoding="utf-8"?>
<formControlPr xmlns="http://schemas.microsoft.com/office/spreadsheetml/2009/9/main" objectType="CheckBox" checked="Checked" fmlaLink="X9" lockText="1" noThreeD="1"/>
</file>

<file path=xl/ctrlProps/ctrlProp138.xml><?xml version="1.0" encoding="utf-8"?>
<formControlPr xmlns="http://schemas.microsoft.com/office/spreadsheetml/2009/9/main" objectType="CheckBox" checked="Checked" fmlaLink="X10" lockText="1" noThreeD="1"/>
</file>

<file path=xl/ctrlProps/ctrlProp139.xml><?xml version="1.0" encoding="utf-8"?>
<formControlPr xmlns="http://schemas.microsoft.com/office/spreadsheetml/2009/9/main" objectType="CheckBox" fmlaLink="X16"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X13" lockText="1" noThreeD="1"/>
</file>

<file path=xl/ctrlProps/ctrlProp141.xml><?xml version="1.0" encoding="utf-8"?>
<formControlPr xmlns="http://schemas.microsoft.com/office/spreadsheetml/2009/9/main" objectType="CheckBox" checked="Checked" fmlaLink="X14" lockText="1" noThreeD="1"/>
</file>

<file path=xl/ctrlProps/ctrlProp142.xml><?xml version="1.0" encoding="utf-8"?>
<formControlPr xmlns="http://schemas.microsoft.com/office/spreadsheetml/2009/9/main" objectType="CheckBox" fmlaLink="X15" lockText="1" noThreeD="1"/>
</file>

<file path=xl/ctrlProps/ctrlProp143.xml><?xml version="1.0" encoding="utf-8"?>
<formControlPr xmlns="http://schemas.microsoft.com/office/spreadsheetml/2009/9/main" objectType="Radio" firstButton="1" fmlaLink="Y10"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fmlaLink="X31" lockText="1" noThreeD="1"/>
</file>

<file path=xl/ctrlProps/ctrlProp146.xml><?xml version="1.0" encoding="utf-8"?>
<formControlPr xmlns="http://schemas.microsoft.com/office/spreadsheetml/2009/9/main" objectType="CheckBox" checked="Checked" fmlaLink="X23" lockText="1" noThreeD="1"/>
</file>

<file path=xl/ctrlProps/ctrlProp147.xml><?xml version="1.0" encoding="utf-8"?>
<formControlPr xmlns="http://schemas.microsoft.com/office/spreadsheetml/2009/9/main" objectType="CheckBox" fmlaLink="X24" lockText="1" noThreeD="1"/>
</file>

<file path=xl/ctrlProps/ctrlProp148.xml><?xml version="1.0" encoding="utf-8"?>
<formControlPr xmlns="http://schemas.microsoft.com/office/spreadsheetml/2009/9/main" objectType="CheckBox" fmlaLink="X25" lockText="1" noThreeD="1"/>
</file>

<file path=xl/ctrlProps/ctrlProp149.xml><?xml version="1.0" encoding="utf-8"?>
<formControlPr xmlns="http://schemas.microsoft.com/office/spreadsheetml/2009/9/main" objectType="CheckBox" fmlaLink="X26"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X27"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checked="Checked" firstButton="1" fmlaLink="X3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fmlaLink="X13" lockText="1" noThreeD="1"/>
</file>

<file path=xl/ctrlProps/ctrlProp158.xml><?xml version="1.0" encoding="utf-8"?>
<formControlPr xmlns="http://schemas.microsoft.com/office/spreadsheetml/2009/9/main" objectType="CheckBox" fmlaLink="X10" lockText="1" noThreeD="1"/>
</file>

<file path=xl/ctrlProps/ctrlProp159.xml><?xml version="1.0" encoding="utf-8"?>
<formControlPr xmlns="http://schemas.microsoft.com/office/spreadsheetml/2009/9/main" objectType="CheckBox" fmlaLink="X8"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X11" lockText="1" noThreeD="1"/>
</file>

<file path=xl/ctrlProps/ctrlProp161.xml><?xml version="1.0" encoding="utf-8"?>
<formControlPr xmlns="http://schemas.microsoft.com/office/spreadsheetml/2009/9/main" objectType="CheckBox" checked="Checked" fmlaLink="X9" lockText="1" noThreeD="1"/>
</file>

<file path=xl/ctrlProps/ctrlProp162.xml><?xml version="1.0" encoding="utf-8"?>
<formControlPr xmlns="http://schemas.microsoft.com/office/spreadsheetml/2009/9/main" objectType="CheckBox" fmlaLink="X12" lockText="1" noThreeD="1"/>
</file>

<file path=xl/ctrlProps/ctrlProp163.xml><?xml version="1.0" encoding="utf-8"?>
<formControlPr xmlns="http://schemas.microsoft.com/office/spreadsheetml/2009/9/main" objectType="CheckBox" fmlaLink="X32" lockText="1" noThreeD="1"/>
</file>

<file path=xl/ctrlProps/ctrlProp164.xml><?xml version="1.0" encoding="utf-8"?>
<formControlPr xmlns="http://schemas.microsoft.com/office/spreadsheetml/2009/9/main" objectType="CheckBox" fmlaLink="X33" lockText="1" noThreeD="1"/>
</file>

<file path=xl/ctrlProps/ctrlProp165.xml><?xml version="1.0" encoding="utf-8"?>
<formControlPr xmlns="http://schemas.microsoft.com/office/spreadsheetml/2009/9/main" objectType="CheckBox" fmlaLink="X34" lockText="1" noThreeD="1"/>
</file>

<file path=xl/ctrlProps/ctrlProp166.xml><?xml version="1.0" encoding="utf-8"?>
<formControlPr xmlns="http://schemas.microsoft.com/office/spreadsheetml/2009/9/main" objectType="Radio" firstButton="1" fmlaLink="X18"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checked="Checked"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fmlaLink="Y1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CheckBox" fmlaLink="X16" lockText="1" noThreeD="1"/>
</file>

<file path=xl/ctrlProps/ctrlProp179.xml><?xml version="1.0" encoding="utf-8"?>
<formControlPr xmlns="http://schemas.microsoft.com/office/spreadsheetml/2009/9/main" objectType="CheckBox" checked="Checked" fmlaLink="X12"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X10" lockText="1" noThreeD="1"/>
</file>

<file path=xl/ctrlProps/ctrlProp181.xml><?xml version="1.0" encoding="utf-8"?>
<formControlPr xmlns="http://schemas.microsoft.com/office/spreadsheetml/2009/9/main" objectType="CheckBox" fmlaLink="X13" lockText="1" noThreeD="1"/>
</file>

<file path=xl/ctrlProps/ctrlProp182.xml><?xml version="1.0" encoding="utf-8"?>
<formControlPr xmlns="http://schemas.microsoft.com/office/spreadsheetml/2009/9/main" objectType="CheckBox" fmlaLink="X11" lockText="1" noThreeD="1"/>
</file>

<file path=xl/ctrlProps/ctrlProp183.xml><?xml version="1.0" encoding="utf-8"?>
<formControlPr xmlns="http://schemas.microsoft.com/office/spreadsheetml/2009/9/main" objectType="CheckBox" fmlaLink="X14" lockText="1" noThreeD="1"/>
</file>

<file path=xl/ctrlProps/ctrlProp184.xml><?xml version="1.0" encoding="utf-8"?>
<formControlPr xmlns="http://schemas.microsoft.com/office/spreadsheetml/2009/9/main" objectType="CheckBox" fmlaLink="X15" lockText="1" noThreeD="1"/>
</file>

<file path=xl/ctrlProps/ctrlProp185.xml><?xml version="1.0" encoding="utf-8"?>
<formControlPr xmlns="http://schemas.microsoft.com/office/spreadsheetml/2009/9/main" objectType="CheckBox" fmlaLink="X19" lockText="1" noThreeD="1"/>
</file>

<file path=xl/ctrlProps/ctrlProp186.xml><?xml version="1.0" encoding="utf-8"?>
<formControlPr xmlns="http://schemas.microsoft.com/office/spreadsheetml/2009/9/main" objectType="CheckBox" fmlaLink="X20" lockText="1" noThreeD="1"/>
</file>

<file path=xl/ctrlProps/ctrlProp187.xml><?xml version="1.0" encoding="utf-8"?>
<formControlPr xmlns="http://schemas.microsoft.com/office/spreadsheetml/2009/9/main" objectType="CheckBox" fmlaLink="X21"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checked="Checked" firstButton="1" fmlaLink="AB19" lockText="1" noThreeD="1"/>
</file>

<file path=xl/ctrlProps/ctrlProp19.xml><?xml version="1.0" encoding="utf-8"?>
<formControlPr xmlns="http://schemas.microsoft.com/office/spreadsheetml/2009/9/main" objectType="Radio" checked="Checked" firstButton="1" fmlaLink="X52"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CheckBox" fmlaLink="X41" lockText="1" noThreeD="1"/>
</file>

<file path=xl/ctrlProps/ctrlProp193.xml><?xml version="1.0" encoding="utf-8"?>
<formControlPr xmlns="http://schemas.microsoft.com/office/spreadsheetml/2009/9/main" objectType="CheckBox" fmlaLink="X42" lockText="1" noThreeD="1"/>
</file>

<file path=xl/ctrlProps/ctrlProp194.xml><?xml version="1.0" encoding="utf-8"?>
<formControlPr xmlns="http://schemas.microsoft.com/office/spreadsheetml/2009/9/main" objectType="CheckBox" fmlaLink="X43" lockText="1" noThreeD="1"/>
</file>

<file path=xl/ctrlProps/ctrlProp195.xml><?xml version="1.0" encoding="utf-8"?>
<formControlPr xmlns="http://schemas.microsoft.com/office/spreadsheetml/2009/9/main" objectType="CheckBox" fmlaLink="X44" lockText="1" noThreeD="1"/>
</file>

<file path=xl/ctrlProps/ctrlProp196.xml><?xml version="1.0" encoding="utf-8"?>
<formControlPr xmlns="http://schemas.microsoft.com/office/spreadsheetml/2009/9/main" objectType="CheckBox" fmlaLink="Y41" lockText="1" noThreeD="1"/>
</file>

<file path=xl/ctrlProps/ctrlProp197.xml><?xml version="1.0" encoding="utf-8"?>
<formControlPr xmlns="http://schemas.microsoft.com/office/spreadsheetml/2009/9/main" objectType="CheckBox" fmlaLink="Y42" lockText="1" noThreeD="1"/>
</file>

<file path=xl/ctrlProps/ctrlProp198.xml><?xml version="1.0" encoding="utf-8"?>
<formControlPr xmlns="http://schemas.microsoft.com/office/spreadsheetml/2009/9/main" objectType="CheckBox" fmlaLink="Y43" lockText="1" noThreeD="1"/>
</file>

<file path=xl/ctrlProps/ctrlProp199.xml><?xml version="1.0" encoding="utf-8"?>
<formControlPr xmlns="http://schemas.microsoft.com/office/spreadsheetml/2009/9/main" objectType="CheckBox" fmlaLink="Y4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fmlaLink="Z41" lockText="1" noThreeD="1"/>
</file>

<file path=xl/ctrlProps/ctrlProp201.xml><?xml version="1.0" encoding="utf-8"?>
<formControlPr xmlns="http://schemas.microsoft.com/office/spreadsheetml/2009/9/main" objectType="CheckBox" fmlaLink="Z42" lockText="1" noThreeD="1"/>
</file>

<file path=xl/ctrlProps/ctrlProp202.xml><?xml version="1.0" encoding="utf-8"?>
<formControlPr xmlns="http://schemas.microsoft.com/office/spreadsheetml/2009/9/main" objectType="CheckBox" fmlaLink="Z43" lockText="1" noThreeD="1"/>
</file>

<file path=xl/ctrlProps/ctrlProp203.xml><?xml version="1.0" encoding="utf-8"?>
<formControlPr xmlns="http://schemas.microsoft.com/office/spreadsheetml/2009/9/main" objectType="CheckBox" fmlaLink="Z44" lockText="1" noThreeD="1"/>
</file>

<file path=xl/ctrlProps/ctrlProp204.xml><?xml version="1.0" encoding="utf-8"?>
<formControlPr xmlns="http://schemas.microsoft.com/office/spreadsheetml/2009/9/main" objectType="CheckBox" fmlaLink="X19" lockText="1" noThreeD="1"/>
</file>

<file path=xl/ctrlProps/ctrlProp205.xml><?xml version="1.0" encoding="utf-8"?>
<formControlPr xmlns="http://schemas.microsoft.com/office/spreadsheetml/2009/9/main" objectType="CheckBox" checked="Checked" fmlaLink="X21" lockText="1" noThreeD="1"/>
</file>

<file path=xl/ctrlProps/ctrlProp206.xml><?xml version="1.0" encoding="utf-8"?>
<formControlPr xmlns="http://schemas.microsoft.com/office/spreadsheetml/2009/9/main" objectType="CheckBox" fmlaLink="X17" lockText="1" noThreeD="1"/>
</file>

<file path=xl/ctrlProps/ctrlProp207.xml><?xml version="1.0" encoding="utf-8"?>
<formControlPr xmlns="http://schemas.microsoft.com/office/spreadsheetml/2009/9/main" objectType="CheckBox" fmlaLink="X22" lockText="1" noThreeD="1"/>
</file>

<file path=xl/ctrlProps/ctrlProp208.xml><?xml version="1.0" encoding="utf-8"?>
<formControlPr xmlns="http://schemas.microsoft.com/office/spreadsheetml/2009/9/main" objectType="CheckBox" fmlaLink="X18" lockText="1" noThreeD="1"/>
</file>

<file path=xl/ctrlProps/ctrlProp209.xml><?xml version="1.0" encoding="utf-8"?>
<formControlPr xmlns="http://schemas.microsoft.com/office/spreadsheetml/2009/9/main" objectType="CheckBox" fmlaLink="X23"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checked="Checked" fmlaLink="X21"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checked="Checked" firstButton="1" fmlaLink="X10"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firstButton="1" fmlaLink="X7"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REF!"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fmlaLink="X7"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REF!"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fmlaLink="#REF!" lockText="1" noThreeD="1"/>
</file>

<file path=xl/ctrlProps/ctrlProp23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firstButton="1" fmlaLink="X5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X57"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fmlaLink="X5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firstButton="1" fmlaLink="X5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X6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fmlaLink="X6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firstButton="1" fmlaLink="X6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X63"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firstButton="1" fmlaLink="X6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firstButton="1" fmlaLink="X65"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firstButton="1" fmlaLink="X66"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fmlaLink="$X$16"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X8"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fmlaLink="X9" lockText="1" noThreeD="1"/>
</file>

<file path=xl/ctrlProps/ctrlProp95.xml><?xml version="1.0" encoding="utf-8"?>
<formControlPr xmlns="http://schemas.microsoft.com/office/spreadsheetml/2009/9/main" objectType="Radio" checked="Checked"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firstButton="1" fmlaLink="X1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3</xdr:col>
          <xdr:colOff>561975</xdr:colOff>
          <xdr:row>17</xdr:row>
          <xdr:rowOff>238125</xdr:rowOff>
        </xdr:from>
        <xdr:to>
          <xdr:col>3</xdr:col>
          <xdr:colOff>866775</xdr:colOff>
          <xdr:row>19</xdr:row>
          <xdr:rowOff>28575</xdr:rowOff>
        </xdr:to>
        <xdr:sp macro="" textlink="">
          <xdr:nvSpPr>
            <xdr:cNvPr id="143362" name="Check Box 2" hidden="1">
              <a:extLst>
                <a:ext uri="{63B3BB69-23CF-44E3-9099-C40C66FF867C}">
                  <a14:compatExt spid="_x0000_s14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18</xdr:row>
          <xdr:rowOff>238125</xdr:rowOff>
        </xdr:from>
        <xdr:to>
          <xdr:col>3</xdr:col>
          <xdr:colOff>866775</xdr:colOff>
          <xdr:row>20</xdr:row>
          <xdr:rowOff>28575</xdr:rowOff>
        </xdr:to>
        <xdr:sp macro="" textlink="">
          <xdr:nvSpPr>
            <xdr:cNvPr id="143363" name="Check Box 3" hidden="1">
              <a:extLst>
                <a:ext uri="{63B3BB69-23CF-44E3-9099-C40C66FF867C}">
                  <a14:compatExt spid="_x0000_s14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15</xdr:row>
          <xdr:rowOff>333375</xdr:rowOff>
        </xdr:from>
        <xdr:to>
          <xdr:col>3</xdr:col>
          <xdr:colOff>866775</xdr:colOff>
          <xdr:row>17</xdr:row>
          <xdr:rowOff>38100</xdr:rowOff>
        </xdr:to>
        <xdr:sp macro="" textlink="">
          <xdr:nvSpPr>
            <xdr:cNvPr id="143364" name="Check Box 4" hidden="1">
              <a:extLst>
                <a:ext uri="{63B3BB69-23CF-44E3-9099-C40C66FF867C}">
                  <a14:compatExt spid="_x0000_s14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21</xdr:row>
          <xdr:rowOff>0</xdr:rowOff>
        </xdr:from>
        <xdr:to>
          <xdr:col>3</xdr:col>
          <xdr:colOff>866775</xdr:colOff>
          <xdr:row>22</xdr:row>
          <xdr:rowOff>57150</xdr:rowOff>
        </xdr:to>
        <xdr:sp macro="" textlink="">
          <xdr:nvSpPr>
            <xdr:cNvPr id="143365" name="Check Box 5" hidden="1">
              <a:extLst>
                <a:ext uri="{63B3BB69-23CF-44E3-9099-C40C66FF867C}">
                  <a14:compatExt spid="_x0000_s143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257175</xdr:rowOff>
        </xdr:from>
        <xdr:to>
          <xdr:col>3</xdr:col>
          <xdr:colOff>866775</xdr:colOff>
          <xdr:row>18</xdr:row>
          <xdr:rowOff>47625</xdr:rowOff>
        </xdr:to>
        <xdr:sp macro="" textlink="">
          <xdr:nvSpPr>
            <xdr:cNvPr id="143366" name="Check Box 6" hidden="1">
              <a:extLst>
                <a:ext uri="{63B3BB69-23CF-44E3-9099-C40C66FF867C}">
                  <a14:compatExt spid="_x0000_s143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22</xdr:row>
          <xdr:rowOff>0</xdr:rowOff>
        </xdr:from>
        <xdr:to>
          <xdr:col>3</xdr:col>
          <xdr:colOff>866775</xdr:colOff>
          <xdr:row>23</xdr:row>
          <xdr:rowOff>57150</xdr:rowOff>
        </xdr:to>
        <xdr:sp macro="" textlink="">
          <xdr:nvSpPr>
            <xdr:cNvPr id="143369" name="Check Box 9" hidden="1">
              <a:extLst>
                <a:ext uri="{63B3BB69-23CF-44E3-9099-C40C66FF867C}">
                  <a14:compatExt spid="_x0000_s143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19</xdr:row>
          <xdr:rowOff>238125</xdr:rowOff>
        </xdr:from>
        <xdr:to>
          <xdr:col>3</xdr:col>
          <xdr:colOff>866775</xdr:colOff>
          <xdr:row>20</xdr:row>
          <xdr:rowOff>295275</xdr:rowOff>
        </xdr:to>
        <xdr:sp macro="" textlink="">
          <xdr:nvSpPr>
            <xdr:cNvPr id="143371" name="Check Box 11" hidden="1">
              <a:extLst>
                <a:ext uri="{63B3BB69-23CF-44E3-9099-C40C66FF867C}">
                  <a14:compatExt spid="_x0000_s143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81375"/>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19050</xdr:rowOff>
        </xdr:from>
        <xdr:to>
          <xdr:col>18</xdr:col>
          <xdr:colOff>0</xdr:colOff>
          <xdr:row>7</xdr:row>
          <xdr:rowOff>0</xdr:rowOff>
        </xdr:to>
        <xdr:sp macro="" textlink="">
          <xdr:nvSpPr>
            <xdr:cNvPr id="147535" name="Group Box 79" hidden="1">
              <a:extLst>
                <a:ext uri="{63B3BB69-23CF-44E3-9099-C40C66FF867C}">
                  <a14:compatExt spid="_x0000_s1475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0</xdr:rowOff>
        </xdr:from>
        <xdr:to>
          <xdr:col>18</xdr:col>
          <xdr:colOff>0</xdr:colOff>
          <xdr:row>10</xdr:row>
          <xdr:rowOff>0</xdr:rowOff>
        </xdr:to>
        <xdr:sp macro="" textlink="">
          <xdr:nvSpPr>
            <xdr:cNvPr id="147541" name="Group Box 85" hidden="1">
              <a:extLst>
                <a:ext uri="{63B3BB69-23CF-44E3-9099-C40C66FF867C}">
                  <a14:compatExt spid="_x0000_s1475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9</xdr:row>
          <xdr:rowOff>47625</xdr:rowOff>
        </xdr:from>
        <xdr:to>
          <xdr:col>3</xdr:col>
          <xdr:colOff>790575</xdr:colOff>
          <xdr:row>9</xdr:row>
          <xdr:rowOff>295275</xdr:rowOff>
        </xdr:to>
        <xdr:sp macro="" textlink="">
          <xdr:nvSpPr>
            <xdr:cNvPr id="147549" name="Option Button 93" hidden="1">
              <a:extLst>
                <a:ext uri="{63B3BB69-23CF-44E3-9099-C40C66FF867C}">
                  <a14:compatExt spid="_x0000_s147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19050</xdr:rowOff>
        </xdr:from>
        <xdr:to>
          <xdr:col>5</xdr:col>
          <xdr:colOff>247650</xdr:colOff>
          <xdr:row>9</xdr:row>
          <xdr:rowOff>323850</xdr:rowOff>
        </xdr:to>
        <xdr:sp macro="" textlink="">
          <xdr:nvSpPr>
            <xdr:cNvPr id="147550" name="Option Button 94" hidden="1">
              <a:extLst>
                <a:ext uri="{63B3BB69-23CF-44E3-9099-C40C66FF867C}">
                  <a14:compatExt spid="_x0000_s147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981075</xdr:colOff>
          <xdr:row>9</xdr:row>
          <xdr:rowOff>19050</xdr:rowOff>
        </xdr:from>
        <xdr:to>
          <xdr:col>6</xdr:col>
          <xdr:colOff>228600</xdr:colOff>
          <xdr:row>9</xdr:row>
          <xdr:rowOff>323850</xdr:rowOff>
        </xdr:to>
        <xdr:sp macro="" textlink="">
          <xdr:nvSpPr>
            <xdr:cNvPr id="147551" name="Option Button 95" hidden="1">
              <a:extLst>
                <a:ext uri="{63B3BB69-23CF-44E3-9099-C40C66FF867C}">
                  <a14:compatExt spid="_x0000_s147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971550</xdr:colOff>
          <xdr:row>9</xdr:row>
          <xdr:rowOff>19050</xdr:rowOff>
        </xdr:from>
        <xdr:to>
          <xdr:col>6</xdr:col>
          <xdr:colOff>1343025</xdr:colOff>
          <xdr:row>9</xdr:row>
          <xdr:rowOff>323850</xdr:rowOff>
        </xdr:to>
        <xdr:sp macro="" textlink="">
          <xdr:nvSpPr>
            <xdr:cNvPr id="147552" name="Option Button 96" hidden="1">
              <a:extLst>
                <a:ext uri="{63B3BB69-23CF-44E3-9099-C40C66FF867C}">
                  <a14:compatExt spid="_x0000_s147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19050</xdr:rowOff>
        </xdr:from>
        <xdr:to>
          <xdr:col>14</xdr:col>
          <xdr:colOff>66675</xdr:colOff>
          <xdr:row>9</xdr:row>
          <xdr:rowOff>323850</xdr:rowOff>
        </xdr:to>
        <xdr:sp macro="" textlink="">
          <xdr:nvSpPr>
            <xdr:cNvPr id="147553" name="Option Button 97" hidden="1">
              <a:extLst>
                <a:ext uri="{63B3BB69-23CF-44E3-9099-C40C66FF867C}">
                  <a14:compatExt spid="_x0000_s147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xdr:row>
          <xdr:rowOff>38100</xdr:rowOff>
        </xdr:from>
        <xdr:to>
          <xdr:col>3</xdr:col>
          <xdr:colOff>876300</xdr:colOff>
          <xdr:row>6</xdr:row>
          <xdr:rowOff>314325</xdr:rowOff>
        </xdr:to>
        <xdr:sp macro="" textlink="">
          <xdr:nvSpPr>
            <xdr:cNvPr id="147555" name="Option Button 99" hidden="1">
              <a:extLst>
                <a:ext uri="{63B3BB69-23CF-44E3-9099-C40C66FF867C}">
                  <a14:compatExt spid="_x0000_s147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28575</xdr:rowOff>
        </xdr:from>
        <xdr:to>
          <xdr:col>5</xdr:col>
          <xdr:colOff>371475</xdr:colOff>
          <xdr:row>6</xdr:row>
          <xdr:rowOff>314325</xdr:rowOff>
        </xdr:to>
        <xdr:sp macro="" textlink="">
          <xdr:nvSpPr>
            <xdr:cNvPr id="147557" name="Option Button 101" hidden="1">
              <a:extLst>
                <a:ext uri="{63B3BB69-23CF-44E3-9099-C40C66FF867C}">
                  <a14:compatExt spid="_x0000_s147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1047750</xdr:colOff>
          <xdr:row>6</xdr:row>
          <xdr:rowOff>28575</xdr:rowOff>
        </xdr:from>
        <xdr:to>
          <xdr:col>6</xdr:col>
          <xdr:colOff>152400</xdr:colOff>
          <xdr:row>6</xdr:row>
          <xdr:rowOff>314325</xdr:rowOff>
        </xdr:to>
        <xdr:sp macro="" textlink="">
          <xdr:nvSpPr>
            <xdr:cNvPr id="147558" name="Option Button 102" hidden="1">
              <a:extLst>
                <a:ext uri="{63B3BB69-23CF-44E3-9099-C40C66FF867C}">
                  <a14:compatExt spid="_x0000_s147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6</xdr:row>
          <xdr:rowOff>38100</xdr:rowOff>
        </xdr:from>
        <xdr:to>
          <xdr:col>6</xdr:col>
          <xdr:colOff>1171575</xdr:colOff>
          <xdr:row>6</xdr:row>
          <xdr:rowOff>304800</xdr:rowOff>
        </xdr:to>
        <xdr:sp macro="" textlink="">
          <xdr:nvSpPr>
            <xdr:cNvPr id="147559" name="Option Button 103" hidden="1">
              <a:extLst>
                <a:ext uri="{63B3BB69-23CF-44E3-9099-C40C66FF867C}">
                  <a14:compatExt spid="_x0000_s147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xdr:row>
          <xdr:rowOff>19050</xdr:rowOff>
        </xdr:from>
        <xdr:to>
          <xdr:col>13</xdr:col>
          <xdr:colOff>66675</xdr:colOff>
          <xdr:row>6</xdr:row>
          <xdr:rowOff>333375</xdr:rowOff>
        </xdr:to>
        <xdr:sp macro="" textlink="">
          <xdr:nvSpPr>
            <xdr:cNvPr id="147560" name="Option Button 104" hidden="1">
              <a:extLst>
                <a:ext uri="{63B3BB69-23CF-44E3-9099-C40C66FF867C}">
                  <a14:compatExt spid="_x0000_s147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mc:AlternateContent xmlns:mc="http://schemas.openxmlformats.org/markup-compatibility/2006">
    <mc:Choice xmlns:a14="http://schemas.microsoft.com/office/drawing/2010/main" Requires="a14">
      <xdr:twoCellAnchor editAs="oneCell">
        <xdr:from>
          <xdr:col>6</xdr:col>
          <xdr:colOff>838200</xdr:colOff>
          <xdr:row>37</xdr:row>
          <xdr:rowOff>0</xdr:rowOff>
        </xdr:from>
        <xdr:to>
          <xdr:col>6</xdr:col>
          <xdr:colOff>838200</xdr:colOff>
          <xdr:row>38</xdr:row>
          <xdr:rowOff>104775</xdr:rowOff>
        </xdr:to>
        <xdr:sp macro="" textlink="">
          <xdr:nvSpPr>
            <xdr:cNvPr id="148491" name="Option Button 11" hidden="1">
              <a:extLst>
                <a:ext uri="{63B3BB69-23CF-44E3-9099-C40C66FF867C}">
                  <a14:compatExt spid="_x0000_s14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19050</xdr:rowOff>
        </xdr:from>
        <xdr:to>
          <xdr:col>17</xdr:col>
          <xdr:colOff>133350</xdr:colOff>
          <xdr:row>7</xdr:row>
          <xdr:rowOff>0</xdr:rowOff>
        </xdr:to>
        <xdr:sp macro="" textlink="">
          <xdr:nvSpPr>
            <xdr:cNvPr id="148503" name="Group Box 23" hidden="1">
              <a:extLst>
                <a:ext uri="{63B3BB69-23CF-44E3-9099-C40C66FF867C}">
                  <a14:compatExt spid="_x0000_s1485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xdr:row>
          <xdr:rowOff>38100</xdr:rowOff>
        </xdr:from>
        <xdr:to>
          <xdr:col>3</xdr:col>
          <xdr:colOff>876300</xdr:colOff>
          <xdr:row>6</xdr:row>
          <xdr:rowOff>314325</xdr:rowOff>
        </xdr:to>
        <xdr:sp macro="" textlink="">
          <xdr:nvSpPr>
            <xdr:cNvPr id="148504" name="Option Button 24" hidden="1">
              <a:extLst>
                <a:ext uri="{63B3BB69-23CF-44E3-9099-C40C66FF867C}">
                  <a14:compatExt spid="_x0000_s148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28575</xdr:rowOff>
        </xdr:from>
        <xdr:to>
          <xdr:col>5</xdr:col>
          <xdr:colOff>371475</xdr:colOff>
          <xdr:row>6</xdr:row>
          <xdr:rowOff>314325</xdr:rowOff>
        </xdr:to>
        <xdr:sp macro="" textlink="">
          <xdr:nvSpPr>
            <xdr:cNvPr id="148505" name="Option Button 25" hidden="1">
              <a:extLst>
                <a:ext uri="{63B3BB69-23CF-44E3-9099-C40C66FF867C}">
                  <a14:compatExt spid="_x0000_s148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1047750</xdr:colOff>
          <xdr:row>6</xdr:row>
          <xdr:rowOff>28575</xdr:rowOff>
        </xdr:from>
        <xdr:to>
          <xdr:col>6</xdr:col>
          <xdr:colOff>314325</xdr:colOff>
          <xdr:row>6</xdr:row>
          <xdr:rowOff>314325</xdr:rowOff>
        </xdr:to>
        <xdr:sp macro="" textlink="">
          <xdr:nvSpPr>
            <xdr:cNvPr id="148506" name="Option Button 26" hidden="1">
              <a:extLst>
                <a:ext uri="{63B3BB69-23CF-44E3-9099-C40C66FF867C}">
                  <a14:compatExt spid="_x0000_s148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6</xdr:row>
          <xdr:rowOff>38100</xdr:rowOff>
        </xdr:from>
        <xdr:to>
          <xdr:col>6</xdr:col>
          <xdr:colOff>1171575</xdr:colOff>
          <xdr:row>6</xdr:row>
          <xdr:rowOff>304800</xdr:rowOff>
        </xdr:to>
        <xdr:sp macro="" textlink="">
          <xdr:nvSpPr>
            <xdr:cNvPr id="148507" name="Option Button 27" hidden="1">
              <a:extLst>
                <a:ext uri="{63B3BB69-23CF-44E3-9099-C40C66FF867C}">
                  <a14:compatExt spid="_x0000_s148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xdr:row>
          <xdr:rowOff>19050</xdr:rowOff>
        </xdr:from>
        <xdr:to>
          <xdr:col>13</xdr:col>
          <xdr:colOff>66675</xdr:colOff>
          <xdr:row>6</xdr:row>
          <xdr:rowOff>333375</xdr:rowOff>
        </xdr:to>
        <xdr:sp macro="" textlink="">
          <xdr:nvSpPr>
            <xdr:cNvPr id="148508" name="Option Button 28" hidden="1">
              <a:extLst>
                <a:ext uri="{63B3BB69-23CF-44E3-9099-C40C66FF867C}">
                  <a14:compatExt spid="_x0000_s148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6</xdr:col>
          <xdr:colOff>838200</xdr:colOff>
          <xdr:row>34</xdr:row>
          <xdr:rowOff>0</xdr:rowOff>
        </xdr:from>
        <xdr:to>
          <xdr:col>6</xdr:col>
          <xdr:colOff>838200</xdr:colOff>
          <xdr:row>35</xdr:row>
          <xdr:rowOff>104775</xdr:rowOff>
        </xdr:to>
        <xdr:sp macro="" textlink="">
          <xdr:nvSpPr>
            <xdr:cNvPr id="151554" name="Option Button 2" hidden="1">
              <a:extLst>
                <a:ext uri="{63B3BB69-23CF-44E3-9099-C40C66FF867C}">
                  <a14:compatExt spid="_x0000_s15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34</xdr:row>
          <xdr:rowOff>0</xdr:rowOff>
        </xdr:from>
        <xdr:to>
          <xdr:col>6</xdr:col>
          <xdr:colOff>895350</xdr:colOff>
          <xdr:row>35</xdr:row>
          <xdr:rowOff>142875</xdr:rowOff>
        </xdr:to>
        <xdr:sp macro="" textlink="">
          <xdr:nvSpPr>
            <xdr:cNvPr id="151558" name="Option Button 6" hidden="1">
              <a:extLst>
                <a:ext uri="{63B3BB69-23CF-44E3-9099-C40C66FF867C}">
                  <a14:compatExt spid="_x0000_s15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838200</xdr:colOff>
          <xdr:row>32</xdr:row>
          <xdr:rowOff>0</xdr:rowOff>
        </xdr:from>
        <xdr:to>
          <xdr:col>6</xdr:col>
          <xdr:colOff>838200</xdr:colOff>
          <xdr:row>33</xdr:row>
          <xdr:rowOff>104775</xdr:rowOff>
        </xdr:to>
        <xdr:sp macro="" textlink="">
          <xdr:nvSpPr>
            <xdr:cNvPr id="152578" name="Option Button 2" hidden="1">
              <a:extLst>
                <a:ext uri="{63B3BB69-23CF-44E3-9099-C40C66FF867C}">
                  <a14:compatExt spid="_x0000_s152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32</xdr:row>
          <xdr:rowOff>0</xdr:rowOff>
        </xdr:from>
        <xdr:to>
          <xdr:col>6</xdr:col>
          <xdr:colOff>895350</xdr:colOff>
          <xdr:row>33</xdr:row>
          <xdr:rowOff>142875</xdr:rowOff>
        </xdr:to>
        <xdr:sp macro="" textlink="">
          <xdr:nvSpPr>
            <xdr:cNvPr id="152582" name="Option Button 6" hidden="1">
              <a:extLst>
                <a:ext uri="{63B3BB69-23CF-44E3-9099-C40C66FF867C}">
                  <a14:compatExt spid="_x0000_s152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57543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101</xdr:row>
          <xdr:rowOff>85725</xdr:rowOff>
        </xdr:to>
        <xdr:sp macro="" textlink="">
          <xdr:nvSpPr>
            <xdr:cNvPr id="130066" name="Option Button 18" hidden="1">
              <a:extLst>
                <a:ext uri="{63B3BB69-23CF-44E3-9099-C40C66FF867C}">
                  <a14:compatExt spid="_x0000_s130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103</xdr:row>
          <xdr:rowOff>0</xdr:rowOff>
        </xdr:to>
        <xdr:sp macro="" textlink="">
          <xdr:nvSpPr>
            <xdr:cNvPr id="130069" name="Option Button 21" hidden="1">
              <a:extLst>
                <a:ext uri="{63B3BB69-23CF-44E3-9099-C40C66FF867C}">
                  <a14:compatExt spid="_x0000_s130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101</xdr:row>
          <xdr:rowOff>76200</xdr:rowOff>
        </xdr:to>
        <xdr:sp macro="" textlink="">
          <xdr:nvSpPr>
            <xdr:cNvPr id="130072" name="Option Button 24" hidden="1">
              <a:extLst>
                <a:ext uri="{63B3BB69-23CF-44E3-9099-C40C66FF867C}">
                  <a14:compatExt spid="_x0000_s130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102</xdr:row>
          <xdr:rowOff>57150</xdr:rowOff>
        </xdr:to>
        <xdr:sp macro="" textlink="">
          <xdr:nvSpPr>
            <xdr:cNvPr id="130075" name="Option Button 27" hidden="1">
              <a:extLst>
                <a:ext uri="{63B3BB69-23CF-44E3-9099-C40C66FF867C}">
                  <a14:compatExt spid="_x0000_s130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102</xdr:row>
          <xdr:rowOff>76200</xdr:rowOff>
        </xdr:to>
        <xdr:sp macro="" textlink="">
          <xdr:nvSpPr>
            <xdr:cNvPr id="130078" name="Option Button 30" hidden="1">
              <a:extLst>
                <a:ext uri="{63B3BB69-23CF-44E3-9099-C40C66FF867C}">
                  <a14:compatExt spid="_x0000_s130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103</xdr:row>
          <xdr:rowOff>9525</xdr:rowOff>
        </xdr:to>
        <xdr:sp macro="" textlink="">
          <xdr:nvSpPr>
            <xdr:cNvPr id="130081" name="Option Button 33" hidden="1">
              <a:extLst>
                <a:ext uri="{63B3BB69-23CF-44E3-9099-C40C66FF867C}">
                  <a14:compatExt spid="_x0000_s130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51</xdr:row>
          <xdr:rowOff>9525</xdr:rowOff>
        </xdr:from>
        <xdr:to>
          <xdr:col>20</xdr:col>
          <xdr:colOff>0</xdr:colOff>
          <xdr:row>51</xdr:row>
          <xdr:rowOff>238125</xdr:rowOff>
        </xdr:to>
        <xdr:sp macro="" textlink="">
          <xdr:nvSpPr>
            <xdr:cNvPr id="130091" name="Group Box 43" hidden="1">
              <a:extLst>
                <a:ext uri="{63B3BB69-23CF-44E3-9099-C40C66FF867C}">
                  <a14:compatExt spid="_x0000_s130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28575</xdr:rowOff>
        </xdr:from>
        <xdr:to>
          <xdr:col>20</xdr:col>
          <xdr:colOff>0</xdr:colOff>
          <xdr:row>52</xdr:row>
          <xdr:rowOff>247650</xdr:rowOff>
        </xdr:to>
        <xdr:sp macro="" textlink="">
          <xdr:nvSpPr>
            <xdr:cNvPr id="130114" name="Group Box 66" hidden="1">
              <a:extLst>
                <a:ext uri="{63B3BB69-23CF-44E3-9099-C40C66FF867C}">
                  <a14:compatExt spid="_x0000_s1301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56</xdr:row>
          <xdr:rowOff>0</xdr:rowOff>
        </xdr:from>
        <xdr:to>
          <xdr:col>20</xdr:col>
          <xdr:colOff>0</xdr:colOff>
          <xdr:row>56</xdr:row>
          <xdr:rowOff>257175</xdr:rowOff>
        </xdr:to>
        <xdr:sp macro="" textlink="">
          <xdr:nvSpPr>
            <xdr:cNvPr id="130122" name="Group Box 74" hidden="1">
              <a:extLst>
                <a:ext uri="{63B3BB69-23CF-44E3-9099-C40C66FF867C}">
                  <a14:compatExt spid="_x0000_s1301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57</xdr:row>
          <xdr:rowOff>9525</xdr:rowOff>
        </xdr:from>
        <xdr:to>
          <xdr:col>20</xdr:col>
          <xdr:colOff>0</xdr:colOff>
          <xdr:row>57</xdr:row>
          <xdr:rowOff>257175</xdr:rowOff>
        </xdr:to>
        <xdr:sp macro="" textlink="">
          <xdr:nvSpPr>
            <xdr:cNvPr id="130129" name="Group Box 81" hidden="1">
              <a:extLst>
                <a:ext uri="{63B3BB69-23CF-44E3-9099-C40C66FF867C}">
                  <a14:compatExt spid="_x0000_s1301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58</xdr:row>
          <xdr:rowOff>9525</xdr:rowOff>
        </xdr:from>
        <xdr:to>
          <xdr:col>20</xdr:col>
          <xdr:colOff>0</xdr:colOff>
          <xdr:row>58</xdr:row>
          <xdr:rowOff>257175</xdr:rowOff>
        </xdr:to>
        <xdr:sp macro="" textlink="">
          <xdr:nvSpPr>
            <xdr:cNvPr id="130140" name="Group Box 92" hidden="1">
              <a:extLst>
                <a:ext uri="{63B3BB69-23CF-44E3-9099-C40C66FF867C}">
                  <a14:compatExt spid="_x0000_s1301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59</xdr:row>
          <xdr:rowOff>19050</xdr:rowOff>
        </xdr:from>
        <xdr:to>
          <xdr:col>20</xdr:col>
          <xdr:colOff>0</xdr:colOff>
          <xdr:row>59</xdr:row>
          <xdr:rowOff>257175</xdr:rowOff>
        </xdr:to>
        <xdr:sp macro="" textlink="">
          <xdr:nvSpPr>
            <xdr:cNvPr id="130142" name="Group Box 94" hidden="1">
              <a:extLst>
                <a:ext uri="{63B3BB69-23CF-44E3-9099-C40C66FF867C}">
                  <a14:compatExt spid="_x0000_s1301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60</xdr:row>
          <xdr:rowOff>9525</xdr:rowOff>
        </xdr:from>
        <xdr:to>
          <xdr:col>20</xdr:col>
          <xdr:colOff>0</xdr:colOff>
          <xdr:row>60</xdr:row>
          <xdr:rowOff>257175</xdr:rowOff>
        </xdr:to>
        <xdr:sp macro="" textlink="">
          <xdr:nvSpPr>
            <xdr:cNvPr id="130143" name="Group Box 95" hidden="1">
              <a:extLst>
                <a:ext uri="{63B3BB69-23CF-44E3-9099-C40C66FF867C}">
                  <a14:compatExt spid="_x0000_s1301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61</xdr:row>
          <xdr:rowOff>9525</xdr:rowOff>
        </xdr:from>
        <xdr:to>
          <xdr:col>20</xdr:col>
          <xdr:colOff>0</xdr:colOff>
          <xdr:row>61</xdr:row>
          <xdr:rowOff>257175</xdr:rowOff>
        </xdr:to>
        <xdr:sp macro="" textlink="">
          <xdr:nvSpPr>
            <xdr:cNvPr id="130144" name="Group Box 96" hidden="1">
              <a:extLst>
                <a:ext uri="{63B3BB69-23CF-44E3-9099-C40C66FF867C}">
                  <a14:compatExt spid="_x0000_s1301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62</xdr:row>
          <xdr:rowOff>9525</xdr:rowOff>
        </xdr:from>
        <xdr:to>
          <xdr:col>20</xdr:col>
          <xdr:colOff>0</xdr:colOff>
          <xdr:row>62</xdr:row>
          <xdr:rowOff>257175</xdr:rowOff>
        </xdr:to>
        <xdr:sp macro="" textlink="">
          <xdr:nvSpPr>
            <xdr:cNvPr id="130145" name="Group Box 97" hidden="1">
              <a:extLst>
                <a:ext uri="{63B3BB69-23CF-44E3-9099-C40C66FF867C}">
                  <a14:compatExt spid="_x0000_s130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63</xdr:row>
          <xdr:rowOff>9525</xdr:rowOff>
        </xdr:from>
        <xdr:to>
          <xdr:col>20</xdr:col>
          <xdr:colOff>0</xdr:colOff>
          <xdr:row>63</xdr:row>
          <xdr:rowOff>257175</xdr:rowOff>
        </xdr:to>
        <xdr:sp macro="" textlink="">
          <xdr:nvSpPr>
            <xdr:cNvPr id="130146" name="Group Box 98" hidden="1">
              <a:extLst>
                <a:ext uri="{63B3BB69-23CF-44E3-9099-C40C66FF867C}">
                  <a14:compatExt spid="_x0000_s1301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64</xdr:row>
          <xdr:rowOff>9525</xdr:rowOff>
        </xdr:from>
        <xdr:to>
          <xdr:col>20</xdr:col>
          <xdr:colOff>0</xdr:colOff>
          <xdr:row>64</xdr:row>
          <xdr:rowOff>257175</xdr:rowOff>
        </xdr:to>
        <xdr:sp macro="" textlink="">
          <xdr:nvSpPr>
            <xdr:cNvPr id="130147" name="Group Box 99" hidden="1">
              <a:extLst>
                <a:ext uri="{63B3BB69-23CF-44E3-9099-C40C66FF867C}">
                  <a14:compatExt spid="_x0000_s1301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19050</xdr:rowOff>
        </xdr:from>
        <xdr:to>
          <xdr:col>20</xdr:col>
          <xdr:colOff>0</xdr:colOff>
          <xdr:row>66</xdr:row>
          <xdr:rowOff>0</xdr:rowOff>
        </xdr:to>
        <xdr:sp macro="" textlink="">
          <xdr:nvSpPr>
            <xdr:cNvPr id="130148" name="Group Box 100" hidden="1">
              <a:extLst>
                <a:ext uri="{63B3BB69-23CF-44E3-9099-C40C66FF867C}">
                  <a14:compatExt spid="_x0000_s1301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51</xdr:row>
          <xdr:rowOff>38100</xdr:rowOff>
        </xdr:from>
        <xdr:to>
          <xdr:col>6</xdr:col>
          <xdr:colOff>190500</xdr:colOff>
          <xdr:row>51</xdr:row>
          <xdr:rowOff>228600</xdr:rowOff>
        </xdr:to>
        <xdr:sp macro="" textlink="">
          <xdr:nvSpPr>
            <xdr:cNvPr id="130149" name="Option Button 101" hidden="1">
              <a:extLst>
                <a:ext uri="{63B3BB69-23CF-44E3-9099-C40C66FF867C}">
                  <a14:compatExt spid="_x0000_s130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51</xdr:row>
          <xdr:rowOff>38100</xdr:rowOff>
        </xdr:from>
        <xdr:to>
          <xdr:col>7</xdr:col>
          <xdr:colOff>457200</xdr:colOff>
          <xdr:row>51</xdr:row>
          <xdr:rowOff>228600</xdr:rowOff>
        </xdr:to>
        <xdr:sp macro="" textlink="">
          <xdr:nvSpPr>
            <xdr:cNvPr id="130151" name="Option Button 103" hidden="1">
              <a:extLst>
                <a:ext uri="{63B3BB69-23CF-44E3-9099-C40C66FF867C}">
                  <a14:compatExt spid="_x0000_s130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51</xdr:row>
          <xdr:rowOff>28575</xdr:rowOff>
        </xdr:from>
        <xdr:to>
          <xdr:col>8</xdr:col>
          <xdr:colOff>638175</xdr:colOff>
          <xdr:row>51</xdr:row>
          <xdr:rowOff>228600</xdr:rowOff>
        </xdr:to>
        <xdr:sp macro="" textlink="">
          <xdr:nvSpPr>
            <xdr:cNvPr id="130152" name="Option Button 104" hidden="1">
              <a:extLst>
                <a:ext uri="{63B3BB69-23CF-44E3-9099-C40C66FF867C}">
                  <a14:compatExt spid="_x0000_s130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28575</xdr:rowOff>
        </xdr:from>
        <xdr:to>
          <xdr:col>12</xdr:col>
          <xdr:colOff>19050</xdr:colOff>
          <xdr:row>51</xdr:row>
          <xdr:rowOff>228600</xdr:rowOff>
        </xdr:to>
        <xdr:sp macro="" textlink="">
          <xdr:nvSpPr>
            <xdr:cNvPr id="130153" name="Option Button 105" hidden="1">
              <a:extLst>
                <a:ext uri="{63B3BB69-23CF-44E3-9099-C40C66FF867C}">
                  <a14:compatExt spid="_x0000_s130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51</xdr:row>
          <xdr:rowOff>38100</xdr:rowOff>
        </xdr:from>
        <xdr:to>
          <xdr:col>18</xdr:col>
          <xdr:colOff>38100</xdr:colOff>
          <xdr:row>51</xdr:row>
          <xdr:rowOff>219075</xdr:rowOff>
        </xdr:to>
        <xdr:sp macro="" textlink="">
          <xdr:nvSpPr>
            <xdr:cNvPr id="130155" name="Option Button 107" hidden="1">
              <a:extLst>
                <a:ext uri="{63B3BB69-23CF-44E3-9099-C40C66FF867C}">
                  <a14:compatExt spid="_x0000_s130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52</xdr:row>
          <xdr:rowOff>47625</xdr:rowOff>
        </xdr:from>
        <xdr:to>
          <xdr:col>6</xdr:col>
          <xdr:colOff>200025</xdr:colOff>
          <xdr:row>52</xdr:row>
          <xdr:rowOff>228600</xdr:rowOff>
        </xdr:to>
        <xdr:sp macro="" textlink="">
          <xdr:nvSpPr>
            <xdr:cNvPr id="130156" name="Option Button 108" hidden="1">
              <a:extLst>
                <a:ext uri="{63B3BB69-23CF-44E3-9099-C40C66FF867C}">
                  <a14:compatExt spid="_x0000_s130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52</xdr:row>
          <xdr:rowOff>28575</xdr:rowOff>
        </xdr:from>
        <xdr:to>
          <xdr:col>7</xdr:col>
          <xdr:colOff>352425</xdr:colOff>
          <xdr:row>52</xdr:row>
          <xdr:rowOff>228600</xdr:rowOff>
        </xdr:to>
        <xdr:sp macro="" textlink="">
          <xdr:nvSpPr>
            <xdr:cNvPr id="130157" name="Option Button 109" hidden="1">
              <a:extLst>
                <a:ext uri="{63B3BB69-23CF-44E3-9099-C40C66FF867C}">
                  <a14:compatExt spid="_x0000_s130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52</xdr:row>
          <xdr:rowOff>47625</xdr:rowOff>
        </xdr:from>
        <xdr:to>
          <xdr:col>8</xdr:col>
          <xdr:colOff>561975</xdr:colOff>
          <xdr:row>52</xdr:row>
          <xdr:rowOff>228600</xdr:rowOff>
        </xdr:to>
        <xdr:sp macro="" textlink="">
          <xdr:nvSpPr>
            <xdr:cNvPr id="130158" name="Option Button 110" hidden="1">
              <a:extLst>
                <a:ext uri="{63B3BB69-23CF-44E3-9099-C40C66FF867C}">
                  <a14:compatExt spid="_x0000_s130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28575</xdr:rowOff>
        </xdr:from>
        <xdr:to>
          <xdr:col>12</xdr:col>
          <xdr:colOff>85725</xdr:colOff>
          <xdr:row>52</xdr:row>
          <xdr:rowOff>228600</xdr:rowOff>
        </xdr:to>
        <xdr:sp macro="" textlink="">
          <xdr:nvSpPr>
            <xdr:cNvPr id="130159" name="Option Button 111" hidden="1">
              <a:extLst>
                <a:ext uri="{63B3BB69-23CF-44E3-9099-C40C66FF867C}">
                  <a14:compatExt spid="_x0000_s130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52</xdr:row>
          <xdr:rowOff>47625</xdr:rowOff>
        </xdr:from>
        <xdr:to>
          <xdr:col>18</xdr:col>
          <xdr:colOff>38100</xdr:colOff>
          <xdr:row>52</xdr:row>
          <xdr:rowOff>219075</xdr:rowOff>
        </xdr:to>
        <xdr:sp macro="" textlink="">
          <xdr:nvSpPr>
            <xdr:cNvPr id="130160" name="Option Button 112" hidden="1">
              <a:extLst>
                <a:ext uri="{63B3BB69-23CF-44E3-9099-C40C66FF867C}">
                  <a14:compatExt spid="_x0000_s130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56</xdr:row>
          <xdr:rowOff>57150</xdr:rowOff>
        </xdr:from>
        <xdr:to>
          <xdr:col>6</xdr:col>
          <xdr:colOff>200025</xdr:colOff>
          <xdr:row>56</xdr:row>
          <xdr:rowOff>228600</xdr:rowOff>
        </xdr:to>
        <xdr:sp macro="" textlink="">
          <xdr:nvSpPr>
            <xdr:cNvPr id="130162" name="Option Button 114" hidden="1">
              <a:extLst>
                <a:ext uri="{63B3BB69-23CF-44E3-9099-C40C66FF867C}">
                  <a14:compatExt spid="_x0000_s130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56</xdr:row>
          <xdr:rowOff>28575</xdr:rowOff>
        </xdr:from>
        <xdr:to>
          <xdr:col>7</xdr:col>
          <xdr:colOff>466725</xdr:colOff>
          <xdr:row>56</xdr:row>
          <xdr:rowOff>238125</xdr:rowOff>
        </xdr:to>
        <xdr:sp macro="" textlink="">
          <xdr:nvSpPr>
            <xdr:cNvPr id="130163" name="Option Button 115" hidden="1">
              <a:extLst>
                <a:ext uri="{63B3BB69-23CF-44E3-9099-C40C66FF867C}">
                  <a14:compatExt spid="_x0000_s130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56</xdr:row>
          <xdr:rowOff>38100</xdr:rowOff>
        </xdr:from>
        <xdr:to>
          <xdr:col>8</xdr:col>
          <xdr:colOff>542925</xdr:colOff>
          <xdr:row>56</xdr:row>
          <xdr:rowOff>238125</xdr:rowOff>
        </xdr:to>
        <xdr:sp macro="" textlink="">
          <xdr:nvSpPr>
            <xdr:cNvPr id="130164" name="Option Button 116" hidden="1">
              <a:extLst>
                <a:ext uri="{63B3BB69-23CF-44E3-9099-C40C66FF867C}">
                  <a14:compatExt spid="_x0000_s130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56</xdr:row>
          <xdr:rowOff>57150</xdr:rowOff>
        </xdr:from>
        <xdr:to>
          <xdr:col>12</xdr:col>
          <xdr:colOff>85725</xdr:colOff>
          <xdr:row>56</xdr:row>
          <xdr:rowOff>228600</xdr:rowOff>
        </xdr:to>
        <xdr:sp macro="" textlink="">
          <xdr:nvSpPr>
            <xdr:cNvPr id="130166" name="Option Button 118" hidden="1">
              <a:extLst>
                <a:ext uri="{63B3BB69-23CF-44E3-9099-C40C66FF867C}">
                  <a14:compatExt spid="_x0000_s130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38100</xdr:rowOff>
        </xdr:from>
        <xdr:to>
          <xdr:col>18</xdr:col>
          <xdr:colOff>57150</xdr:colOff>
          <xdr:row>56</xdr:row>
          <xdr:rowOff>228600</xdr:rowOff>
        </xdr:to>
        <xdr:sp macro="" textlink="">
          <xdr:nvSpPr>
            <xdr:cNvPr id="130167" name="Option Button 119" hidden="1">
              <a:extLst>
                <a:ext uri="{63B3BB69-23CF-44E3-9099-C40C66FF867C}">
                  <a14:compatExt spid="_x0000_s130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57</xdr:row>
          <xdr:rowOff>47625</xdr:rowOff>
        </xdr:from>
        <xdr:to>
          <xdr:col>6</xdr:col>
          <xdr:colOff>200025</xdr:colOff>
          <xdr:row>57</xdr:row>
          <xdr:rowOff>238125</xdr:rowOff>
        </xdr:to>
        <xdr:sp macro="" textlink="">
          <xdr:nvSpPr>
            <xdr:cNvPr id="130168" name="Option Button 120" hidden="1">
              <a:extLst>
                <a:ext uri="{63B3BB69-23CF-44E3-9099-C40C66FF867C}">
                  <a14:compatExt spid="_x0000_s130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57</xdr:row>
          <xdr:rowOff>47625</xdr:rowOff>
        </xdr:from>
        <xdr:to>
          <xdr:col>7</xdr:col>
          <xdr:colOff>419100</xdr:colOff>
          <xdr:row>57</xdr:row>
          <xdr:rowOff>228600</xdr:rowOff>
        </xdr:to>
        <xdr:sp macro="" textlink="">
          <xdr:nvSpPr>
            <xdr:cNvPr id="130169" name="Option Button 121" hidden="1">
              <a:extLst>
                <a:ext uri="{63B3BB69-23CF-44E3-9099-C40C66FF867C}">
                  <a14:compatExt spid="_x0000_s130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57</xdr:row>
          <xdr:rowOff>38100</xdr:rowOff>
        </xdr:from>
        <xdr:to>
          <xdr:col>8</xdr:col>
          <xdr:colOff>590550</xdr:colOff>
          <xdr:row>57</xdr:row>
          <xdr:rowOff>228600</xdr:rowOff>
        </xdr:to>
        <xdr:sp macro="" textlink="">
          <xdr:nvSpPr>
            <xdr:cNvPr id="130170" name="Option Button 122" hidden="1">
              <a:extLst>
                <a:ext uri="{63B3BB69-23CF-44E3-9099-C40C66FF867C}">
                  <a14:compatExt spid="_x0000_s130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57</xdr:row>
          <xdr:rowOff>47625</xdr:rowOff>
        </xdr:from>
        <xdr:to>
          <xdr:col>12</xdr:col>
          <xdr:colOff>85725</xdr:colOff>
          <xdr:row>57</xdr:row>
          <xdr:rowOff>238125</xdr:rowOff>
        </xdr:to>
        <xdr:sp macro="" textlink="">
          <xdr:nvSpPr>
            <xdr:cNvPr id="130171" name="Option Button 123" hidden="1">
              <a:extLst>
                <a:ext uri="{63B3BB69-23CF-44E3-9099-C40C66FF867C}">
                  <a14:compatExt spid="_x0000_s130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38100</xdr:rowOff>
        </xdr:from>
        <xdr:to>
          <xdr:col>18</xdr:col>
          <xdr:colOff>85725</xdr:colOff>
          <xdr:row>57</xdr:row>
          <xdr:rowOff>228600</xdr:rowOff>
        </xdr:to>
        <xdr:sp macro="" textlink="">
          <xdr:nvSpPr>
            <xdr:cNvPr id="130172" name="Option Button 124" hidden="1">
              <a:extLst>
                <a:ext uri="{63B3BB69-23CF-44E3-9099-C40C66FF867C}">
                  <a14:compatExt spid="_x0000_s130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58</xdr:row>
          <xdr:rowOff>47625</xdr:rowOff>
        </xdr:from>
        <xdr:to>
          <xdr:col>6</xdr:col>
          <xdr:colOff>200025</xdr:colOff>
          <xdr:row>58</xdr:row>
          <xdr:rowOff>228600</xdr:rowOff>
        </xdr:to>
        <xdr:sp macro="" textlink="">
          <xdr:nvSpPr>
            <xdr:cNvPr id="130173" name="Option Button 125" hidden="1">
              <a:extLst>
                <a:ext uri="{63B3BB69-23CF-44E3-9099-C40C66FF867C}">
                  <a14:compatExt spid="_x0000_s130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58</xdr:row>
          <xdr:rowOff>47625</xdr:rowOff>
        </xdr:from>
        <xdr:to>
          <xdr:col>7</xdr:col>
          <xdr:colOff>390525</xdr:colOff>
          <xdr:row>58</xdr:row>
          <xdr:rowOff>238125</xdr:rowOff>
        </xdr:to>
        <xdr:sp macro="" textlink="">
          <xdr:nvSpPr>
            <xdr:cNvPr id="130174" name="Option Button 126" hidden="1">
              <a:extLst>
                <a:ext uri="{63B3BB69-23CF-44E3-9099-C40C66FF867C}">
                  <a14:compatExt spid="_x0000_s130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58</xdr:row>
          <xdr:rowOff>38100</xdr:rowOff>
        </xdr:from>
        <xdr:to>
          <xdr:col>8</xdr:col>
          <xdr:colOff>590550</xdr:colOff>
          <xdr:row>58</xdr:row>
          <xdr:rowOff>238125</xdr:rowOff>
        </xdr:to>
        <xdr:sp macro="" textlink="">
          <xdr:nvSpPr>
            <xdr:cNvPr id="130175" name="Option Button 127" hidden="1">
              <a:extLst>
                <a:ext uri="{63B3BB69-23CF-44E3-9099-C40C66FF867C}">
                  <a14:compatExt spid="_x0000_s130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58</xdr:row>
          <xdr:rowOff>47625</xdr:rowOff>
        </xdr:from>
        <xdr:to>
          <xdr:col>13</xdr:col>
          <xdr:colOff>0</xdr:colOff>
          <xdr:row>58</xdr:row>
          <xdr:rowOff>228600</xdr:rowOff>
        </xdr:to>
        <xdr:sp macro="" textlink="">
          <xdr:nvSpPr>
            <xdr:cNvPr id="130176" name="Option Button 128" hidden="1">
              <a:extLst>
                <a:ext uri="{63B3BB69-23CF-44E3-9099-C40C66FF867C}">
                  <a14:compatExt spid="_x0000_s130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47625</xdr:rowOff>
        </xdr:from>
        <xdr:to>
          <xdr:col>18</xdr:col>
          <xdr:colOff>57150</xdr:colOff>
          <xdr:row>58</xdr:row>
          <xdr:rowOff>219075</xdr:rowOff>
        </xdr:to>
        <xdr:sp macro="" textlink="">
          <xdr:nvSpPr>
            <xdr:cNvPr id="130177" name="Option Button 129" hidden="1">
              <a:extLst>
                <a:ext uri="{63B3BB69-23CF-44E3-9099-C40C66FF867C}">
                  <a14:compatExt spid="_x0000_s130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59</xdr:row>
          <xdr:rowOff>38100</xdr:rowOff>
        </xdr:from>
        <xdr:to>
          <xdr:col>6</xdr:col>
          <xdr:colOff>200025</xdr:colOff>
          <xdr:row>59</xdr:row>
          <xdr:rowOff>228600</xdr:rowOff>
        </xdr:to>
        <xdr:sp macro="" textlink="">
          <xdr:nvSpPr>
            <xdr:cNvPr id="130178" name="Option Button 130" hidden="1">
              <a:extLst>
                <a:ext uri="{63B3BB69-23CF-44E3-9099-C40C66FF867C}">
                  <a14:compatExt spid="_x0000_s130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59</xdr:row>
          <xdr:rowOff>28575</xdr:rowOff>
        </xdr:from>
        <xdr:to>
          <xdr:col>7</xdr:col>
          <xdr:colOff>390525</xdr:colOff>
          <xdr:row>59</xdr:row>
          <xdr:rowOff>228600</xdr:rowOff>
        </xdr:to>
        <xdr:sp macro="" textlink="">
          <xdr:nvSpPr>
            <xdr:cNvPr id="130179" name="Option Button 131" hidden="1">
              <a:extLst>
                <a:ext uri="{63B3BB69-23CF-44E3-9099-C40C66FF867C}">
                  <a14:compatExt spid="_x0000_s130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59</xdr:row>
          <xdr:rowOff>47625</xdr:rowOff>
        </xdr:from>
        <xdr:to>
          <xdr:col>8</xdr:col>
          <xdr:colOff>619125</xdr:colOff>
          <xdr:row>59</xdr:row>
          <xdr:rowOff>238125</xdr:rowOff>
        </xdr:to>
        <xdr:sp macro="" textlink="">
          <xdr:nvSpPr>
            <xdr:cNvPr id="130180" name="Option Button 132" hidden="1">
              <a:extLst>
                <a:ext uri="{63B3BB69-23CF-44E3-9099-C40C66FF867C}">
                  <a14:compatExt spid="_x0000_s130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59</xdr:row>
          <xdr:rowOff>47625</xdr:rowOff>
        </xdr:from>
        <xdr:to>
          <xdr:col>13</xdr:col>
          <xdr:colOff>0</xdr:colOff>
          <xdr:row>59</xdr:row>
          <xdr:rowOff>238125</xdr:rowOff>
        </xdr:to>
        <xdr:sp macro="" textlink="">
          <xdr:nvSpPr>
            <xdr:cNvPr id="130181" name="Option Button 133" hidden="1">
              <a:extLst>
                <a:ext uri="{63B3BB69-23CF-44E3-9099-C40C66FF867C}">
                  <a14:compatExt spid="_x0000_s130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38100</xdr:rowOff>
        </xdr:from>
        <xdr:to>
          <xdr:col>18</xdr:col>
          <xdr:colOff>66675</xdr:colOff>
          <xdr:row>59</xdr:row>
          <xdr:rowOff>228600</xdr:rowOff>
        </xdr:to>
        <xdr:sp macro="" textlink="">
          <xdr:nvSpPr>
            <xdr:cNvPr id="130182" name="Option Button 134" hidden="1">
              <a:extLst>
                <a:ext uri="{63B3BB69-23CF-44E3-9099-C40C66FF867C}">
                  <a14:compatExt spid="_x0000_s130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60</xdr:row>
          <xdr:rowOff>38100</xdr:rowOff>
        </xdr:from>
        <xdr:to>
          <xdr:col>6</xdr:col>
          <xdr:colOff>314325</xdr:colOff>
          <xdr:row>60</xdr:row>
          <xdr:rowOff>238125</xdr:rowOff>
        </xdr:to>
        <xdr:sp macro="" textlink="">
          <xdr:nvSpPr>
            <xdr:cNvPr id="130183" name="Option Button 135" hidden="1">
              <a:extLst>
                <a:ext uri="{63B3BB69-23CF-44E3-9099-C40C66FF867C}">
                  <a14:compatExt spid="_x0000_s130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60</xdr:row>
          <xdr:rowOff>38100</xdr:rowOff>
        </xdr:from>
        <xdr:to>
          <xdr:col>7</xdr:col>
          <xdr:colOff>457200</xdr:colOff>
          <xdr:row>60</xdr:row>
          <xdr:rowOff>228600</xdr:rowOff>
        </xdr:to>
        <xdr:sp macro="" textlink="">
          <xdr:nvSpPr>
            <xdr:cNvPr id="130184" name="Option Button 136" hidden="1">
              <a:extLst>
                <a:ext uri="{63B3BB69-23CF-44E3-9099-C40C66FF867C}">
                  <a14:compatExt spid="_x0000_s130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60</xdr:row>
          <xdr:rowOff>47625</xdr:rowOff>
        </xdr:from>
        <xdr:to>
          <xdr:col>8</xdr:col>
          <xdr:colOff>542925</xdr:colOff>
          <xdr:row>60</xdr:row>
          <xdr:rowOff>219075</xdr:rowOff>
        </xdr:to>
        <xdr:sp macro="" textlink="">
          <xdr:nvSpPr>
            <xdr:cNvPr id="130185" name="Option Button 137" hidden="1">
              <a:extLst>
                <a:ext uri="{63B3BB69-23CF-44E3-9099-C40C66FF867C}">
                  <a14:compatExt spid="_x0000_s130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60</xdr:row>
          <xdr:rowOff>19050</xdr:rowOff>
        </xdr:from>
        <xdr:to>
          <xdr:col>12</xdr:col>
          <xdr:colOff>85725</xdr:colOff>
          <xdr:row>60</xdr:row>
          <xdr:rowOff>238125</xdr:rowOff>
        </xdr:to>
        <xdr:sp macro="" textlink="">
          <xdr:nvSpPr>
            <xdr:cNvPr id="130186" name="Option Button 138" hidden="1">
              <a:extLst>
                <a:ext uri="{63B3BB69-23CF-44E3-9099-C40C66FF867C}">
                  <a14:compatExt spid="_x0000_s130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60</xdr:row>
          <xdr:rowOff>47625</xdr:rowOff>
        </xdr:from>
        <xdr:to>
          <xdr:col>18</xdr:col>
          <xdr:colOff>47625</xdr:colOff>
          <xdr:row>60</xdr:row>
          <xdr:rowOff>219075</xdr:rowOff>
        </xdr:to>
        <xdr:sp macro="" textlink="">
          <xdr:nvSpPr>
            <xdr:cNvPr id="130187" name="Option Button 139" hidden="1">
              <a:extLst>
                <a:ext uri="{63B3BB69-23CF-44E3-9099-C40C66FF867C}">
                  <a14:compatExt spid="_x0000_s130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61</xdr:row>
          <xdr:rowOff>28575</xdr:rowOff>
        </xdr:from>
        <xdr:to>
          <xdr:col>6</xdr:col>
          <xdr:colOff>314325</xdr:colOff>
          <xdr:row>61</xdr:row>
          <xdr:rowOff>247650</xdr:rowOff>
        </xdr:to>
        <xdr:sp macro="" textlink="">
          <xdr:nvSpPr>
            <xdr:cNvPr id="130188" name="Option Button 140" hidden="1">
              <a:extLst>
                <a:ext uri="{63B3BB69-23CF-44E3-9099-C40C66FF867C}">
                  <a14:compatExt spid="_x0000_s130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61</xdr:row>
          <xdr:rowOff>38100</xdr:rowOff>
        </xdr:from>
        <xdr:to>
          <xdr:col>7</xdr:col>
          <xdr:colOff>476250</xdr:colOff>
          <xdr:row>61</xdr:row>
          <xdr:rowOff>238125</xdr:rowOff>
        </xdr:to>
        <xdr:sp macro="" textlink="">
          <xdr:nvSpPr>
            <xdr:cNvPr id="130189" name="Option Button 141" hidden="1">
              <a:extLst>
                <a:ext uri="{63B3BB69-23CF-44E3-9099-C40C66FF867C}">
                  <a14:compatExt spid="_x0000_s130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61</xdr:row>
          <xdr:rowOff>38100</xdr:rowOff>
        </xdr:from>
        <xdr:to>
          <xdr:col>8</xdr:col>
          <xdr:colOff>619125</xdr:colOff>
          <xdr:row>61</xdr:row>
          <xdr:rowOff>228600</xdr:rowOff>
        </xdr:to>
        <xdr:sp macro="" textlink="">
          <xdr:nvSpPr>
            <xdr:cNvPr id="130190" name="Option Button 142" hidden="1">
              <a:extLst>
                <a:ext uri="{63B3BB69-23CF-44E3-9099-C40C66FF867C}">
                  <a14:compatExt spid="_x0000_s130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61</xdr:row>
          <xdr:rowOff>57150</xdr:rowOff>
        </xdr:from>
        <xdr:to>
          <xdr:col>13</xdr:col>
          <xdr:colOff>9525</xdr:colOff>
          <xdr:row>61</xdr:row>
          <xdr:rowOff>228600</xdr:rowOff>
        </xdr:to>
        <xdr:sp macro="" textlink="">
          <xdr:nvSpPr>
            <xdr:cNvPr id="130191" name="Option Button 143" hidden="1">
              <a:extLst>
                <a:ext uri="{63B3BB69-23CF-44E3-9099-C40C66FF867C}">
                  <a14:compatExt spid="_x0000_s130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38100</xdr:rowOff>
        </xdr:from>
        <xdr:to>
          <xdr:col>18</xdr:col>
          <xdr:colOff>85725</xdr:colOff>
          <xdr:row>61</xdr:row>
          <xdr:rowOff>209550</xdr:rowOff>
        </xdr:to>
        <xdr:sp macro="" textlink="">
          <xdr:nvSpPr>
            <xdr:cNvPr id="130192" name="Option Button 144" hidden="1">
              <a:extLst>
                <a:ext uri="{63B3BB69-23CF-44E3-9099-C40C66FF867C}">
                  <a14:compatExt spid="_x0000_s130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62</xdr:row>
          <xdr:rowOff>57150</xdr:rowOff>
        </xdr:from>
        <xdr:to>
          <xdr:col>6</xdr:col>
          <xdr:colOff>276225</xdr:colOff>
          <xdr:row>62</xdr:row>
          <xdr:rowOff>238125</xdr:rowOff>
        </xdr:to>
        <xdr:sp macro="" textlink="">
          <xdr:nvSpPr>
            <xdr:cNvPr id="130193" name="Option Button 145" hidden="1">
              <a:extLst>
                <a:ext uri="{63B3BB69-23CF-44E3-9099-C40C66FF867C}">
                  <a14:compatExt spid="_x0000_s130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62</xdr:row>
          <xdr:rowOff>38100</xdr:rowOff>
        </xdr:from>
        <xdr:to>
          <xdr:col>7</xdr:col>
          <xdr:colOff>438150</xdr:colOff>
          <xdr:row>62</xdr:row>
          <xdr:rowOff>238125</xdr:rowOff>
        </xdr:to>
        <xdr:sp macro="" textlink="">
          <xdr:nvSpPr>
            <xdr:cNvPr id="130195" name="Option Button 147" hidden="1">
              <a:extLst>
                <a:ext uri="{63B3BB69-23CF-44E3-9099-C40C66FF867C}">
                  <a14:compatExt spid="_x0000_s130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62</xdr:row>
          <xdr:rowOff>47625</xdr:rowOff>
        </xdr:from>
        <xdr:to>
          <xdr:col>8</xdr:col>
          <xdr:colOff>609600</xdr:colOff>
          <xdr:row>62</xdr:row>
          <xdr:rowOff>238125</xdr:rowOff>
        </xdr:to>
        <xdr:sp macro="" textlink="">
          <xdr:nvSpPr>
            <xdr:cNvPr id="130197" name="Option Button 149" hidden="1">
              <a:extLst>
                <a:ext uri="{63B3BB69-23CF-44E3-9099-C40C66FF867C}">
                  <a14:compatExt spid="_x0000_s130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62</xdr:row>
          <xdr:rowOff>38100</xdr:rowOff>
        </xdr:from>
        <xdr:to>
          <xdr:col>13</xdr:col>
          <xdr:colOff>28575</xdr:colOff>
          <xdr:row>62</xdr:row>
          <xdr:rowOff>219075</xdr:rowOff>
        </xdr:to>
        <xdr:sp macro="" textlink="">
          <xdr:nvSpPr>
            <xdr:cNvPr id="130198" name="Option Button 150" hidden="1">
              <a:extLst>
                <a:ext uri="{63B3BB69-23CF-44E3-9099-C40C66FF867C}">
                  <a14:compatExt spid="_x0000_s130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57150</xdr:rowOff>
        </xdr:from>
        <xdr:to>
          <xdr:col>18</xdr:col>
          <xdr:colOff>0</xdr:colOff>
          <xdr:row>62</xdr:row>
          <xdr:rowOff>219075</xdr:rowOff>
        </xdr:to>
        <xdr:sp macro="" textlink="">
          <xdr:nvSpPr>
            <xdr:cNvPr id="130200" name="Option Button 152" hidden="1">
              <a:extLst>
                <a:ext uri="{63B3BB69-23CF-44E3-9099-C40C66FF867C}">
                  <a14:compatExt spid="_x0000_s1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63</xdr:row>
          <xdr:rowOff>47625</xdr:rowOff>
        </xdr:from>
        <xdr:to>
          <xdr:col>6</xdr:col>
          <xdr:colOff>200025</xdr:colOff>
          <xdr:row>63</xdr:row>
          <xdr:rowOff>228600</xdr:rowOff>
        </xdr:to>
        <xdr:sp macro="" textlink="">
          <xdr:nvSpPr>
            <xdr:cNvPr id="130201" name="Option Button 153" hidden="1">
              <a:extLst>
                <a:ext uri="{63B3BB69-23CF-44E3-9099-C40C66FF867C}">
                  <a14:compatExt spid="_x0000_s130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63</xdr:row>
          <xdr:rowOff>47625</xdr:rowOff>
        </xdr:from>
        <xdr:to>
          <xdr:col>7</xdr:col>
          <xdr:colOff>428625</xdr:colOff>
          <xdr:row>63</xdr:row>
          <xdr:rowOff>219075</xdr:rowOff>
        </xdr:to>
        <xdr:sp macro="" textlink="">
          <xdr:nvSpPr>
            <xdr:cNvPr id="130202" name="Option Button 154" hidden="1">
              <a:extLst>
                <a:ext uri="{63B3BB69-23CF-44E3-9099-C40C66FF867C}">
                  <a14:compatExt spid="_x0000_s130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63</xdr:row>
          <xdr:rowOff>47625</xdr:rowOff>
        </xdr:from>
        <xdr:to>
          <xdr:col>8</xdr:col>
          <xdr:colOff>581025</xdr:colOff>
          <xdr:row>63</xdr:row>
          <xdr:rowOff>238125</xdr:rowOff>
        </xdr:to>
        <xdr:sp macro="" textlink="">
          <xdr:nvSpPr>
            <xdr:cNvPr id="130204" name="Option Button 156" hidden="1">
              <a:extLst>
                <a:ext uri="{63B3BB69-23CF-44E3-9099-C40C66FF867C}">
                  <a14:compatExt spid="_x0000_s130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63</xdr:row>
          <xdr:rowOff>47625</xdr:rowOff>
        </xdr:from>
        <xdr:to>
          <xdr:col>12</xdr:col>
          <xdr:colOff>95250</xdr:colOff>
          <xdr:row>63</xdr:row>
          <xdr:rowOff>228600</xdr:rowOff>
        </xdr:to>
        <xdr:sp macro="" textlink="">
          <xdr:nvSpPr>
            <xdr:cNvPr id="130205" name="Option Button 157" hidden="1">
              <a:extLst>
                <a:ext uri="{63B3BB69-23CF-44E3-9099-C40C66FF867C}">
                  <a14:compatExt spid="_x0000_s130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47625</xdr:rowOff>
        </xdr:from>
        <xdr:to>
          <xdr:col>18</xdr:col>
          <xdr:colOff>0</xdr:colOff>
          <xdr:row>63</xdr:row>
          <xdr:rowOff>238125</xdr:rowOff>
        </xdr:to>
        <xdr:sp macro="" textlink="">
          <xdr:nvSpPr>
            <xdr:cNvPr id="130206" name="Option Button 158" hidden="1">
              <a:extLst>
                <a:ext uri="{63B3BB69-23CF-44E3-9099-C40C66FF867C}">
                  <a14:compatExt spid="_x0000_s130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64</xdr:row>
          <xdr:rowOff>47625</xdr:rowOff>
        </xdr:from>
        <xdr:to>
          <xdr:col>6</xdr:col>
          <xdr:colOff>257175</xdr:colOff>
          <xdr:row>64</xdr:row>
          <xdr:rowOff>209550</xdr:rowOff>
        </xdr:to>
        <xdr:sp macro="" textlink="">
          <xdr:nvSpPr>
            <xdr:cNvPr id="130207" name="Option Button 159" hidden="1">
              <a:extLst>
                <a:ext uri="{63B3BB69-23CF-44E3-9099-C40C66FF867C}">
                  <a14:compatExt spid="_x0000_s130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64</xdr:row>
          <xdr:rowOff>28575</xdr:rowOff>
        </xdr:from>
        <xdr:to>
          <xdr:col>7</xdr:col>
          <xdr:colOff>476250</xdr:colOff>
          <xdr:row>64</xdr:row>
          <xdr:rowOff>247650</xdr:rowOff>
        </xdr:to>
        <xdr:sp macro="" textlink="">
          <xdr:nvSpPr>
            <xdr:cNvPr id="130208" name="Option Button 160" hidden="1">
              <a:extLst>
                <a:ext uri="{63B3BB69-23CF-44E3-9099-C40C66FF867C}">
                  <a14:compatExt spid="_x0000_s130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64</xdr:row>
          <xdr:rowOff>38100</xdr:rowOff>
        </xdr:from>
        <xdr:to>
          <xdr:col>8</xdr:col>
          <xdr:colOff>590550</xdr:colOff>
          <xdr:row>64</xdr:row>
          <xdr:rowOff>238125</xdr:rowOff>
        </xdr:to>
        <xdr:sp macro="" textlink="">
          <xdr:nvSpPr>
            <xdr:cNvPr id="130209" name="Option Button 161" hidden="1">
              <a:extLst>
                <a:ext uri="{63B3BB69-23CF-44E3-9099-C40C66FF867C}">
                  <a14:compatExt spid="_x0000_s130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64</xdr:row>
          <xdr:rowOff>28575</xdr:rowOff>
        </xdr:from>
        <xdr:to>
          <xdr:col>12</xdr:col>
          <xdr:colOff>95250</xdr:colOff>
          <xdr:row>64</xdr:row>
          <xdr:rowOff>247650</xdr:rowOff>
        </xdr:to>
        <xdr:sp macro="" textlink="">
          <xdr:nvSpPr>
            <xdr:cNvPr id="130210" name="Option Button 162" hidden="1">
              <a:extLst>
                <a:ext uri="{63B3BB69-23CF-44E3-9099-C40C66FF867C}">
                  <a14:compatExt spid="_x0000_s130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38100</xdr:rowOff>
        </xdr:from>
        <xdr:to>
          <xdr:col>18</xdr:col>
          <xdr:colOff>76200</xdr:colOff>
          <xdr:row>64</xdr:row>
          <xdr:rowOff>219075</xdr:rowOff>
        </xdr:to>
        <xdr:sp macro="" textlink="">
          <xdr:nvSpPr>
            <xdr:cNvPr id="130211" name="Option Button 163" hidden="1">
              <a:extLst>
                <a:ext uri="{63B3BB69-23CF-44E3-9099-C40C66FF867C}">
                  <a14:compatExt spid="_x0000_s130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65</xdr:row>
          <xdr:rowOff>47625</xdr:rowOff>
        </xdr:from>
        <xdr:to>
          <xdr:col>6</xdr:col>
          <xdr:colOff>247650</xdr:colOff>
          <xdr:row>65</xdr:row>
          <xdr:rowOff>238125</xdr:rowOff>
        </xdr:to>
        <xdr:sp macro="" textlink="">
          <xdr:nvSpPr>
            <xdr:cNvPr id="130212" name="Option Button 164" hidden="1">
              <a:extLst>
                <a:ext uri="{63B3BB69-23CF-44E3-9099-C40C66FF867C}">
                  <a14:compatExt spid="_x0000_s130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65</xdr:row>
          <xdr:rowOff>38100</xdr:rowOff>
        </xdr:from>
        <xdr:to>
          <xdr:col>7</xdr:col>
          <xdr:colOff>504825</xdr:colOff>
          <xdr:row>65</xdr:row>
          <xdr:rowOff>228600</xdr:rowOff>
        </xdr:to>
        <xdr:sp macro="" textlink="">
          <xdr:nvSpPr>
            <xdr:cNvPr id="130213" name="Option Button 165" hidden="1">
              <a:extLst>
                <a:ext uri="{63B3BB69-23CF-44E3-9099-C40C66FF867C}">
                  <a14:compatExt spid="_x0000_s130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65</xdr:row>
          <xdr:rowOff>47625</xdr:rowOff>
        </xdr:from>
        <xdr:to>
          <xdr:col>8</xdr:col>
          <xdr:colOff>657225</xdr:colOff>
          <xdr:row>65</xdr:row>
          <xdr:rowOff>238125</xdr:rowOff>
        </xdr:to>
        <xdr:sp macro="" textlink="">
          <xdr:nvSpPr>
            <xdr:cNvPr id="130214" name="Option Button 166" hidden="1">
              <a:extLst>
                <a:ext uri="{63B3BB69-23CF-44E3-9099-C40C66FF867C}">
                  <a14:compatExt spid="_x0000_s130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65</xdr:row>
          <xdr:rowOff>66675</xdr:rowOff>
        </xdr:from>
        <xdr:to>
          <xdr:col>13</xdr:col>
          <xdr:colOff>19050</xdr:colOff>
          <xdr:row>65</xdr:row>
          <xdr:rowOff>238125</xdr:rowOff>
        </xdr:to>
        <xdr:sp macro="" textlink="">
          <xdr:nvSpPr>
            <xdr:cNvPr id="130215" name="Option Button 167" hidden="1">
              <a:extLst>
                <a:ext uri="{63B3BB69-23CF-44E3-9099-C40C66FF867C}">
                  <a14:compatExt spid="_x0000_s130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66675</xdr:rowOff>
        </xdr:from>
        <xdr:to>
          <xdr:col>18</xdr:col>
          <xdr:colOff>19050</xdr:colOff>
          <xdr:row>65</xdr:row>
          <xdr:rowOff>219075</xdr:rowOff>
        </xdr:to>
        <xdr:sp macro="" textlink="">
          <xdr:nvSpPr>
            <xdr:cNvPr id="130218" name="Option Button 170" hidden="1">
              <a:extLst>
                <a:ext uri="{63B3BB69-23CF-44E3-9099-C40C66FF867C}">
                  <a14:compatExt spid="_x0000_s130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15</xdr:row>
          <xdr:rowOff>0</xdr:rowOff>
        </xdr:from>
        <xdr:to>
          <xdr:col>17</xdr:col>
          <xdr:colOff>190500</xdr:colOff>
          <xdr:row>16</xdr:row>
          <xdr:rowOff>0</xdr:rowOff>
        </xdr:to>
        <xdr:sp macro="" textlink="">
          <xdr:nvSpPr>
            <xdr:cNvPr id="132103" name="Group Box 7" hidden="1">
              <a:extLst>
                <a:ext uri="{63B3BB69-23CF-44E3-9099-C40C66FF867C}">
                  <a14:compatExt spid="_x0000_s132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15</xdr:row>
          <xdr:rowOff>28575</xdr:rowOff>
        </xdr:from>
        <xdr:to>
          <xdr:col>3</xdr:col>
          <xdr:colOff>1143000</xdr:colOff>
          <xdr:row>15</xdr:row>
          <xdr:rowOff>219075</xdr:rowOff>
        </xdr:to>
        <xdr:sp macro="" textlink="">
          <xdr:nvSpPr>
            <xdr:cNvPr id="132104" name="Option Button 8" hidden="1">
              <a:extLst>
                <a:ext uri="{63B3BB69-23CF-44E3-9099-C40C66FF867C}">
                  <a14:compatExt spid="_x0000_s13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15</xdr:row>
          <xdr:rowOff>28575</xdr:rowOff>
        </xdr:from>
        <xdr:to>
          <xdr:col>4</xdr:col>
          <xdr:colOff>666750</xdr:colOff>
          <xdr:row>15</xdr:row>
          <xdr:rowOff>209550</xdr:rowOff>
        </xdr:to>
        <xdr:sp macro="" textlink="">
          <xdr:nvSpPr>
            <xdr:cNvPr id="132105" name="Option Button 9" hidden="1">
              <a:extLst>
                <a:ext uri="{63B3BB69-23CF-44E3-9099-C40C66FF867C}">
                  <a14:compatExt spid="_x0000_s13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15</xdr:row>
          <xdr:rowOff>28575</xdr:rowOff>
        </xdr:from>
        <xdr:to>
          <xdr:col>5</xdr:col>
          <xdr:colOff>923925</xdr:colOff>
          <xdr:row>15</xdr:row>
          <xdr:rowOff>219075</xdr:rowOff>
        </xdr:to>
        <xdr:sp macro="" textlink="">
          <xdr:nvSpPr>
            <xdr:cNvPr id="132106" name="Option Button 10" hidden="1">
              <a:extLst>
                <a:ext uri="{63B3BB69-23CF-44E3-9099-C40C66FF867C}">
                  <a14:compatExt spid="_x0000_s13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15</xdr:row>
          <xdr:rowOff>19050</xdr:rowOff>
        </xdr:from>
        <xdr:to>
          <xdr:col>6</xdr:col>
          <xdr:colOff>819150</xdr:colOff>
          <xdr:row>15</xdr:row>
          <xdr:rowOff>219075</xdr:rowOff>
        </xdr:to>
        <xdr:sp macro="" textlink="">
          <xdr:nvSpPr>
            <xdr:cNvPr id="132107" name="Option Button 11" hidden="1">
              <a:extLst>
                <a:ext uri="{63B3BB69-23CF-44E3-9099-C40C66FF867C}">
                  <a14:compatExt spid="_x0000_s13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19050</xdr:rowOff>
        </xdr:from>
        <xdr:to>
          <xdr:col>16</xdr:col>
          <xdr:colOff>47625</xdr:colOff>
          <xdr:row>15</xdr:row>
          <xdr:rowOff>219075</xdr:rowOff>
        </xdr:to>
        <xdr:sp macro="" textlink="">
          <xdr:nvSpPr>
            <xdr:cNvPr id="132108" name="Option Button 12" hidden="1">
              <a:extLst>
                <a:ext uri="{63B3BB69-23CF-44E3-9099-C40C66FF867C}">
                  <a14:compatExt spid="_x0000_s13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0</xdr:rowOff>
        </xdr:from>
        <xdr:to>
          <xdr:col>6</xdr:col>
          <xdr:colOff>1095375</xdr:colOff>
          <xdr:row>7</xdr:row>
          <xdr:rowOff>266700</xdr:rowOff>
        </xdr:to>
        <xdr:sp macro="" textlink="">
          <xdr:nvSpPr>
            <xdr:cNvPr id="132121" name="Group Box 25" hidden="1">
              <a:extLst>
                <a:ext uri="{63B3BB69-23CF-44E3-9099-C40C66FF867C}">
                  <a14:compatExt spid="_x0000_s132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9525</xdr:rowOff>
        </xdr:from>
        <xdr:to>
          <xdr:col>6</xdr:col>
          <xdr:colOff>1095375</xdr:colOff>
          <xdr:row>10</xdr:row>
          <xdr:rowOff>257175</xdr:rowOff>
        </xdr:to>
        <xdr:sp macro="" textlink="">
          <xdr:nvSpPr>
            <xdr:cNvPr id="132123" name="Group Box 27" hidden="1">
              <a:extLst>
                <a:ext uri="{63B3BB69-23CF-44E3-9099-C40C66FF867C}">
                  <a14:compatExt spid="_x0000_s132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9525</xdr:rowOff>
        </xdr:from>
        <xdr:to>
          <xdr:col>6</xdr:col>
          <xdr:colOff>1095375</xdr:colOff>
          <xdr:row>9</xdr:row>
          <xdr:rowOff>257175</xdr:rowOff>
        </xdr:to>
        <xdr:sp macro="" textlink="">
          <xdr:nvSpPr>
            <xdr:cNvPr id="132126" name="Group Box 30" hidden="1">
              <a:extLst>
                <a:ext uri="{63B3BB69-23CF-44E3-9099-C40C66FF867C}">
                  <a14:compatExt spid="_x0000_s1321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19050</xdr:rowOff>
        </xdr:from>
        <xdr:to>
          <xdr:col>6</xdr:col>
          <xdr:colOff>1095375</xdr:colOff>
          <xdr:row>11</xdr:row>
          <xdr:rowOff>266700</xdr:rowOff>
        </xdr:to>
        <xdr:sp macro="" textlink="">
          <xdr:nvSpPr>
            <xdr:cNvPr id="132127" name="Group Box 31" hidden="1">
              <a:extLst>
                <a:ext uri="{63B3BB69-23CF-44E3-9099-C40C66FF867C}">
                  <a14:compatExt spid="_x0000_s1321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19050</xdr:rowOff>
        </xdr:from>
        <xdr:to>
          <xdr:col>6</xdr:col>
          <xdr:colOff>1095375</xdr:colOff>
          <xdr:row>12</xdr:row>
          <xdr:rowOff>266700</xdr:rowOff>
        </xdr:to>
        <xdr:sp macro="" textlink="">
          <xdr:nvSpPr>
            <xdr:cNvPr id="132128" name="Group Box 32" hidden="1">
              <a:extLst>
                <a:ext uri="{63B3BB69-23CF-44E3-9099-C40C66FF867C}">
                  <a14:compatExt spid="_x0000_s132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19050</xdr:rowOff>
        </xdr:from>
        <xdr:to>
          <xdr:col>6</xdr:col>
          <xdr:colOff>1095375</xdr:colOff>
          <xdr:row>8</xdr:row>
          <xdr:rowOff>266700</xdr:rowOff>
        </xdr:to>
        <xdr:sp macro="" textlink="">
          <xdr:nvSpPr>
            <xdr:cNvPr id="132129" name="Group Box 33" hidden="1">
              <a:extLst>
                <a:ext uri="{63B3BB69-23CF-44E3-9099-C40C66FF867C}">
                  <a14:compatExt spid="_x0000_s1321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7</xdr:row>
          <xdr:rowOff>0</xdr:rowOff>
        </xdr:from>
        <xdr:to>
          <xdr:col>4</xdr:col>
          <xdr:colOff>742950</xdr:colOff>
          <xdr:row>7</xdr:row>
          <xdr:rowOff>266700</xdr:rowOff>
        </xdr:to>
        <xdr:sp macro="" textlink="">
          <xdr:nvSpPr>
            <xdr:cNvPr id="132130" name="Option Button 34" hidden="1">
              <a:extLst>
                <a:ext uri="{63B3BB69-23CF-44E3-9099-C40C66FF867C}">
                  <a14:compatExt spid="_x0000_s13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7</xdr:row>
          <xdr:rowOff>0</xdr:rowOff>
        </xdr:from>
        <xdr:to>
          <xdr:col>5</xdr:col>
          <xdr:colOff>771525</xdr:colOff>
          <xdr:row>7</xdr:row>
          <xdr:rowOff>266700</xdr:rowOff>
        </xdr:to>
        <xdr:sp macro="" textlink="">
          <xdr:nvSpPr>
            <xdr:cNvPr id="132131" name="Option Button 35" hidden="1">
              <a:extLst>
                <a:ext uri="{63B3BB69-23CF-44E3-9099-C40C66FF867C}">
                  <a14:compatExt spid="_x0000_s13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7</xdr:row>
          <xdr:rowOff>0</xdr:rowOff>
        </xdr:from>
        <xdr:to>
          <xdr:col>6</xdr:col>
          <xdr:colOff>723900</xdr:colOff>
          <xdr:row>7</xdr:row>
          <xdr:rowOff>266700</xdr:rowOff>
        </xdr:to>
        <xdr:sp macro="" textlink="">
          <xdr:nvSpPr>
            <xdr:cNvPr id="132132" name="Option Button 36" hidden="1">
              <a:extLst>
                <a:ext uri="{63B3BB69-23CF-44E3-9099-C40C66FF867C}">
                  <a14:compatExt spid="_x0000_s13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8</xdr:row>
          <xdr:rowOff>47625</xdr:rowOff>
        </xdr:from>
        <xdr:to>
          <xdr:col>4</xdr:col>
          <xdr:colOff>742950</xdr:colOff>
          <xdr:row>8</xdr:row>
          <xdr:rowOff>247650</xdr:rowOff>
        </xdr:to>
        <xdr:sp macro="" textlink="">
          <xdr:nvSpPr>
            <xdr:cNvPr id="132165" name="Option Button 69" hidden="1">
              <a:extLst>
                <a:ext uri="{63B3BB69-23CF-44E3-9099-C40C66FF867C}">
                  <a14:compatExt spid="_x0000_s13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8</xdr:row>
          <xdr:rowOff>38100</xdr:rowOff>
        </xdr:from>
        <xdr:to>
          <xdr:col>5</xdr:col>
          <xdr:colOff>771525</xdr:colOff>
          <xdr:row>8</xdr:row>
          <xdr:rowOff>247650</xdr:rowOff>
        </xdr:to>
        <xdr:sp macro="" textlink="">
          <xdr:nvSpPr>
            <xdr:cNvPr id="132166" name="Option Button 70" hidden="1">
              <a:extLst>
                <a:ext uri="{63B3BB69-23CF-44E3-9099-C40C66FF867C}">
                  <a14:compatExt spid="_x0000_s13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8</xdr:row>
          <xdr:rowOff>28575</xdr:rowOff>
        </xdr:from>
        <xdr:to>
          <xdr:col>6</xdr:col>
          <xdr:colOff>723900</xdr:colOff>
          <xdr:row>8</xdr:row>
          <xdr:rowOff>247650</xdr:rowOff>
        </xdr:to>
        <xdr:sp macro="" textlink="">
          <xdr:nvSpPr>
            <xdr:cNvPr id="132167" name="Option Button 71" hidden="1">
              <a:extLst>
                <a:ext uri="{63B3BB69-23CF-44E3-9099-C40C66FF867C}">
                  <a14:compatExt spid="_x0000_s13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9</xdr:row>
          <xdr:rowOff>19050</xdr:rowOff>
        </xdr:from>
        <xdr:to>
          <xdr:col>4</xdr:col>
          <xdr:colOff>895350</xdr:colOff>
          <xdr:row>9</xdr:row>
          <xdr:rowOff>238125</xdr:rowOff>
        </xdr:to>
        <xdr:sp macro="" textlink="">
          <xdr:nvSpPr>
            <xdr:cNvPr id="132168" name="Option Button 72" hidden="1">
              <a:extLst>
                <a:ext uri="{63B3BB69-23CF-44E3-9099-C40C66FF867C}">
                  <a14:compatExt spid="_x0000_s13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9</xdr:row>
          <xdr:rowOff>9525</xdr:rowOff>
        </xdr:from>
        <xdr:to>
          <xdr:col>5</xdr:col>
          <xdr:colOff>819150</xdr:colOff>
          <xdr:row>9</xdr:row>
          <xdr:rowOff>247650</xdr:rowOff>
        </xdr:to>
        <xdr:sp macro="" textlink="">
          <xdr:nvSpPr>
            <xdr:cNvPr id="132169" name="Option Button 73" hidden="1">
              <a:extLst>
                <a:ext uri="{63B3BB69-23CF-44E3-9099-C40C66FF867C}">
                  <a14:compatExt spid="_x0000_s13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9</xdr:row>
          <xdr:rowOff>19050</xdr:rowOff>
        </xdr:from>
        <xdr:to>
          <xdr:col>6</xdr:col>
          <xdr:colOff>723900</xdr:colOff>
          <xdr:row>9</xdr:row>
          <xdr:rowOff>238125</xdr:rowOff>
        </xdr:to>
        <xdr:sp macro="" textlink="">
          <xdr:nvSpPr>
            <xdr:cNvPr id="132170" name="Option Button 74" hidden="1">
              <a:extLst>
                <a:ext uri="{63B3BB69-23CF-44E3-9099-C40C66FF867C}">
                  <a14:compatExt spid="_x0000_s13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10</xdr:row>
          <xdr:rowOff>28575</xdr:rowOff>
        </xdr:from>
        <xdr:to>
          <xdr:col>4</xdr:col>
          <xdr:colOff>781050</xdr:colOff>
          <xdr:row>10</xdr:row>
          <xdr:rowOff>247650</xdr:rowOff>
        </xdr:to>
        <xdr:sp macro="" textlink="">
          <xdr:nvSpPr>
            <xdr:cNvPr id="132171" name="Option Button 75" hidden="1">
              <a:extLst>
                <a:ext uri="{63B3BB69-23CF-44E3-9099-C40C66FF867C}">
                  <a14:compatExt spid="_x0000_s13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10</xdr:row>
          <xdr:rowOff>28575</xdr:rowOff>
        </xdr:from>
        <xdr:to>
          <xdr:col>5</xdr:col>
          <xdr:colOff>828675</xdr:colOff>
          <xdr:row>10</xdr:row>
          <xdr:rowOff>247650</xdr:rowOff>
        </xdr:to>
        <xdr:sp macro="" textlink="">
          <xdr:nvSpPr>
            <xdr:cNvPr id="132172" name="Option Button 76" hidden="1">
              <a:extLst>
                <a:ext uri="{63B3BB69-23CF-44E3-9099-C40C66FF867C}">
                  <a14:compatExt spid="_x0000_s13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10</xdr:row>
          <xdr:rowOff>28575</xdr:rowOff>
        </xdr:from>
        <xdr:to>
          <xdr:col>6</xdr:col>
          <xdr:colOff>857250</xdr:colOff>
          <xdr:row>10</xdr:row>
          <xdr:rowOff>247650</xdr:rowOff>
        </xdr:to>
        <xdr:sp macro="" textlink="">
          <xdr:nvSpPr>
            <xdr:cNvPr id="132173" name="Option Button 77" hidden="1">
              <a:extLst>
                <a:ext uri="{63B3BB69-23CF-44E3-9099-C40C66FF867C}">
                  <a14:compatExt spid="_x0000_s13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11</xdr:row>
          <xdr:rowOff>57150</xdr:rowOff>
        </xdr:from>
        <xdr:to>
          <xdr:col>4</xdr:col>
          <xdr:colOff>742950</xdr:colOff>
          <xdr:row>11</xdr:row>
          <xdr:rowOff>238125</xdr:rowOff>
        </xdr:to>
        <xdr:sp macro="" textlink="">
          <xdr:nvSpPr>
            <xdr:cNvPr id="132175" name="Option Button 79" hidden="1">
              <a:extLst>
                <a:ext uri="{63B3BB69-23CF-44E3-9099-C40C66FF867C}">
                  <a14:compatExt spid="_x0000_s13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11</xdr:row>
          <xdr:rowOff>38100</xdr:rowOff>
        </xdr:from>
        <xdr:to>
          <xdr:col>5</xdr:col>
          <xdr:colOff>962025</xdr:colOff>
          <xdr:row>11</xdr:row>
          <xdr:rowOff>257175</xdr:rowOff>
        </xdr:to>
        <xdr:sp macro="" textlink="">
          <xdr:nvSpPr>
            <xdr:cNvPr id="132176" name="Option Button 80" hidden="1">
              <a:extLst>
                <a:ext uri="{63B3BB69-23CF-44E3-9099-C40C66FF867C}">
                  <a14:compatExt spid="_x0000_s13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11</xdr:row>
          <xdr:rowOff>28575</xdr:rowOff>
        </xdr:from>
        <xdr:to>
          <xdr:col>6</xdr:col>
          <xdr:colOff>857250</xdr:colOff>
          <xdr:row>11</xdr:row>
          <xdr:rowOff>247650</xdr:rowOff>
        </xdr:to>
        <xdr:sp macro="" textlink="">
          <xdr:nvSpPr>
            <xdr:cNvPr id="132177" name="Option Button 81" hidden="1">
              <a:extLst>
                <a:ext uri="{63B3BB69-23CF-44E3-9099-C40C66FF867C}">
                  <a14:compatExt spid="_x0000_s13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12</xdr:row>
          <xdr:rowOff>28575</xdr:rowOff>
        </xdr:from>
        <xdr:to>
          <xdr:col>4</xdr:col>
          <xdr:colOff>981075</xdr:colOff>
          <xdr:row>12</xdr:row>
          <xdr:rowOff>247650</xdr:rowOff>
        </xdr:to>
        <xdr:sp macro="" textlink="">
          <xdr:nvSpPr>
            <xdr:cNvPr id="132178" name="Option Button 82" hidden="1">
              <a:extLst>
                <a:ext uri="{63B3BB69-23CF-44E3-9099-C40C66FF867C}">
                  <a14:compatExt spid="_x0000_s13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12</xdr:row>
          <xdr:rowOff>38100</xdr:rowOff>
        </xdr:from>
        <xdr:to>
          <xdr:col>5</xdr:col>
          <xdr:colOff>857250</xdr:colOff>
          <xdr:row>12</xdr:row>
          <xdr:rowOff>257175</xdr:rowOff>
        </xdr:to>
        <xdr:sp macro="" textlink="">
          <xdr:nvSpPr>
            <xdr:cNvPr id="132179" name="Option Button 83" hidden="1">
              <a:extLst>
                <a:ext uri="{63B3BB69-23CF-44E3-9099-C40C66FF867C}">
                  <a14:compatExt spid="_x0000_s13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12</xdr:row>
          <xdr:rowOff>38100</xdr:rowOff>
        </xdr:from>
        <xdr:to>
          <xdr:col>6</xdr:col>
          <xdr:colOff>857250</xdr:colOff>
          <xdr:row>12</xdr:row>
          <xdr:rowOff>257175</xdr:rowOff>
        </xdr:to>
        <xdr:sp macro="" textlink="">
          <xdr:nvSpPr>
            <xdr:cNvPr id="132180" name="Option Button 84" hidden="1">
              <a:extLst>
                <a:ext uri="{63B3BB69-23CF-44E3-9099-C40C66FF867C}">
                  <a14:compatExt spid="_x0000_s13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50</xdr:row>
          <xdr:rowOff>9525</xdr:rowOff>
        </xdr:from>
        <xdr:to>
          <xdr:col>3</xdr:col>
          <xdr:colOff>876300</xdr:colOff>
          <xdr:row>51</xdr:row>
          <xdr:rowOff>57150</xdr:rowOff>
        </xdr:to>
        <xdr:sp macro="" textlink="">
          <xdr:nvSpPr>
            <xdr:cNvPr id="132183" name="Check Box 87" hidden="1">
              <a:extLst>
                <a:ext uri="{63B3BB69-23CF-44E3-9099-C40C66FF867C}">
                  <a14:compatExt spid="_x0000_s13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51</xdr:row>
          <xdr:rowOff>0</xdr:rowOff>
        </xdr:from>
        <xdr:to>
          <xdr:col>3</xdr:col>
          <xdr:colOff>800100</xdr:colOff>
          <xdr:row>52</xdr:row>
          <xdr:rowOff>47625</xdr:rowOff>
        </xdr:to>
        <xdr:sp macro="" textlink="">
          <xdr:nvSpPr>
            <xdr:cNvPr id="132184" name="Check Box 88" hidden="1">
              <a:extLst>
                <a:ext uri="{63B3BB69-23CF-44E3-9099-C40C66FF867C}">
                  <a14:compatExt spid="_x0000_s13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50</xdr:row>
          <xdr:rowOff>0</xdr:rowOff>
        </xdr:from>
        <xdr:to>
          <xdr:col>6</xdr:col>
          <xdr:colOff>790575</xdr:colOff>
          <xdr:row>53</xdr:row>
          <xdr:rowOff>9525</xdr:rowOff>
        </xdr:to>
        <xdr:sp macro="" textlink="">
          <xdr:nvSpPr>
            <xdr:cNvPr id="132186" name="Group Box 90" hidden="1">
              <a:extLst>
                <a:ext uri="{63B3BB69-23CF-44E3-9099-C40C66FF867C}">
                  <a14:compatExt spid="_x0000_s1321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53</xdr:row>
          <xdr:rowOff>114300</xdr:rowOff>
        </xdr:from>
        <xdr:to>
          <xdr:col>6</xdr:col>
          <xdr:colOff>857250</xdr:colOff>
          <xdr:row>54</xdr:row>
          <xdr:rowOff>190500</xdr:rowOff>
        </xdr:to>
        <xdr:sp macro="" textlink="">
          <xdr:nvSpPr>
            <xdr:cNvPr id="132196" name="Check Box 100" hidden="1">
              <a:extLst>
                <a:ext uri="{63B3BB69-23CF-44E3-9099-C40C66FF867C}">
                  <a14:compatExt spid="_x0000_s13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50</xdr:row>
          <xdr:rowOff>47625</xdr:rowOff>
        </xdr:from>
        <xdr:to>
          <xdr:col>6</xdr:col>
          <xdr:colOff>790575</xdr:colOff>
          <xdr:row>51</xdr:row>
          <xdr:rowOff>0</xdr:rowOff>
        </xdr:to>
        <xdr:sp macro="" textlink="">
          <xdr:nvSpPr>
            <xdr:cNvPr id="132202" name="Option Button 106" hidden="1">
              <a:extLst>
                <a:ext uri="{63B3BB69-23CF-44E3-9099-C40C66FF867C}">
                  <a14:compatExt spid="_x0000_s13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51</xdr:row>
          <xdr:rowOff>0</xdr:rowOff>
        </xdr:from>
        <xdr:to>
          <xdr:col>6</xdr:col>
          <xdr:colOff>790575</xdr:colOff>
          <xdr:row>51</xdr:row>
          <xdr:rowOff>238125</xdr:rowOff>
        </xdr:to>
        <xdr:sp macro="" textlink="">
          <xdr:nvSpPr>
            <xdr:cNvPr id="132204" name="Option Button 108" hidden="1">
              <a:extLst>
                <a:ext uri="{63B3BB69-23CF-44E3-9099-C40C66FF867C}">
                  <a14:compatExt spid="_x0000_s13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51</xdr:row>
          <xdr:rowOff>238125</xdr:rowOff>
        </xdr:from>
        <xdr:to>
          <xdr:col>6</xdr:col>
          <xdr:colOff>790575</xdr:colOff>
          <xdr:row>52</xdr:row>
          <xdr:rowOff>190500</xdr:rowOff>
        </xdr:to>
        <xdr:sp macro="" textlink="">
          <xdr:nvSpPr>
            <xdr:cNvPr id="132205" name="Option Button 109" hidden="1">
              <a:extLst>
                <a:ext uri="{63B3BB69-23CF-44E3-9099-C40C66FF867C}">
                  <a14:compatExt spid="_x0000_s13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36</xdr:row>
          <xdr:rowOff>47625</xdr:rowOff>
        </xdr:from>
        <xdr:to>
          <xdr:col>6</xdr:col>
          <xdr:colOff>47625</xdr:colOff>
          <xdr:row>37</xdr:row>
          <xdr:rowOff>0</xdr:rowOff>
        </xdr:to>
        <xdr:sp macro="" textlink="">
          <xdr:nvSpPr>
            <xdr:cNvPr id="132207" name="Check Box 111" hidden="1">
              <a:extLst>
                <a:ext uri="{63B3BB69-23CF-44E3-9099-C40C66FF867C}">
                  <a14:compatExt spid="_x0000_s13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37</xdr:row>
          <xdr:rowOff>57150</xdr:rowOff>
        </xdr:from>
        <xdr:to>
          <xdr:col>6</xdr:col>
          <xdr:colOff>47625</xdr:colOff>
          <xdr:row>38</xdr:row>
          <xdr:rowOff>9525</xdr:rowOff>
        </xdr:to>
        <xdr:sp macro="" textlink="">
          <xdr:nvSpPr>
            <xdr:cNvPr id="132209" name="Check Box 113" hidden="1">
              <a:extLst>
                <a:ext uri="{63B3BB69-23CF-44E3-9099-C40C66FF867C}">
                  <a14:compatExt spid="_x0000_s13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38</xdr:row>
          <xdr:rowOff>47625</xdr:rowOff>
        </xdr:from>
        <xdr:to>
          <xdr:col>6</xdr:col>
          <xdr:colOff>47625</xdr:colOff>
          <xdr:row>39</xdr:row>
          <xdr:rowOff>0</xdr:rowOff>
        </xdr:to>
        <xdr:sp macro="" textlink="">
          <xdr:nvSpPr>
            <xdr:cNvPr id="132210" name="Check Box 114" hidden="1">
              <a:extLst>
                <a:ext uri="{63B3BB69-23CF-44E3-9099-C40C66FF867C}">
                  <a14:compatExt spid="_x0000_s13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36</xdr:row>
          <xdr:rowOff>57150</xdr:rowOff>
        </xdr:from>
        <xdr:to>
          <xdr:col>9</xdr:col>
          <xdr:colOff>28575</xdr:colOff>
          <xdr:row>37</xdr:row>
          <xdr:rowOff>9525</xdr:rowOff>
        </xdr:to>
        <xdr:sp macro="" textlink="">
          <xdr:nvSpPr>
            <xdr:cNvPr id="132211" name="Check Box 115" hidden="1">
              <a:extLst>
                <a:ext uri="{63B3BB69-23CF-44E3-9099-C40C66FF867C}">
                  <a14:compatExt spid="_x0000_s13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37</xdr:row>
          <xdr:rowOff>28575</xdr:rowOff>
        </xdr:from>
        <xdr:to>
          <xdr:col>9</xdr:col>
          <xdr:colOff>28575</xdr:colOff>
          <xdr:row>37</xdr:row>
          <xdr:rowOff>247650</xdr:rowOff>
        </xdr:to>
        <xdr:sp macro="" textlink="">
          <xdr:nvSpPr>
            <xdr:cNvPr id="132212" name="Check Box 116" hidden="1">
              <a:extLst>
                <a:ext uri="{63B3BB69-23CF-44E3-9099-C40C66FF867C}">
                  <a14:compatExt spid="_x0000_s13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38</xdr:row>
          <xdr:rowOff>38100</xdr:rowOff>
        </xdr:from>
        <xdr:to>
          <xdr:col>9</xdr:col>
          <xdr:colOff>28575</xdr:colOff>
          <xdr:row>38</xdr:row>
          <xdr:rowOff>257175</xdr:rowOff>
        </xdr:to>
        <xdr:sp macro="" textlink="">
          <xdr:nvSpPr>
            <xdr:cNvPr id="132213" name="Check Box 117" hidden="1">
              <a:extLst>
                <a:ext uri="{63B3BB69-23CF-44E3-9099-C40C66FF867C}">
                  <a14:compatExt spid="_x0000_s13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39</xdr:row>
          <xdr:rowOff>38100</xdr:rowOff>
        </xdr:from>
        <xdr:to>
          <xdr:col>9</xdr:col>
          <xdr:colOff>28575</xdr:colOff>
          <xdr:row>39</xdr:row>
          <xdr:rowOff>257175</xdr:rowOff>
        </xdr:to>
        <xdr:sp macro="" textlink="">
          <xdr:nvSpPr>
            <xdr:cNvPr id="132214" name="Check Box 118" hidden="1">
              <a:extLst>
                <a:ext uri="{63B3BB69-23CF-44E3-9099-C40C66FF867C}">
                  <a14:compatExt spid="_x0000_s13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39</xdr:row>
          <xdr:rowOff>47625</xdr:rowOff>
        </xdr:from>
        <xdr:to>
          <xdr:col>6</xdr:col>
          <xdr:colOff>47625</xdr:colOff>
          <xdr:row>40</xdr:row>
          <xdr:rowOff>0</xdr:rowOff>
        </xdr:to>
        <xdr:sp macro="" textlink="">
          <xdr:nvSpPr>
            <xdr:cNvPr id="132215" name="Check Box 119" hidden="1">
              <a:extLst>
                <a:ext uri="{63B3BB69-23CF-44E3-9099-C40C66FF867C}">
                  <a14:compatExt spid="_x0000_s13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35</xdr:row>
          <xdr:rowOff>495300</xdr:rowOff>
        </xdr:from>
        <xdr:to>
          <xdr:col>3</xdr:col>
          <xdr:colOff>733425</xdr:colOff>
          <xdr:row>40</xdr:row>
          <xdr:rowOff>47625</xdr:rowOff>
        </xdr:to>
        <xdr:sp macro="" textlink="">
          <xdr:nvSpPr>
            <xdr:cNvPr id="132216" name="Group Box 120" hidden="1">
              <a:extLst>
                <a:ext uri="{63B3BB69-23CF-44E3-9099-C40C66FF867C}">
                  <a14:compatExt spid="_x0000_s1322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36</xdr:row>
          <xdr:rowOff>19050</xdr:rowOff>
        </xdr:from>
        <xdr:to>
          <xdr:col>3</xdr:col>
          <xdr:colOff>704850</xdr:colOff>
          <xdr:row>37</xdr:row>
          <xdr:rowOff>47625</xdr:rowOff>
        </xdr:to>
        <xdr:sp macro="" textlink="">
          <xdr:nvSpPr>
            <xdr:cNvPr id="132217" name="Option Button 121" hidden="1">
              <a:extLst>
                <a:ext uri="{63B3BB69-23CF-44E3-9099-C40C66FF867C}">
                  <a14:compatExt spid="_x0000_s13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36</xdr:row>
          <xdr:rowOff>247650</xdr:rowOff>
        </xdr:from>
        <xdr:to>
          <xdr:col>3</xdr:col>
          <xdr:colOff>714375</xdr:colOff>
          <xdr:row>38</xdr:row>
          <xdr:rowOff>57150</xdr:rowOff>
        </xdr:to>
        <xdr:sp macro="" textlink="">
          <xdr:nvSpPr>
            <xdr:cNvPr id="132219" name="Option Button 123" hidden="1">
              <a:extLst>
                <a:ext uri="{63B3BB69-23CF-44E3-9099-C40C66FF867C}">
                  <a14:compatExt spid="_x0000_s13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38</xdr:row>
          <xdr:rowOff>28575</xdr:rowOff>
        </xdr:from>
        <xdr:to>
          <xdr:col>3</xdr:col>
          <xdr:colOff>704850</xdr:colOff>
          <xdr:row>38</xdr:row>
          <xdr:rowOff>247650</xdr:rowOff>
        </xdr:to>
        <xdr:sp macro="" textlink="">
          <xdr:nvSpPr>
            <xdr:cNvPr id="132221" name="Option Button 125" hidden="1">
              <a:extLst>
                <a:ext uri="{63B3BB69-23CF-44E3-9099-C40C66FF867C}">
                  <a14:compatExt spid="_x0000_s13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38</xdr:row>
          <xdr:rowOff>257175</xdr:rowOff>
        </xdr:from>
        <xdr:to>
          <xdr:col>3</xdr:col>
          <xdr:colOff>733425</xdr:colOff>
          <xdr:row>39</xdr:row>
          <xdr:rowOff>247650</xdr:rowOff>
        </xdr:to>
        <xdr:sp macro="" textlink="">
          <xdr:nvSpPr>
            <xdr:cNvPr id="132222" name="Option Button 126" hidden="1">
              <a:extLst>
                <a:ext uri="{63B3BB69-23CF-44E3-9099-C40C66FF867C}">
                  <a14:compatExt spid="_x0000_s13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0428" y="5575739"/>
          <a:ext cx="3571600" cy="95381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22</xdr:row>
          <xdr:rowOff>9525</xdr:rowOff>
        </xdr:from>
        <xdr:to>
          <xdr:col>19</xdr:col>
          <xdr:colOff>0</xdr:colOff>
          <xdr:row>23</xdr:row>
          <xdr:rowOff>0</xdr:rowOff>
        </xdr:to>
        <xdr:sp macro="" textlink="">
          <xdr:nvSpPr>
            <xdr:cNvPr id="133123" name="Group Box 3" hidden="1">
              <a:extLst>
                <a:ext uri="{63B3BB69-23CF-44E3-9099-C40C66FF867C}">
                  <a14:compatExt spid="_x0000_s133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22</xdr:row>
          <xdr:rowOff>85725</xdr:rowOff>
        </xdr:from>
        <xdr:to>
          <xdr:col>3</xdr:col>
          <xdr:colOff>952500</xdr:colOff>
          <xdr:row>22</xdr:row>
          <xdr:rowOff>304800</xdr:rowOff>
        </xdr:to>
        <xdr:sp macro="" textlink="">
          <xdr:nvSpPr>
            <xdr:cNvPr id="133124" name="Option Button 4" hidden="1">
              <a:extLst>
                <a:ext uri="{63B3BB69-23CF-44E3-9099-C40C66FF867C}">
                  <a14:compatExt spid="_x0000_s13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95250</xdr:rowOff>
        </xdr:from>
        <xdr:to>
          <xdr:col>5</xdr:col>
          <xdr:colOff>190500</xdr:colOff>
          <xdr:row>22</xdr:row>
          <xdr:rowOff>314325</xdr:rowOff>
        </xdr:to>
        <xdr:sp macro="" textlink="">
          <xdr:nvSpPr>
            <xdr:cNvPr id="133125" name="Option Button 5" hidden="1">
              <a:extLst>
                <a:ext uri="{63B3BB69-23CF-44E3-9099-C40C66FF867C}">
                  <a14:compatExt spid="_x0000_s13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57150</xdr:rowOff>
        </xdr:from>
        <xdr:to>
          <xdr:col>6</xdr:col>
          <xdr:colOff>1057275</xdr:colOff>
          <xdr:row>22</xdr:row>
          <xdr:rowOff>323850</xdr:rowOff>
        </xdr:to>
        <xdr:sp macro="" textlink="">
          <xdr:nvSpPr>
            <xdr:cNvPr id="133126" name="Option Button 6" hidden="1">
              <a:extLst>
                <a:ext uri="{63B3BB69-23CF-44E3-9099-C40C66FF867C}">
                  <a14:compatExt spid="_x0000_s13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xdr:row>
          <xdr:rowOff>85725</xdr:rowOff>
        </xdr:from>
        <xdr:to>
          <xdr:col>7</xdr:col>
          <xdr:colOff>466725</xdr:colOff>
          <xdr:row>22</xdr:row>
          <xdr:rowOff>304800</xdr:rowOff>
        </xdr:to>
        <xdr:sp macro="" textlink="">
          <xdr:nvSpPr>
            <xdr:cNvPr id="133127" name="Option Button 7" hidden="1">
              <a:extLst>
                <a:ext uri="{63B3BB69-23CF-44E3-9099-C40C66FF867C}">
                  <a14:compatExt spid="_x0000_s13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xdr:row>
          <xdr:rowOff>85725</xdr:rowOff>
        </xdr:from>
        <xdr:to>
          <xdr:col>18</xdr:col>
          <xdr:colOff>0</xdr:colOff>
          <xdr:row>22</xdr:row>
          <xdr:rowOff>304800</xdr:rowOff>
        </xdr:to>
        <xdr:sp macro="" textlink="">
          <xdr:nvSpPr>
            <xdr:cNvPr id="133128" name="Option Button 8" hidden="1">
              <a:extLst>
                <a:ext uri="{63B3BB69-23CF-44E3-9099-C40C66FF867C}">
                  <a14:compatExt spid="_x0000_s13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xdr:row>
          <xdr:rowOff>9525</xdr:rowOff>
        </xdr:from>
        <xdr:to>
          <xdr:col>3</xdr:col>
          <xdr:colOff>866775</xdr:colOff>
          <xdr:row>10</xdr:row>
          <xdr:rowOff>228600</xdr:rowOff>
        </xdr:to>
        <xdr:sp macro="" textlink="">
          <xdr:nvSpPr>
            <xdr:cNvPr id="133129" name="Check Box 9" hidden="1">
              <a:extLst>
                <a:ext uri="{63B3BB69-23CF-44E3-9099-C40C66FF867C}">
                  <a14:compatExt spid="_x0000_s13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11</xdr:row>
          <xdr:rowOff>19050</xdr:rowOff>
        </xdr:from>
        <xdr:to>
          <xdr:col>3</xdr:col>
          <xdr:colOff>866775</xdr:colOff>
          <xdr:row>11</xdr:row>
          <xdr:rowOff>238125</xdr:rowOff>
        </xdr:to>
        <xdr:sp macro="" textlink="">
          <xdr:nvSpPr>
            <xdr:cNvPr id="133130" name="Check Box 10" hidden="1">
              <a:extLst>
                <a:ext uri="{63B3BB69-23CF-44E3-9099-C40C66FF867C}">
                  <a14:compatExt spid="_x0000_s13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8</xdr:row>
          <xdr:rowOff>38100</xdr:rowOff>
        </xdr:from>
        <xdr:to>
          <xdr:col>3</xdr:col>
          <xdr:colOff>866775</xdr:colOff>
          <xdr:row>8</xdr:row>
          <xdr:rowOff>257175</xdr:rowOff>
        </xdr:to>
        <xdr:sp macro="" textlink="">
          <xdr:nvSpPr>
            <xdr:cNvPr id="133131" name="Check Box 11" hidden="1">
              <a:extLst>
                <a:ext uri="{63B3BB69-23CF-44E3-9099-C40C66FF867C}">
                  <a14:compatExt spid="_x0000_s13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9</xdr:row>
          <xdr:rowOff>19050</xdr:rowOff>
        </xdr:from>
        <xdr:to>
          <xdr:col>3</xdr:col>
          <xdr:colOff>866775</xdr:colOff>
          <xdr:row>9</xdr:row>
          <xdr:rowOff>238125</xdr:rowOff>
        </xdr:to>
        <xdr:sp macro="" textlink="">
          <xdr:nvSpPr>
            <xdr:cNvPr id="133133" name="Check Box 13" hidden="1">
              <a:extLst>
                <a:ext uri="{63B3BB69-23CF-44E3-9099-C40C66FF867C}">
                  <a14:compatExt spid="_x0000_s13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15</xdr:row>
          <xdr:rowOff>0</xdr:rowOff>
        </xdr:from>
        <xdr:to>
          <xdr:col>3</xdr:col>
          <xdr:colOff>866775</xdr:colOff>
          <xdr:row>15</xdr:row>
          <xdr:rowOff>219075</xdr:rowOff>
        </xdr:to>
        <xdr:sp macro="" textlink="">
          <xdr:nvSpPr>
            <xdr:cNvPr id="133134" name="Check Box 14" hidden="1">
              <a:extLst>
                <a:ext uri="{63B3BB69-23CF-44E3-9099-C40C66FF867C}">
                  <a14:compatExt spid="_x0000_s13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9525</xdr:rowOff>
        </xdr:from>
        <xdr:to>
          <xdr:col>3</xdr:col>
          <xdr:colOff>866775</xdr:colOff>
          <xdr:row>12</xdr:row>
          <xdr:rowOff>228600</xdr:rowOff>
        </xdr:to>
        <xdr:sp macro="" textlink="">
          <xdr:nvSpPr>
            <xdr:cNvPr id="133135" name="Check Box 15" hidden="1">
              <a:extLst>
                <a:ext uri="{63B3BB69-23CF-44E3-9099-C40C66FF867C}">
                  <a14:compatExt spid="_x0000_s13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13</xdr:row>
          <xdr:rowOff>19050</xdr:rowOff>
        </xdr:from>
        <xdr:to>
          <xdr:col>3</xdr:col>
          <xdr:colOff>866775</xdr:colOff>
          <xdr:row>13</xdr:row>
          <xdr:rowOff>238125</xdr:rowOff>
        </xdr:to>
        <xdr:sp macro="" textlink="">
          <xdr:nvSpPr>
            <xdr:cNvPr id="133136" name="Check Box 16" hidden="1">
              <a:extLst>
                <a:ext uri="{63B3BB69-23CF-44E3-9099-C40C66FF867C}">
                  <a14:compatExt spid="_x0000_s13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14</xdr:row>
          <xdr:rowOff>19050</xdr:rowOff>
        </xdr:from>
        <xdr:to>
          <xdr:col>3</xdr:col>
          <xdr:colOff>866775</xdr:colOff>
          <xdr:row>14</xdr:row>
          <xdr:rowOff>238125</xdr:rowOff>
        </xdr:to>
        <xdr:sp macro="" textlink="">
          <xdr:nvSpPr>
            <xdr:cNvPr id="133137" name="Check Box 17" hidden="1">
              <a:extLst>
                <a:ext uri="{63B3BB69-23CF-44E3-9099-C40C66FF867C}">
                  <a14:compatExt spid="_x0000_s13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8</xdr:row>
          <xdr:rowOff>0</xdr:rowOff>
        </xdr:from>
        <xdr:to>
          <xdr:col>7</xdr:col>
          <xdr:colOff>438150</xdr:colOff>
          <xdr:row>9</xdr:row>
          <xdr:rowOff>19050</xdr:rowOff>
        </xdr:to>
        <xdr:sp macro="" textlink="">
          <xdr:nvSpPr>
            <xdr:cNvPr id="133145" name="Option Button 25" hidden="1">
              <a:extLst>
                <a:ext uri="{63B3BB69-23CF-44E3-9099-C40C66FF867C}">
                  <a14:compatExt spid="_x0000_s13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4464" y="11199495"/>
          <a:ext cx="6509386" cy="1727835"/>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mc:AlternateContent xmlns:mc="http://schemas.openxmlformats.org/markup-compatibility/2006">
    <mc:Choice xmlns:a14="http://schemas.microsoft.com/office/drawing/2010/main" Requires="a14">
      <xdr:twoCellAnchor editAs="oneCell">
        <xdr:from>
          <xdr:col>2</xdr:col>
          <xdr:colOff>142875</xdr:colOff>
          <xdr:row>18</xdr:row>
          <xdr:rowOff>47625</xdr:rowOff>
        </xdr:from>
        <xdr:to>
          <xdr:col>19</xdr:col>
          <xdr:colOff>114300</xdr:colOff>
          <xdr:row>18</xdr:row>
          <xdr:rowOff>533400</xdr:rowOff>
        </xdr:to>
        <xdr:sp macro="" textlink="">
          <xdr:nvSpPr>
            <xdr:cNvPr id="138242" name="Group Box 2" hidden="1">
              <a:extLst>
                <a:ext uri="{63B3BB69-23CF-44E3-9099-C40C66FF867C}">
                  <a14:compatExt spid="_x0000_s1382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29</xdr:row>
          <xdr:rowOff>342900</xdr:rowOff>
        </xdr:from>
        <xdr:to>
          <xdr:col>3</xdr:col>
          <xdr:colOff>800100</xdr:colOff>
          <xdr:row>30</xdr:row>
          <xdr:rowOff>228600</xdr:rowOff>
        </xdr:to>
        <xdr:sp macro="" textlink="">
          <xdr:nvSpPr>
            <xdr:cNvPr id="138260" name="Check Box 20" hidden="1">
              <a:extLst>
                <a:ext uri="{63B3BB69-23CF-44E3-9099-C40C66FF867C}">
                  <a14:compatExt spid="_x0000_s13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22</xdr:row>
          <xdr:rowOff>9525</xdr:rowOff>
        </xdr:from>
        <xdr:to>
          <xdr:col>3</xdr:col>
          <xdr:colOff>866775</xdr:colOff>
          <xdr:row>22</xdr:row>
          <xdr:rowOff>228600</xdr:rowOff>
        </xdr:to>
        <xdr:sp macro="" textlink="">
          <xdr:nvSpPr>
            <xdr:cNvPr id="138261" name="Check Box 21" hidden="1">
              <a:extLst>
                <a:ext uri="{63B3BB69-23CF-44E3-9099-C40C66FF867C}">
                  <a14:compatExt spid="_x0000_s13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23</xdr:row>
          <xdr:rowOff>19050</xdr:rowOff>
        </xdr:from>
        <xdr:to>
          <xdr:col>3</xdr:col>
          <xdr:colOff>866775</xdr:colOff>
          <xdr:row>23</xdr:row>
          <xdr:rowOff>238125</xdr:rowOff>
        </xdr:to>
        <xdr:sp macro="" textlink="">
          <xdr:nvSpPr>
            <xdr:cNvPr id="138263" name="Check Box 23" hidden="1">
              <a:extLst>
                <a:ext uri="{63B3BB69-23CF-44E3-9099-C40C66FF867C}">
                  <a14:compatExt spid="_x0000_s13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24</xdr:row>
          <xdr:rowOff>38100</xdr:rowOff>
        </xdr:from>
        <xdr:to>
          <xdr:col>3</xdr:col>
          <xdr:colOff>866775</xdr:colOff>
          <xdr:row>24</xdr:row>
          <xdr:rowOff>257175</xdr:rowOff>
        </xdr:to>
        <xdr:sp macro="" textlink="">
          <xdr:nvSpPr>
            <xdr:cNvPr id="138264" name="Check Box 24" hidden="1">
              <a:extLst>
                <a:ext uri="{63B3BB69-23CF-44E3-9099-C40C66FF867C}">
                  <a14:compatExt spid="_x0000_s13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25</xdr:row>
          <xdr:rowOff>19050</xdr:rowOff>
        </xdr:from>
        <xdr:to>
          <xdr:col>3</xdr:col>
          <xdr:colOff>866775</xdr:colOff>
          <xdr:row>25</xdr:row>
          <xdr:rowOff>238125</xdr:rowOff>
        </xdr:to>
        <xdr:sp macro="" textlink="">
          <xdr:nvSpPr>
            <xdr:cNvPr id="138266" name="Check Box 26" hidden="1">
              <a:extLst>
                <a:ext uri="{63B3BB69-23CF-44E3-9099-C40C66FF867C}">
                  <a14:compatExt spid="_x0000_s13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26</xdr:row>
          <xdr:rowOff>19050</xdr:rowOff>
        </xdr:from>
        <xdr:to>
          <xdr:col>3</xdr:col>
          <xdr:colOff>866775</xdr:colOff>
          <xdr:row>26</xdr:row>
          <xdr:rowOff>238125</xdr:rowOff>
        </xdr:to>
        <xdr:sp macro="" textlink="">
          <xdr:nvSpPr>
            <xdr:cNvPr id="138267" name="Check Box 27" hidden="1">
              <a:extLst>
                <a:ext uri="{63B3BB69-23CF-44E3-9099-C40C66FF867C}">
                  <a14:compatExt spid="_x0000_s13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0</xdr:rowOff>
        </xdr:from>
        <xdr:to>
          <xdr:col>18</xdr:col>
          <xdr:colOff>133350</xdr:colOff>
          <xdr:row>36</xdr:row>
          <xdr:rowOff>361950</xdr:rowOff>
        </xdr:to>
        <xdr:sp macro="" textlink="">
          <xdr:nvSpPr>
            <xdr:cNvPr id="138269" name="Group Box 29" hidden="1">
              <a:extLst>
                <a:ext uri="{63B3BB69-23CF-44E3-9099-C40C66FF867C}">
                  <a14:compatExt spid="_x0000_s138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36</xdr:row>
          <xdr:rowOff>66675</xdr:rowOff>
        </xdr:from>
        <xdr:to>
          <xdr:col>3</xdr:col>
          <xdr:colOff>1076325</xdr:colOff>
          <xdr:row>36</xdr:row>
          <xdr:rowOff>285750</xdr:rowOff>
        </xdr:to>
        <xdr:sp macro="" textlink="">
          <xdr:nvSpPr>
            <xdr:cNvPr id="138270" name="Option Button 30" hidden="1">
              <a:extLst>
                <a:ext uri="{63B3BB69-23CF-44E3-9099-C40C66FF867C}">
                  <a14:compatExt spid="_x0000_s13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36</xdr:row>
          <xdr:rowOff>28575</xdr:rowOff>
        </xdr:from>
        <xdr:to>
          <xdr:col>5</xdr:col>
          <xdr:colOff>466725</xdr:colOff>
          <xdr:row>36</xdr:row>
          <xdr:rowOff>342900</xdr:rowOff>
        </xdr:to>
        <xdr:sp macro="" textlink="">
          <xdr:nvSpPr>
            <xdr:cNvPr id="138271" name="Option Button 31" hidden="1">
              <a:extLst>
                <a:ext uri="{63B3BB69-23CF-44E3-9099-C40C66FF867C}">
                  <a14:compatExt spid="_x0000_s13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36</xdr:row>
          <xdr:rowOff>19050</xdr:rowOff>
        </xdr:from>
        <xdr:to>
          <xdr:col>6</xdr:col>
          <xdr:colOff>457200</xdr:colOff>
          <xdr:row>36</xdr:row>
          <xdr:rowOff>352425</xdr:rowOff>
        </xdr:to>
        <xdr:sp macro="" textlink="">
          <xdr:nvSpPr>
            <xdr:cNvPr id="138272" name="Option Button 32" hidden="1">
              <a:extLst>
                <a:ext uri="{63B3BB69-23CF-44E3-9099-C40C66FF867C}">
                  <a14:compatExt spid="_x0000_s13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36</xdr:row>
          <xdr:rowOff>9525</xdr:rowOff>
        </xdr:from>
        <xdr:to>
          <xdr:col>7</xdr:col>
          <xdr:colOff>638175</xdr:colOff>
          <xdr:row>36</xdr:row>
          <xdr:rowOff>342900</xdr:rowOff>
        </xdr:to>
        <xdr:sp macro="" textlink="">
          <xdr:nvSpPr>
            <xdr:cNvPr id="138273" name="Option Button 33" hidden="1">
              <a:extLst>
                <a:ext uri="{63B3BB69-23CF-44E3-9099-C40C66FF867C}">
                  <a14:compatExt spid="_x0000_s13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36</xdr:row>
          <xdr:rowOff>38100</xdr:rowOff>
        </xdr:from>
        <xdr:to>
          <xdr:col>14</xdr:col>
          <xdr:colOff>9525</xdr:colOff>
          <xdr:row>36</xdr:row>
          <xdr:rowOff>342900</xdr:rowOff>
        </xdr:to>
        <xdr:sp macro="" textlink="">
          <xdr:nvSpPr>
            <xdr:cNvPr id="138274" name="Option Button 34" hidden="1">
              <a:extLst>
                <a:ext uri="{63B3BB69-23CF-44E3-9099-C40C66FF867C}">
                  <a14:compatExt spid="_x0000_s13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9525</xdr:rowOff>
        </xdr:from>
        <xdr:to>
          <xdr:col>3</xdr:col>
          <xdr:colOff>866775</xdr:colOff>
          <xdr:row>12</xdr:row>
          <xdr:rowOff>228600</xdr:rowOff>
        </xdr:to>
        <xdr:sp macro="" textlink="">
          <xdr:nvSpPr>
            <xdr:cNvPr id="138289" name="Check Box 49" hidden="1">
              <a:extLst>
                <a:ext uri="{63B3BB69-23CF-44E3-9099-C40C66FF867C}">
                  <a14:compatExt spid="_x0000_s13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8</xdr:row>
          <xdr:rowOff>257175</xdr:rowOff>
        </xdr:from>
        <xdr:to>
          <xdr:col>3</xdr:col>
          <xdr:colOff>866775</xdr:colOff>
          <xdr:row>10</xdr:row>
          <xdr:rowOff>0</xdr:rowOff>
        </xdr:to>
        <xdr:sp macro="" textlink="">
          <xdr:nvSpPr>
            <xdr:cNvPr id="138290" name="Check Box 50" hidden="1">
              <a:extLst>
                <a:ext uri="{63B3BB69-23CF-44E3-9099-C40C66FF867C}">
                  <a14:compatExt spid="_x0000_s13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6</xdr:row>
          <xdr:rowOff>171450</xdr:rowOff>
        </xdr:from>
        <xdr:to>
          <xdr:col>3</xdr:col>
          <xdr:colOff>866775</xdr:colOff>
          <xdr:row>8</xdr:row>
          <xdr:rowOff>66675</xdr:rowOff>
        </xdr:to>
        <xdr:sp macro="" textlink="">
          <xdr:nvSpPr>
            <xdr:cNvPr id="138292" name="Check Box 52" hidden="1">
              <a:extLst>
                <a:ext uri="{63B3BB69-23CF-44E3-9099-C40C66FF867C}">
                  <a14:compatExt spid="_x0000_s13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xdr:row>
          <xdr:rowOff>9525</xdr:rowOff>
        </xdr:from>
        <xdr:to>
          <xdr:col>3</xdr:col>
          <xdr:colOff>866775</xdr:colOff>
          <xdr:row>11</xdr:row>
          <xdr:rowOff>9525</xdr:rowOff>
        </xdr:to>
        <xdr:sp macro="" textlink="">
          <xdr:nvSpPr>
            <xdr:cNvPr id="138293" name="Check Box 53" hidden="1">
              <a:extLst>
                <a:ext uri="{63B3BB69-23CF-44E3-9099-C40C66FF867C}">
                  <a14:compatExt spid="_x0000_s13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7</xdr:row>
          <xdr:rowOff>257175</xdr:rowOff>
        </xdr:from>
        <xdr:to>
          <xdr:col>3</xdr:col>
          <xdr:colOff>866775</xdr:colOff>
          <xdr:row>9</xdr:row>
          <xdr:rowOff>28575</xdr:rowOff>
        </xdr:to>
        <xdr:sp macro="" textlink="">
          <xdr:nvSpPr>
            <xdr:cNvPr id="138294" name="Check Box 54" hidden="1">
              <a:extLst>
                <a:ext uri="{63B3BB69-23CF-44E3-9099-C40C66FF867C}">
                  <a14:compatExt spid="_x0000_s13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xdr:row>
          <xdr:rowOff>257175</xdr:rowOff>
        </xdr:from>
        <xdr:to>
          <xdr:col>3</xdr:col>
          <xdr:colOff>866775</xdr:colOff>
          <xdr:row>12</xdr:row>
          <xdr:rowOff>9525</xdr:rowOff>
        </xdr:to>
        <xdr:sp macro="" textlink="">
          <xdr:nvSpPr>
            <xdr:cNvPr id="138295" name="Check Box 55" hidden="1">
              <a:extLst>
                <a:ext uri="{63B3BB69-23CF-44E3-9099-C40C66FF867C}">
                  <a14:compatExt spid="_x0000_s13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30</xdr:row>
          <xdr:rowOff>428625</xdr:rowOff>
        </xdr:from>
        <xdr:to>
          <xdr:col>3</xdr:col>
          <xdr:colOff>800100</xdr:colOff>
          <xdr:row>31</xdr:row>
          <xdr:rowOff>228600</xdr:rowOff>
        </xdr:to>
        <xdr:sp macro="" textlink="">
          <xdr:nvSpPr>
            <xdr:cNvPr id="138298" name="Check Box 58" hidden="1">
              <a:extLst>
                <a:ext uri="{63B3BB69-23CF-44E3-9099-C40C66FF867C}">
                  <a14:compatExt spid="_x0000_s13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31</xdr:row>
          <xdr:rowOff>419100</xdr:rowOff>
        </xdr:from>
        <xdr:to>
          <xdr:col>3</xdr:col>
          <xdr:colOff>800100</xdr:colOff>
          <xdr:row>32</xdr:row>
          <xdr:rowOff>219075</xdr:rowOff>
        </xdr:to>
        <xdr:sp macro="" textlink="">
          <xdr:nvSpPr>
            <xdr:cNvPr id="138300" name="Check Box 60" hidden="1">
              <a:extLst>
                <a:ext uri="{63B3BB69-23CF-44E3-9099-C40C66FF867C}">
                  <a14:compatExt spid="_x0000_s138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33</xdr:row>
          <xdr:rowOff>0</xdr:rowOff>
        </xdr:from>
        <xdr:to>
          <xdr:col>3</xdr:col>
          <xdr:colOff>800100</xdr:colOff>
          <xdr:row>33</xdr:row>
          <xdr:rowOff>238125</xdr:rowOff>
        </xdr:to>
        <xdr:sp macro="" textlink="">
          <xdr:nvSpPr>
            <xdr:cNvPr id="138301" name="Check Box 61" hidden="1">
              <a:extLst>
                <a:ext uri="{63B3BB69-23CF-44E3-9099-C40C66FF867C}">
                  <a14:compatExt spid="_x0000_s13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76200</xdr:rowOff>
        </xdr:from>
        <xdr:to>
          <xdr:col>3</xdr:col>
          <xdr:colOff>676275</xdr:colOff>
          <xdr:row>18</xdr:row>
          <xdr:rowOff>314325</xdr:rowOff>
        </xdr:to>
        <xdr:sp macro="" textlink="">
          <xdr:nvSpPr>
            <xdr:cNvPr id="138245" name="Option Button 5" hidden="1">
              <a:extLst>
                <a:ext uri="{63B3BB69-23CF-44E3-9099-C40C66FF867C}">
                  <a14:compatExt spid="_x0000_s13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66675</xdr:rowOff>
        </xdr:from>
        <xdr:to>
          <xdr:col>5</xdr:col>
          <xdr:colOff>85725</xdr:colOff>
          <xdr:row>18</xdr:row>
          <xdr:rowOff>285750</xdr:rowOff>
        </xdr:to>
        <xdr:sp macro="" textlink="">
          <xdr:nvSpPr>
            <xdr:cNvPr id="138246" name="Option Button 6" hidden="1">
              <a:extLst>
                <a:ext uri="{63B3BB69-23CF-44E3-9099-C40C66FF867C}">
                  <a14:compatExt spid="_x0000_s13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66675</xdr:rowOff>
        </xdr:from>
        <xdr:to>
          <xdr:col>6</xdr:col>
          <xdr:colOff>304800</xdr:colOff>
          <xdr:row>18</xdr:row>
          <xdr:rowOff>285750</xdr:rowOff>
        </xdr:to>
        <xdr:sp macro="" textlink="">
          <xdr:nvSpPr>
            <xdr:cNvPr id="138247" name="Option Button 7" hidden="1">
              <a:extLst>
                <a:ext uri="{63B3BB69-23CF-44E3-9099-C40C66FF867C}">
                  <a14:compatExt spid="_x0000_s13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1095375</xdr:colOff>
          <xdr:row>18</xdr:row>
          <xdr:rowOff>66675</xdr:rowOff>
        </xdr:from>
        <xdr:to>
          <xdr:col>7</xdr:col>
          <xdr:colOff>247650</xdr:colOff>
          <xdr:row>18</xdr:row>
          <xdr:rowOff>285750</xdr:rowOff>
        </xdr:to>
        <xdr:sp macro="" textlink="">
          <xdr:nvSpPr>
            <xdr:cNvPr id="138251" name="Option Button 11" hidden="1">
              <a:extLst>
                <a:ext uri="{63B3BB69-23CF-44E3-9099-C40C66FF867C}">
                  <a14:compatExt spid="_x0000_s13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18</xdr:row>
          <xdr:rowOff>66675</xdr:rowOff>
        </xdr:from>
        <xdr:to>
          <xdr:col>10</xdr:col>
          <xdr:colOff>123825</xdr:colOff>
          <xdr:row>18</xdr:row>
          <xdr:rowOff>285750</xdr:rowOff>
        </xdr:to>
        <xdr:sp macro="" textlink="">
          <xdr:nvSpPr>
            <xdr:cNvPr id="138252" name="Option Button 12" hidden="1">
              <a:extLst>
                <a:ext uri="{63B3BB69-23CF-44E3-9099-C40C66FF867C}">
                  <a14:compatExt spid="_x0000_s13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18</xdr:row>
          <xdr:rowOff>57150</xdr:rowOff>
        </xdr:from>
        <xdr:to>
          <xdr:col>17</xdr:col>
          <xdr:colOff>95250</xdr:colOff>
          <xdr:row>18</xdr:row>
          <xdr:rowOff>285750</xdr:rowOff>
        </xdr:to>
        <xdr:sp macro="" textlink="">
          <xdr:nvSpPr>
            <xdr:cNvPr id="138253" name="Option Button 13" hidden="1">
              <a:extLst>
                <a:ext uri="{63B3BB69-23CF-44E3-9099-C40C66FF867C}">
                  <a14:compatExt spid="_x0000_s13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2</xdr:col>
          <xdr:colOff>200025</xdr:colOff>
          <xdr:row>17</xdr:row>
          <xdr:rowOff>0</xdr:rowOff>
        </xdr:from>
        <xdr:to>
          <xdr:col>20</xdr:col>
          <xdr:colOff>0</xdr:colOff>
          <xdr:row>18</xdr:row>
          <xdr:rowOff>0</xdr:rowOff>
        </xdr:to>
        <xdr:sp macro="" textlink="">
          <xdr:nvSpPr>
            <xdr:cNvPr id="135169" name="Group Box 1" hidden="1">
              <a:extLst>
                <a:ext uri="{63B3BB69-23CF-44E3-9099-C40C66FF867C}">
                  <a14:compatExt spid="_x0000_s1351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xdr:row>
          <xdr:rowOff>0</xdr:rowOff>
        </xdr:from>
        <xdr:to>
          <xdr:col>3</xdr:col>
          <xdr:colOff>781050</xdr:colOff>
          <xdr:row>17</xdr:row>
          <xdr:rowOff>361950</xdr:rowOff>
        </xdr:to>
        <xdr:sp macro="" textlink="">
          <xdr:nvSpPr>
            <xdr:cNvPr id="135170" name="Option Button 2" hidden="1">
              <a:extLst>
                <a:ext uri="{63B3BB69-23CF-44E3-9099-C40C66FF867C}">
                  <a14:compatExt spid="_x0000_s13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17</xdr:row>
          <xdr:rowOff>9525</xdr:rowOff>
        </xdr:from>
        <xdr:to>
          <xdr:col>5</xdr:col>
          <xdr:colOff>200025</xdr:colOff>
          <xdr:row>17</xdr:row>
          <xdr:rowOff>361950</xdr:rowOff>
        </xdr:to>
        <xdr:sp macro="" textlink="">
          <xdr:nvSpPr>
            <xdr:cNvPr id="135171" name="Option Button 3" hidden="1">
              <a:extLst>
                <a:ext uri="{63B3BB69-23CF-44E3-9099-C40C66FF867C}">
                  <a14:compatExt spid="_x0000_s13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1085850</xdr:colOff>
          <xdr:row>17</xdr:row>
          <xdr:rowOff>9525</xdr:rowOff>
        </xdr:from>
        <xdr:to>
          <xdr:col>7</xdr:col>
          <xdr:colOff>552450</xdr:colOff>
          <xdr:row>17</xdr:row>
          <xdr:rowOff>342900</xdr:rowOff>
        </xdr:to>
        <xdr:sp macro="" textlink="">
          <xdr:nvSpPr>
            <xdr:cNvPr id="135172" name="Option Button 4" hidden="1">
              <a:extLst>
                <a:ext uri="{63B3BB69-23CF-44E3-9099-C40C66FF867C}">
                  <a14:compatExt spid="_x0000_s13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1095375</xdr:colOff>
          <xdr:row>17</xdr:row>
          <xdr:rowOff>0</xdr:rowOff>
        </xdr:from>
        <xdr:to>
          <xdr:col>9</xdr:col>
          <xdr:colOff>9525</xdr:colOff>
          <xdr:row>17</xdr:row>
          <xdr:rowOff>342900</xdr:rowOff>
        </xdr:to>
        <xdr:sp macro="" textlink="">
          <xdr:nvSpPr>
            <xdr:cNvPr id="135173" name="Option Button 5" hidden="1">
              <a:extLst>
                <a:ext uri="{63B3BB69-23CF-44E3-9099-C40C66FF867C}">
                  <a14:compatExt spid="_x0000_s13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17</xdr:row>
          <xdr:rowOff>28575</xdr:rowOff>
        </xdr:from>
        <xdr:to>
          <xdr:col>16</xdr:col>
          <xdr:colOff>133350</xdr:colOff>
          <xdr:row>17</xdr:row>
          <xdr:rowOff>333375</xdr:rowOff>
        </xdr:to>
        <xdr:sp macro="" textlink="">
          <xdr:nvSpPr>
            <xdr:cNvPr id="135174" name="Option Button 6" hidden="1">
              <a:extLst>
                <a:ext uri="{63B3BB69-23CF-44E3-9099-C40C66FF867C}">
                  <a14:compatExt spid="_x0000_s13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3</xdr:col>
          <xdr:colOff>561975</xdr:colOff>
          <xdr:row>15</xdr:row>
          <xdr:rowOff>28575</xdr:rowOff>
        </xdr:from>
        <xdr:to>
          <xdr:col>3</xdr:col>
          <xdr:colOff>866775</xdr:colOff>
          <xdr:row>15</xdr:row>
          <xdr:rowOff>247650</xdr:rowOff>
        </xdr:to>
        <xdr:sp macro="" textlink="">
          <xdr:nvSpPr>
            <xdr:cNvPr id="139273" name="Check Box 9" hidden="1">
              <a:extLst>
                <a:ext uri="{63B3BB69-23CF-44E3-9099-C40C66FF867C}">
                  <a14:compatExt spid="_x0000_s13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xdr:row>
          <xdr:rowOff>257175</xdr:rowOff>
        </xdr:from>
        <xdr:to>
          <xdr:col>3</xdr:col>
          <xdr:colOff>866775</xdr:colOff>
          <xdr:row>12</xdr:row>
          <xdr:rowOff>0</xdr:rowOff>
        </xdr:to>
        <xdr:sp macro="" textlink="">
          <xdr:nvSpPr>
            <xdr:cNvPr id="139274" name="Check Box 10" hidden="1">
              <a:extLst>
                <a:ext uri="{63B3BB69-23CF-44E3-9099-C40C66FF867C}">
                  <a14:compatExt spid="_x0000_s13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8</xdr:row>
          <xdr:rowOff>304800</xdr:rowOff>
        </xdr:from>
        <xdr:to>
          <xdr:col>3</xdr:col>
          <xdr:colOff>866775</xdr:colOff>
          <xdr:row>9</xdr:row>
          <xdr:rowOff>400050</xdr:rowOff>
        </xdr:to>
        <xdr:sp macro="" textlink="">
          <xdr:nvSpPr>
            <xdr:cNvPr id="139275" name="Check Box 11" hidden="1">
              <a:extLst>
                <a:ext uri="{63B3BB69-23CF-44E3-9099-C40C66FF867C}">
                  <a14:compatExt spid="_x0000_s13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0</xdr:rowOff>
        </xdr:from>
        <xdr:to>
          <xdr:col>3</xdr:col>
          <xdr:colOff>866775</xdr:colOff>
          <xdr:row>13</xdr:row>
          <xdr:rowOff>0</xdr:rowOff>
        </xdr:to>
        <xdr:sp macro="" textlink="">
          <xdr:nvSpPr>
            <xdr:cNvPr id="139276" name="Check Box 12" hidden="1">
              <a:extLst>
                <a:ext uri="{63B3BB69-23CF-44E3-9099-C40C66FF867C}">
                  <a14:compatExt spid="_x0000_s13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9</xdr:row>
          <xdr:rowOff>257175</xdr:rowOff>
        </xdr:from>
        <xdr:to>
          <xdr:col>3</xdr:col>
          <xdr:colOff>866775</xdr:colOff>
          <xdr:row>9</xdr:row>
          <xdr:rowOff>695325</xdr:rowOff>
        </xdr:to>
        <xdr:sp macro="" textlink="">
          <xdr:nvSpPr>
            <xdr:cNvPr id="139277" name="Check Box 13" hidden="1">
              <a:extLst>
                <a:ext uri="{63B3BB69-23CF-44E3-9099-C40C66FF867C}">
                  <a14:compatExt spid="_x0000_s13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257175</xdr:rowOff>
        </xdr:from>
        <xdr:to>
          <xdr:col>3</xdr:col>
          <xdr:colOff>866775</xdr:colOff>
          <xdr:row>14</xdr:row>
          <xdr:rowOff>9525</xdr:rowOff>
        </xdr:to>
        <xdr:sp macro="" textlink="">
          <xdr:nvSpPr>
            <xdr:cNvPr id="139278" name="Check Box 14" hidden="1">
              <a:extLst>
                <a:ext uri="{63B3BB69-23CF-44E3-9099-C40C66FF867C}">
                  <a14:compatExt spid="_x0000_s13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13</xdr:row>
          <xdr:rowOff>238125</xdr:rowOff>
        </xdr:from>
        <xdr:to>
          <xdr:col>3</xdr:col>
          <xdr:colOff>866775</xdr:colOff>
          <xdr:row>14</xdr:row>
          <xdr:rowOff>257175</xdr:rowOff>
        </xdr:to>
        <xdr:sp macro="" textlink="">
          <xdr:nvSpPr>
            <xdr:cNvPr id="139281" name="Check Box 17" hidden="1">
              <a:extLst>
                <a:ext uri="{63B3BB69-23CF-44E3-9099-C40C66FF867C}">
                  <a14:compatExt spid="_x0000_s13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18</xdr:row>
          <xdr:rowOff>38100</xdr:rowOff>
        </xdr:from>
        <xdr:to>
          <xdr:col>3</xdr:col>
          <xdr:colOff>876300</xdr:colOff>
          <xdr:row>18</xdr:row>
          <xdr:rowOff>257175</xdr:rowOff>
        </xdr:to>
        <xdr:sp macro="" textlink="">
          <xdr:nvSpPr>
            <xdr:cNvPr id="139289" name="Check Box 25" hidden="1">
              <a:extLst>
                <a:ext uri="{63B3BB69-23CF-44E3-9099-C40C66FF867C}">
                  <a14:compatExt spid="_x0000_s13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57150</xdr:rowOff>
        </xdr:from>
        <xdr:to>
          <xdr:col>3</xdr:col>
          <xdr:colOff>800100</xdr:colOff>
          <xdr:row>20</xdr:row>
          <xdr:rowOff>19050</xdr:rowOff>
        </xdr:to>
        <xdr:sp macro="" textlink="">
          <xdr:nvSpPr>
            <xdr:cNvPr id="139290" name="Check Box 26" hidden="1">
              <a:extLst>
                <a:ext uri="{63B3BB69-23CF-44E3-9099-C40C66FF867C}">
                  <a14:compatExt spid="_x0000_s13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47625</xdr:rowOff>
        </xdr:from>
        <xdr:to>
          <xdr:col>3</xdr:col>
          <xdr:colOff>876300</xdr:colOff>
          <xdr:row>21</xdr:row>
          <xdr:rowOff>0</xdr:rowOff>
        </xdr:to>
        <xdr:sp macro="" textlink="">
          <xdr:nvSpPr>
            <xdr:cNvPr id="139291" name="Check Box 27" hidden="1">
              <a:extLst>
                <a:ext uri="{63B3BB69-23CF-44E3-9099-C40C66FF867C}">
                  <a14:compatExt spid="_x0000_s13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17</xdr:row>
          <xdr:rowOff>190500</xdr:rowOff>
        </xdr:from>
        <xdr:to>
          <xdr:col>6</xdr:col>
          <xdr:colOff>1047750</xdr:colOff>
          <xdr:row>21</xdr:row>
          <xdr:rowOff>19050</xdr:rowOff>
        </xdr:to>
        <xdr:sp macro="" textlink="">
          <xdr:nvSpPr>
            <xdr:cNvPr id="139292" name="Group Box 28" hidden="1">
              <a:extLst>
                <a:ext uri="{63B3BB69-23CF-44E3-9099-C40C66FF867C}">
                  <a14:compatExt spid="_x0000_s1392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18</xdr:row>
          <xdr:rowOff>9525</xdr:rowOff>
        </xdr:from>
        <xdr:to>
          <xdr:col>6</xdr:col>
          <xdr:colOff>1019175</xdr:colOff>
          <xdr:row>18</xdr:row>
          <xdr:rowOff>247650</xdr:rowOff>
        </xdr:to>
        <xdr:sp macro="" textlink="">
          <xdr:nvSpPr>
            <xdr:cNvPr id="139295" name="Option Button 31" hidden="1">
              <a:extLst>
                <a:ext uri="{63B3BB69-23CF-44E3-9099-C40C66FF867C}">
                  <a14:compatExt spid="_x0000_s139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18</xdr:row>
          <xdr:rowOff>257175</xdr:rowOff>
        </xdr:from>
        <xdr:to>
          <xdr:col>6</xdr:col>
          <xdr:colOff>1019175</xdr:colOff>
          <xdr:row>20</xdr:row>
          <xdr:rowOff>9525</xdr:rowOff>
        </xdr:to>
        <xdr:sp macro="" textlink="">
          <xdr:nvSpPr>
            <xdr:cNvPr id="139296" name="Option Button 32" hidden="1">
              <a:extLst>
                <a:ext uri="{63B3BB69-23CF-44E3-9099-C40C66FF867C}">
                  <a14:compatExt spid="_x0000_s139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20</xdr:row>
          <xdr:rowOff>28575</xdr:rowOff>
        </xdr:from>
        <xdr:to>
          <xdr:col>6</xdr:col>
          <xdr:colOff>962025</xdr:colOff>
          <xdr:row>20</xdr:row>
          <xdr:rowOff>219075</xdr:rowOff>
        </xdr:to>
        <xdr:sp macro="" textlink="">
          <xdr:nvSpPr>
            <xdr:cNvPr id="139298" name="Option Button 34" hidden="1">
              <a:extLst>
                <a:ext uri="{63B3BB69-23CF-44E3-9099-C40C66FF867C}">
                  <a14:compatExt spid="_x0000_s13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39</xdr:row>
          <xdr:rowOff>409575</xdr:rowOff>
        </xdr:from>
        <xdr:to>
          <xdr:col>3</xdr:col>
          <xdr:colOff>609600</xdr:colOff>
          <xdr:row>41</xdr:row>
          <xdr:rowOff>47625</xdr:rowOff>
        </xdr:to>
        <xdr:sp macro="" textlink="">
          <xdr:nvSpPr>
            <xdr:cNvPr id="139299" name="Check Box 35" hidden="1">
              <a:extLst>
                <a:ext uri="{63B3BB69-23CF-44E3-9099-C40C66FF867C}">
                  <a14:compatExt spid="_x0000_s13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40</xdr:row>
          <xdr:rowOff>190500</xdr:rowOff>
        </xdr:from>
        <xdr:to>
          <xdr:col>3</xdr:col>
          <xdr:colOff>609600</xdr:colOff>
          <xdr:row>42</xdr:row>
          <xdr:rowOff>47625</xdr:rowOff>
        </xdr:to>
        <xdr:sp macro="" textlink="">
          <xdr:nvSpPr>
            <xdr:cNvPr id="139300" name="Check Box 36" hidden="1">
              <a:extLst>
                <a:ext uri="{63B3BB69-23CF-44E3-9099-C40C66FF867C}">
                  <a14:compatExt spid="_x0000_s13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41</xdr:row>
          <xdr:rowOff>180975</xdr:rowOff>
        </xdr:from>
        <xdr:to>
          <xdr:col>3</xdr:col>
          <xdr:colOff>609600</xdr:colOff>
          <xdr:row>43</xdr:row>
          <xdr:rowOff>38100</xdr:rowOff>
        </xdr:to>
        <xdr:sp macro="" textlink="">
          <xdr:nvSpPr>
            <xdr:cNvPr id="139301" name="Check Box 37" hidden="1">
              <a:extLst>
                <a:ext uri="{63B3BB69-23CF-44E3-9099-C40C66FF867C}">
                  <a14:compatExt spid="_x0000_s13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42</xdr:row>
          <xdr:rowOff>180975</xdr:rowOff>
        </xdr:from>
        <xdr:to>
          <xdr:col>3</xdr:col>
          <xdr:colOff>609600</xdr:colOff>
          <xdr:row>44</xdr:row>
          <xdr:rowOff>38100</xdr:rowOff>
        </xdr:to>
        <xdr:sp macro="" textlink="">
          <xdr:nvSpPr>
            <xdr:cNvPr id="139302" name="Check Box 38" hidden="1">
              <a:extLst>
                <a:ext uri="{63B3BB69-23CF-44E3-9099-C40C66FF867C}">
                  <a14:compatExt spid="_x0000_s13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40</xdr:row>
          <xdr:rowOff>9525</xdr:rowOff>
        </xdr:from>
        <xdr:to>
          <xdr:col>6</xdr:col>
          <xdr:colOff>66675</xdr:colOff>
          <xdr:row>41</xdr:row>
          <xdr:rowOff>28575</xdr:rowOff>
        </xdr:to>
        <xdr:sp macro="" textlink="">
          <xdr:nvSpPr>
            <xdr:cNvPr id="139303" name="Check Box 39" hidden="1">
              <a:extLst>
                <a:ext uri="{63B3BB69-23CF-44E3-9099-C40C66FF867C}">
                  <a14:compatExt spid="_x0000_s13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41</xdr:row>
          <xdr:rowOff>9525</xdr:rowOff>
        </xdr:from>
        <xdr:to>
          <xdr:col>6</xdr:col>
          <xdr:colOff>66675</xdr:colOff>
          <xdr:row>42</xdr:row>
          <xdr:rowOff>28575</xdr:rowOff>
        </xdr:to>
        <xdr:sp macro="" textlink="">
          <xdr:nvSpPr>
            <xdr:cNvPr id="139304" name="Check Box 40" hidden="1">
              <a:extLst>
                <a:ext uri="{63B3BB69-23CF-44E3-9099-C40C66FF867C}">
                  <a14:compatExt spid="_x0000_s13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42</xdr:row>
          <xdr:rowOff>0</xdr:rowOff>
        </xdr:from>
        <xdr:to>
          <xdr:col>6</xdr:col>
          <xdr:colOff>66675</xdr:colOff>
          <xdr:row>43</xdr:row>
          <xdr:rowOff>19050</xdr:rowOff>
        </xdr:to>
        <xdr:sp macro="" textlink="">
          <xdr:nvSpPr>
            <xdr:cNvPr id="139305" name="Check Box 41" hidden="1">
              <a:extLst>
                <a:ext uri="{63B3BB69-23CF-44E3-9099-C40C66FF867C}">
                  <a14:compatExt spid="_x0000_s139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43</xdr:row>
          <xdr:rowOff>0</xdr:rowOff>
        </xdr:from>
        <xdr:to>
          <xdr:col>6</xdr:col>
          <xdr:colOff>66675</xdr:colOff>
          <xdr:row>44</xdr:row>
          <xdr:rowOff>19050</xdr:rowOff>
        </xdr:to>
        <xdr:sp macro="" textlink="">
          <xdr:nvSpPr>
            <xdr:cNvPr id="139306" name="Check Box 42" hidden="1">
              <a:extLst>
                <a:ext uri="{63B3BB69-23CF-44E3-9099-C40C66FF867C}">
                  <a14:compatExt spid="_x0000_s139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40</xdr:row>
          <xdr:rowOff>28575</xdr:rowOff>
        </xdr:from>
        <xdr:to>
          <xdr:col>9</xdr:col>
          <xdr:colOff>38100</xdr:colOff>
          <xdr:row>41</xdr:row>
          <xdr:rowOff>47625</xdr:rowOff>
        </xdr:to>
        <xdr:sp macro="" textlink="">
          <xdr:nvSpPr>
            <xdr:cNvPr id="139307" name="Check Box 43" hidden="1">
              <a:extLst>
                <a:ext uri="{63B3BB69-23CF-44E3-9099-C40C66FF867C}">
                  <a14:compatExt spid="_x0000_s139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41</xdr:row>
          <xdr:rowOff>9525</xdr:rowOff>
        </xdr:from>
        <xdr:to>
          <xdr:col>9</xdr:col>
          <xdr:colOff>38100</xdr:colOff>
          <xdr:row>42</xdr:row>
          <xdr:rowOff>28575</xdr:rowOff>
        </xdr:to>
        <xdr:sp macro="" textlink="">
          <xdr:nvSpPr>
            <xdr:cNvPr id="139308" name="Check Box 44" hidden="1">
              <a:extLst>
                <a:ext uri="{63B3BB69-23CF-44E3-9099-C40C66FF867C}">
                  <a14:compatExt spid="_x0000_s139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41</xdr:row>
          <xdr:rowOff>190500</xdr:rowOff>
        </xdr:from>
        <xdr:to>
          <xdr:col>9</xdr:col>
          <xdr:colOff>38100</xdr:colOff>
          <xdr:row>43</xdr:row>
          <xdr:rowOff>9525</xdr:rowOff>
        </xdr:to>
        <xdr:sp macro="" textlink="">
          <xdr:nvSpPr>
            <xdr:cNvPr id="139309" name="Check Box 45" hidden="1">
              <a:extLst>
                <a:ext uri="{63B3BB69-23CF-44E3-9099-C40C66FF867C}">
                  <a14:compatExt spid="_x0000_s139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42</xdr:row>
          <xdr:rowOff>171450</xdr:rowOff>
        </xdr:from>
        <xdr:to>
          <xdr:col>9</xdr:col>
          <xdr:colOff>38100</xdr:colOff>
          <xdr:row>43</xdr:row>
          <xdr:rowOff>190500</xdr:rowOff>
        </xdr:to>
        <xdr:sp macro="" textlink="">
          <xdr:nvSpPr>
            <xdr:cNvPr id="139310" name="Check Box 46" hidden="1">
              <a:extLst>
                <a:ext uri="{63B3BB69-23CF-44E3-9099-C40C66FF867C}">
                  <a14:compatExt spid="_x0000_s139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1" name="Table1" displayName="Table1" ref="A2:AH421" totalsRowShown="0" headerRowDxfId="415">
  <autoFilter ref="A2:AH421"/>
  <tableColumns count="34">
    <tableColumn id="1" name="Version" dataDxfId="414"/>
    <tableColumn id="2" name="Error ID" dataDxfId="413"/>
    <tableColumn id="3" name="Date" dataDxfId="412"/>
    <tableColumn id="4" name="Staff"/>
    <tableColumn id="5" name="Worksheet"/>
    <tableColumn id="6" name="Cell" dataDxfId="411"/>
    <tableColumn id="7" name="Problem" dataDxfId="410"/>
    <tableColumn id="8" name="Solution" dataDxfId="409"/>
    <tableColumn id="9" name="Date2" dataDxfId="408"/>
    <tableColumn id="10" name="Base" dataDxfId="407"/>
    <tableColumn id="11" name="All" dataDxfId="406"/>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405"/>
    <tableColumn id="32" name="21" dataDxfId="404"/>
    <tableColumn id="33" name="22" dataDxfId="403"/>
    <tableColumn id="34" name="23" dataDxfId="402"/>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8.vml"/><Relationship Id="rId7" Type="http://schemas.openxmlformats.org/officeDocument/2006/relationships/ctrlProp" Target="../ctrlProps/ctrlProp17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74.xml"/><Relationship Id="rId5" Type="http://schemas.openxmlformats.org/officeDocument/2006/relationships/ctrlProp" Target="../ctrlProps/ctrlProp173.xml"/><Relationship Id="rId10" Type="http://schemas.openxmlformats.org/officeDocument/2006/relationships/comments" Target="../comments8.xml"/><Relationship Id="rId4" Type="http://schemas.openxmlformats.org/officeDocument/2006/relationships/ctrlProp" Target="../ctrlProps/ctrlProp172.xml"/><Relationship Id="rId9" Type="http://schemas.openxmlformats.org/officeDocument/2006/relationships/ctrlProp" Target="../ctrlProps/ctrlProp17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 Type="http://schemas.openxmlformats.org/officeDocument/2006/relationships/drawing" Target="../drawings/drawing9.x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printerSettings" Target="../printerSettings/printerSettings9.bin"/><Relationship Id="rId16" Type="http://schemas.openxmlformats.org/officeDocument/2006/relationships/ctrlProp" Target="../ctrlProps/ctrlProp189.xml"/><Relationship Id="rId20" Type="http://schemas.openxmlformats.org/officeDocument/2006/relationships/ctrlProp" Target="../ctrlProps/ctrlProp193.xml"/><Relationship Id="rId29" Type="http://schemas.openxmlformats.org/officeDocument/2006/relationships/ctrlProp" Target="../ctrlProps/ctrlProp202.xml"/><Relationship Id="rId1" Type="http://schemas.openxmlformats.org/officeDocument/2006/relationships/hyperlink" Target="http://www.oregonlaws.org/ors/291.055" TargetMode="External"/><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trlProp" Target="../ctrlProps/ctrlProp178.xml"/><Relationship Id="rId15" Type="http://schemas.openxmlformats.org/officeDocument/2006/relationships/ctrlProp" Target="../ctrlProps/ctrlProp188.xml"/><Relationship Id="rId23" Type="http://schemas.openxmlformats.org/officeDocument/2006/relationships/ctrlProp" Target="../ctrlProps/ctrlProp196.xml"/><Relationship Id="rId28" Type="http://schemas.openxmlformats.org/officeDocument/2006/relationships/ctrlProp" Target="../ctrlProps/ctrlProp201.xml"/><Relationship Id="rId10" Type="http://schemas.openxmlformats.org/officeDocument/2006/relationships/ctrlProp" Target="../ctrlProps/ctrlProp183.xml"/><Relationship Id="rId19" Type="http://schemas.openxmlformats.org/officeDocument/2006/relationships/ctrlProp" Target="../ctrlProps/ctrlProp192.xml"/><Relationship Id="rId31" Type="http://schemas.openxmlformats.org/officeDocument/2006/relationships/comments" Target="../comments9.xml"/><Relationship Id="rId4" Type="http://schemas.openxmlformats.org/officeDocument/2006/relationships/vmlDrawing" Target="../drawings/vmlDrawing9.v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 Id="rId27" Type="http://schemas.openxmlformats.org/officeDocument/2006/relationships/ctrlProp" Target="../ctrlProps/ctrlProp200.xml"/><Relationship Id="rId30" Type="http://schemas.openxmlformats.org/officeDocument/2006/relationships/ctrlProp" Target="../ctrlProps/ctrlProp20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07.xml"/><Relationship Id="rId3" Type="http://schemas.openxmlformats.org/officeDocument/2006/relationships/drawing" Target="../drawings/drawing10.xml"/><Relationship Id="rId7" Type="http://schemas.openxmlformats.org/officeDocument/2006/relationships/ctrlProp" Target="../ctrlProps/ctrlProp206.xml"/><Relationship Id="rId12" Type="http://schemas.openxmlformats.org/officeDocument/2006/relationships/comments" Target="../comments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trlProp" Target="../ctrlProps/ctrlProp204.xml"/><Relationship Id="rId10" Type="http://schemas.openxmlformats.org/officeDocument/2006/relationships/ctrlProp" Target="../ctrlProps/ctrlProp209.xml"/><Relationship Id="rId4" Type="http://schemas.openxmlformats.org/officeDocument/2006/relationships/vmlDrawing" Target="../drawings/vmlDrawing10.vml"/><Relationship Id="rId9" Type="http://schemas.openxmlformats.org/officeDocument/2006/relationships/ctrlProp" Target="../ctrlProps/ctrlProp20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11.vml"/><Relationship Id="rId7" Type="http://schemas.openxmlformats.org/officeDocument/2006/relationships/ctrlProp" Target="../ctrlProps/ctrlProp214.xml"/><Relationship Id="rId12" Type="http://schemas.openxmlformats.org/officeDocument/2006/relationships/ctrlProp" Target="../ctrlProps/ctrlProp219.xml"/><Relationship Id="rId2" Type="http://schemas.openxmlformats.org/officeDocument/2006/relationships/drawing" Target="../drawings/drawing11.xml"/><Relationship Id="rId16" Type="http://schemas.openxmlformats.org/officeDocument/2006/relationships/comments" Target="../comments11.xml"/><Relationship Id="rId1" Type="http://schemas.openxmlformats.org/officeDocument/2006/relationships/printerSettings" Target="../printerSettings/printerSettings11.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5" Type="http://schemas.openxmlformats.org/officeDocument/2006/relationships/ctrlProp" Target="../ctrlProps/ctrlProp222.xml"/><Relationship Id="rId10" Type="http://schemas.openxmlformats.org/officeDocument/2006/relationships/ctrlProp" Target="../ctrlProps/ctrlProp217.xml"/><Relationship Id="rId4" Type="http://schemas.openxmlformats.org/officeDocument/2006/relationships/ctrlProp" Target="../ctrlProps/ctrlProp211.xml"/><Relationship Id="rId9" Type="http://schemas.openxmlformats.org/officeDocument/2006/relationships/ctrlProp" Target="../ctrlProps/ctrlProp216.xml"/><Relationship Id="rId14" Type="http://schemas.openxmlformats.org/officeDocument/2006/relationships/ctrlProp" Target="../ctrlProps/ctrlProp22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27.xml"/><Relationship Id="rId3" Type="http://schemas.openxmlformats.org/officeDocument/2006/relationships/vmlDrawing" Target="../drawings/vmlDrawing12.vml"/><Relationship Id="rId7" Type="http://schemas.openxmlformats.org/officeDocument/2006/relationships/ctrlProp" Target="../ctrlProps/ctrlProp226.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225.xml"/><Relationship Id="rId11" Type="http://schemas.openxmlformats.org/officeDocument/2006/relationships/comments" Target="../comments12.xml"/><Relationship Id="rId5" Type="http://schemas.openxmlformats.org/officeDocument/2006/relationships/ctrlProp" Target="../ctrlProps/ctrlProp224.xml"/><Relationship Id="rId10" Type="http://schemas.openxmlformats.org/officeDocument/2006/relationships/ctrlProp" Target="../ctrlProps/ctrlProp229.xml"/><Relationship Id="rId4" Type="http://schemas.openxmlformats.org/officeDocument/2006/relationships/ctrlProp" Target="../ctrlProps/ctrlProp223.xml"/><Relationship Id="rId9" Type="http://schemas.openxmlformats.org/officeDocument/2006/relationships/ctrlProp" Target="../ctrlProps/ctrlProp22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mments" Target="../comments13.xml"/><Relationship Id="rId5" Type="http://schemas.openxmlformats.org/officeDocument/2006/relationships/ctrlProp" Target="../ctrlProps/ctrlProp231.xml"/><Relationship Id="rId4" Type="http://schemas.openxmlformats.org/officeDocument/2006/relationships/ctrlProp" Target="../ctrlProps/ctrlProp23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omments" Target="../comments14.xml"/><Relationship Id="rId5" Type="http://schemas.openxmlformats.org/officeDocument/2006/relationships/ctrlProp" Target="../ctrlProps/ctrlProp233.xml"/><Relationship Id="rId4" Type="http://schemas.openxmlformats.org/officeDocument/2006/relationships/ctrlProp" Target="../ctrlProps/ctrlProp23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drawing" Target="../drawings/drawing4.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omments" Target="../comments4.xml"/><Relationship Id="rId1" Type="http://schemas.openxmlformats.org/officeDocument/2006/relationships/hyperlink" Target="http://office.microsoft.com/en-us/excel-help/insert-bullets-in-a-worksheet-HP001174202.aspx"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2" Type="http://schemas.openxmlformats.org/officeDocument/2006/relationships/hyperlink" Target="http://www.leg.state.or.us/ors/183.html" TargetMode="Externa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54" Type="http://schemas.openxmlformats.org/officeDocument/2006/relationships/ctrlProp" Target="../ctrlProps/ctrlProp127.xml"/><Relationship Id="rId1" Type="http://schemas.openxmlformats.org/officeDocument/2006/relationships/hyperlink" Target="http://deq05/intranet/communication/publicinvolvement/acguide/acguide.htm" TargetMode="External"/><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 Type="http://schemas.openxmlformats.org/officeDocument/2006/relationships/vmlDrawing" Target="../drawings/vmlDrawing5.v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4" Type="http://schemas.openxmlformats.org/officeDocument/2006/relationships/drawing" Target="../drawings/drawing5.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56" Type="http://schemas.openxmlformats.org/officeDocument/2006/relationships/comments" Target="../comments5.xml"/><Relationship Id="rId8" Type="http://schemas.openxmlformats.org/officeDocument/2006/relationships/ctrlProp" Target="../ctrlProps/ctrlProp81.xml"/><Relationship Id="rId51" Type="http://schemas.openxmlformats.org/officeDocument/2006/relationships/ctrlProp" Target="../ctrlProps/ctrlProp124.xml"/><Relationship Id="rId3"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3" Type="http://schemas.openxmlformats.org/officeDocument/2006/relationships/vmlDrawing" Target="../drawings/vmlDrawing6.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6.xml"/><Relationship Id="rId16" Type="http://schemas.openxmlformats.org/officeDocument/2006/relationships/ctrlProp" Target="../ctrlProps/ctrlProp141.xml"/><Relationship Id="rId1" Type="http://schemas.openxmlformats.org/officeDocument/2006/relationships/printerSettings" Target="../printerSettings/printerSettings6.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19" Type="http://schemas.openxmlformats.org/officeDocument/2006/relationships/comments" Target="../comments6.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44.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hyperlink" Target="http://nepis.epa.gov/Adobe/PDF/P1008YOS.pdf" TargetMode="External"/><Relationship Id="rId21" Type="http://schemas.openxmlformats.org/officeDocument/2006/relationships/ctrlProp" Target="../ctrlProps/ctrlProp157.xml"/><Relationship Id="rId34" Type="http://schemas.openxmlformats.org/officeDocument/2006/relationships/ctrlProp" Target="../ctrlProps/ctrlProp170.xml"/><Relationship Id="rId7" Type="http://schemas.openxmlformats.org/officeDocument/2006/relationships/vmlDrawing" Target="../drawings/vmlDrawing7.v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2" Type="http://schemas.openxmlformats.org/officeDocument/2006/relationships/hyperlink" Target="http://www.naturalstep.org/the-system-conditions" TargetMode="Externa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5" Type="http://schemas.openxmlformats.org/officeDocument/2006/relationships/printerSettings" Target="../printerSettings/printerSettings7.bin"/><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omments" Target="../comments7.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hyperlink" Target="http://www.deq.state.or.us/about/envjustice.htm" TargetMode="Externa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 Id="rId35" Type="http://schemas.openxmlformats.org/officeDocument/2006/relationships/ctrlProp" Target="../ctrlProps/ctrlProp17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F29"/>
  <sheetViews>
    <sheetView showGridLines="0" topLeftCell="A31" workbookViewId="0">
      <selection activeCell="F17" sqref="F17:H17"/>
    </sheetView>
  </sheetViews>
  <sheetFormatPr defaultColWidth="9"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4" t="s">
        <v>101</v>
      </c>
      <c r="E2" s="1394"/>
      <c r="F2" s="1394"/>
      <c r="G2" s="1381" t="str">
        <f>C.2Name</f>
        <v>2012 PM 2.5 Annual NAAQS Infrastructure SIP, and Interstate Transport Submittal for PM 2.5, Pb, SO2, NO2</v>
      </c>
      <c r="H2" s="1381"/>
      <c r="I2" s="1381"/>
      <c r="J2" s="1381"/>
      <c r="K2" s="1381"/>
      <c r="L2" s="1381"/>
      <c r="M2" s="1381"/>
      <c r="N2" s="1381"/>
      <c r="O2" s="1381"/>
      <c r="P2" s="1381"/>
      <c r="Q2" s="1381"/>
      <c r="R2" s="1381"/>
      <c r="S2" s="1381"/>
      <c r="T2" s="1381"/>
      <c r="U2" s="1103"/>
      <c r="V2" s="563"/>
      <c r="W2" s="180" t="s">
        <v>0</v>
      </c>
      <c r="X2" s="159"/>
      <c r="Y2" s="68"/>
      <c r="Z2" s="68"/>
      <c r="AA2" s="147"/>
      <c r="AB2" s="844"/>
      <c r="AC2" s="844"/>
      <c r="AD2" s="844"/>
      <c r="AE2" s="147"/>
    </row>
    <row r="3" spans="1:31" s="66" customFormat="1" ht="12.75" customHeight="1" thickTop="1">
      <c r="A3" s="601"/>
      <c r="B3" s="563"/>
      <c r="C3" s="1382"/>
      <c r="D3" s="1383"/>
      <c r="E3" s="1383"/>
      <c r="F3" s="1383"/>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7" t="s">
        <v>1027</v>
      </c>
      <c r="E4" s="1407"/>
      <c r="F4" s="1407"/>
      <c r="G4" s="1407"/>
      <c r="H4" s="1407"/>
      <c r="I4" s="1407"/>
      <c r="J4" s="1407"/>
      <c r="K4" s="1407"/>
      <c r="L4" s="1407"/>
      <c r="M4" s="1407"/>
      <c r="N4" s="1407"/>
      <c r="O4" s="1407"/>
      <c r="P4" s="1407"/>
      <c r="Q4" s="1407"/>
      <c r="R4" s="1407"/>
      <c r="S4" s="1407"/>
      <c r="T4" s="1407"/>
      <c r="U4" s="206"/>
      <c r="V4" s="563"/>
      <c r="W4" s="161"/>
      <c r="X4" s="161"/>
      <c r="Y4" s="146"/>
      <c r="Z4" s="146"/>
      <c r="AA4" s="146"/>
      <c r="AB4" s="146"/>
      <c r="AC4" s="146"/>
      <c r="AD4" s="146"/>
      <c r="AE4" s="146"/>
    </row>
    <row r="5" spans="1:31" s="66" customFormat="1" ht="15.75" customHeight="1">
      <c r="A5" s="601"/>
      <c r="B5" s="563"/>
      <c r="C5" s="202"/>
      <c r="D5" s="1408" t="s">
        <v>1072</v>
      </c>
      <c r="E5" s="1409"/>
      <c r="F5" s="1409"/>
      <c r="G5" s="1409"/>
      <c r="H5" s="1409"/>
      <c r="I5" s="1409"/>
      <c r="J5" s="1409"/>
      <c r="K5" s="1409"/>
      <c r="L5" s="1409"/>
      <c r="M5" s="1409"/>
      <c r="N5" s="1409"/>
      <c r="O5" s="1409"/>
      <c r="P5" s="1409"/>
      <c r="Q5" s="1409"/>
      <c r="R5" s="1409"/>
      <c r="S5" s="1409"/>
      <c r="T5" s="1410"/>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3" t="s">
        <v>542</v>
      </c>
      <c r="G7" s="1413"/>
      <c r="H7" s="1413"/>
      <c r="I7" s="1413"/>
      <c r="J7" s="1413"/>
      <c r="K7" s="1413"/>
      <c r="L7" s="1413"/>
      <c r="M7" s="1413"/>
      <c r="N7" s="1413"/>
      <c r="O7" s="1413"/>
      <c r="P7" s="1413"/>
      <c r="Q7" s="1413"/>
      <c r="R7" s="1413"/>
      <c r="S7" s="1413"/>
      <c r="T7" s="1413"/>
      <c r="U7" s="206"/>
      <c r="V7" s="851"/>
      <c r="W7" s="1017"/>
      <c r="X7" s="846"/>
      <c r="Y7" s="38"/>
      <c r="Z7" s="38"/>
      <c r="AA7" s="38"/>
      <c r="AB7" s="38"/>
      <c r="AC7" s="38"/>
      <c r="AD7" s="38"/>
      <c r="AE7" s="226"/>
    </row>
    <row r="8" spans="1:31" s="843" customFormat="1" ht="33.75" customHeight="1">
      <c r="A8" s="852"/>
      <c r="B8" s="851"/>
      <c r="C8" s="202"/>
      <c r="D8" s="657"/>
      <c r="E8" s="1115"/>
      <c r="F8" s="1413"/>
      <c r="G8" s="1413"/>
      <c r="H8" s="1413"/>
      <c r="I8" s="1413"/>
      <c r="J8" s="1413"/>
      <c r="K8" s="1413"/>
      <c r="L8" s="1413"/>
      <c r="M8" s="1413"/>
      <c r="N8" s="1413"/>
      <c r="O8" s="1413"/>
      <c r="P8" s="1413"/>
      <c r="Q8" s="1413"/>
      <c r="R8" s="1413"/>
      <c r="S8" s="1413"/>
      <c r="T8" s="1413"/>
      <c r="U8" s="206"/>
      <c r="V8" s="851"/>
      <c r="W8" s="1017"/>
      <c r="X8" s="846"/>
      <c r="Y8" s="38"/>
      <c r="Z8" s="38"/>
      <c r="AA8" s="38"/>
      <c r="AB8" s="38"/>
      <c r="AC8" s="38"/>
      <c r="AD8" s="38"/>
      <c r="AE8" s="226"/>
    </row>
    <row r="9" spans="1:31" s="66" customFormat="1" ht="24" customHeight="1">
      <c r="A9" s="601"/>
      <c r="B9" s="563"/>
      <c r="C9" s="202"/>
      <c r="D9" s="120"/>
      <c r="E9" s="114"/>
      <c r="F9" s="1416" t="s">
        <v>249</v>
      </c>
      <c r="G9" s="1416"/>
      <c r="H9" s="1416" t="s">
        <v>250</v>
      </c>
      <c r="I9" s="1416"/>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4" t="s">
        <v>54</v>
      </c>
      <c r="E11" s="1414"/>
      <c r="F11" s="242">
        <v>2014</v>
      </c>
      <c r="G11" s="243">
        <v>3</v>
      </c>
      <c r="H11" s="236"/>
      <c r="I11" s="236"/>
      <c r="K11" s="373"/>
      <c r="L11" s="373"/>
      <c r="M11" s="373"/>
      <c r="N11" s="373"/>
      <c r="O11" s="373"/>
      <c r="P11" s="373"/>
      <c r="Q11" s="373"/>
      <c r="R11" s="373"/>
      <c r="S11" s="373"/>
      <c r="T11" s="373"/>
      <c r="U11" s="206"/>
      <c r="V11" s="563"/>
      <c r="W11" s="1091" t="s">
        <v>790</v>
      </c>
      <c r="X11" s="161"/>
      <c r="Y11" s="1015" t="str">
        <f>C.6SStartYr &amp;"-Q"&amp;C.6SStartQtr</f>
        <v>2014-Q3</v>
      </c>
      <c r="Z11" s="1030">
        <f>IF(AND(ISODD(C.6SStartYr),C.6SStartQtr&lt;3),7,IF(AND(ISEVEN(C.6SStartYr),C.6SStartQtr=1),7,0))</f>
        <v>0</v>
      </c>
      <c r="AA11" s="235" t="s">
        <v>0</v>
      </c>
      <c r="AB11" s="235"/>
      <c r="AC11" s="235"/>
      <c r="AD11" s="235"/>
      <c r="AE11" s="127"/>
    </row>
    <row r="12" spans="1:31" s="66" customFormat="1" ht="15.75" customHeight="1">
      <c r="A12" s="601"/>
      <c r="B12" s="563"/>
      <c r="C12" s="202"/>
      <c r="D12" s="1414" t="s">
        <v>211</v>
      </c>
      <c r="E12" s="1414"/>
      <c r="F12" s="242">
        <v>2014</v>
      </c>
      <c r="G12" s="243">
        <v>3</v>
      </c>
      <c r="H12" s="1032">
        <v>2014</v>
      </c>
      <c r="I12" s="243">
        <v>1</v>
      </c>
      <c r="J12" s="1417" t="str">
        <f>IF(AD12="not involved",AD12,"")</f>
        <v>not involved</v>
      </c>
      <c r="K12" s="1418"/>
      <c r="L12" s="1418"/>
      <c r="M12" s="1418"/>
      <c r="N12" s="1418"/>
      <c r="O12" s="1418"/>
      <c r="P12" s="1418"/>
      <c r="Q12" s="1418"/>
      <c r="R12" s="1418"/>
      <c r="S12" s="1418"/>
      <c r="T12" s="1418"/>
      <c r="U12" s="875"/>
      <c r="V12" s="563"/>
      <c r="W12" s="1091" t="s">
        <v>790</v>
      </c>
      <c r="X12" s="161"/>
      <c r="Y12" s="1027" t="str">
        <f>C.6SACStartYr&amp;"-Q"&amp;C.6SACStartQtr</f>
        <v>2014-Q3</v>
      </c>
      <c r="Z12" s="1030">
        <f>IF(AND(ISODD(C.6SACStartYr),C.6SACStartQtr&lt;3),7,IF(AND(ISEVEN(C.6SACStartYr),C.6SACStartQtr=1),7,0))</f>
        <v>0</v>
      </c>
      <c r="AA12" s="1028" t="str">
        <f>C.6SACEndYr&amp;"-Q"&amp;C.7SACEndQtr</f>
        <v>2014-Q1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End date is out of sequence.</v>
      </c>
    </row>
    <row r="13" spans="1:31" s="66" customFormat="1" ht="15.75" customHeight="1">
      <c r="A13" s="601"/>
      <c r="B13" s="563"/>
      <c r="C13" s="202"/>
      <c r="D13" s="1414" t="s">
        <v>513</v>
      </c>
      <c r="E13" s="1414"/>
      <c r="F13" s="242">
        <v>2014</v>
      </c>
      <c r="G13" s="243">
        <v>4</v>
      </c>
      <c r="H13" s="1032">
        <v>2015</v>
      </c>
      <c r="I13" s="243">
        <v>1</v>
      </c>
      <c r="J13" s="1417" t="str">
        <f>IF(AD13="not involved",AD13,"")</f>
        <v/>
      </c>
      <c r="K13" s="1418"/>
      <c r="L13" s="1418"/>
      <c r="M13" s="1418"/>
      <c r="N13" s="1418"/>
      <c r="O13" s="1418"/>
      <c r="P13" s="1418"/>
      <c r="Q13" s="1418"/>
      <c r="R13" s="1418"/>
      <c r="S13" s="1418"/>
      <c r="T13" s="1418"/>
      <c r="U13" s="875"/>
      <c r="V13" s="563"/>
      <c r="W13" s="1091" t="s">
        <v>790</v>
      </c>
      <c r="X13" s="161"/>
      <c r="Y13" s="1027" t="str">
        <f>C.6SNoticeStartYr&amp;"-Q"&amp;C.6SNoticeStartQtr</f>
        <v>2014-Q4</v>
      </c>
      <c r="Z13" s="1030">
        <f>IF(AND(ISODD(C.6SNoticeStartYr),C.6SNoticeStartQtr&lt;3),7,IF(AND(ISEVEN(C.6SNoticeStartYr),C.6SNoticeStartQtr=1),7,0))</f>
        <v>0</v>
      </c>
      <c r="AA13" s="1029" t="str">
        <f>C.6SNoticeEndYr&amp;"-Q"&amp;C.6SNoticeEndQtr</f>
        <v>2015-Q1</v>
      </c>
      <c r="AB13" s="1030">
        <f>IF(AND(ISODD(C.6SNoticeEndYr),C.6SNoticeEndQtr&lt;3),7,IF(AND(ISEVEN(C.6SNoticeEndYr),C.6SNoticeEndQtr=1),7,0))</f>
        <v>7</v>
      </c>
      <c r="AC13" s="1030">
        <f>IF(C.6SNoticeEndYr-C.6SNoticeStartYr&gt;0,7,0)</f>
        <v>7</v>
      </c>
      <c r="AD13" s="234" t="str">
        <f>IF('3Stakeholders'!Z50=1,"not involved", C.6SNoticeStart.YrQtr&amp;" to "&amp;C.6SNoticeEnd.YrQtr)</f>
        <v>2014-Q4 to 2015-Q1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4" t="s">
        <v>514</v>
      </c>
      <c r="E14" s="1414"/>
      <c r="F14" s="242">
        <v>2015</v>
      </c>
      <c r="G14" s="243">
        <v>3</v>
      </c>
      <c r="H14" s="237"/>
      <c r="I14" s="237"/>
      <c r="J14" s="1420" t="str">
        <f t="shared" ref="J14:J15" si="0">AE14</f>
        <v/>
      </c>
      <c r="K14" s="1420"/>
      <c r="L14" s="1420"/>
      <c r="M14" s="1420"/>
      <c r="N14" s="1420"/>
      <c r="O14" s="1420"/>
      <c r="P14" s="1420"/>
      <c r="Q14" s="1420"/>
      <c r="R14" s="1420"/>
      <c r="S14" s="1420"/>
      <c r="T14" s="1420"/>
      <c r="U14" s="1421"/>
      <c r="V14" s="563"/>
      <c r="W14" s="1091" t="s">
        <v>790</v>
      </c>
      <c r="X14" s="161"/>
      <c r="Y14" s="1027" t="str">
        <f>C.6SEQCYr&amp;"-Q"&amp;C.6SEQCQtr</f>
        <v>2015-Q3</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4" t="s">
        <v>55</v>
      </c>
      <c r="E15" s="1414"/>
      <c r="F15" s="242">
        <v>2015</v>
      </c>
      <c r="G15" s="243">
        <v>4</v>
      </c>
      <c r="H15" s="237"/>
      <c r="I15" s="237"/>
      <c r="J15" s="1420" t="str">
        <f t="shared" si="0"/>
        <v/>
      </c>
      <c r="K15" s="1420"/>
      <c r="L15" s="1420"/>
      <c r="M15" s="1420"/>
      <c r="N15" s="1420"/>
      <c r="O15" s="1420"/>
      <c r="P15" s="1420"/>
      <c r="Q15" s="1420"/>
      <c r="R15" s="1420"/>
      <c r="S15" s="1420"/>
      <c r="T15" s="1420"/>
      <c r="U15" s="1421"/>
      <c r="V15" s="563"/>
      <c r="W15" s="1091" t="s">
        <v>790</v>
      </c>
      <c r="X15" s="161"/>
      <c r="Y15" s="123" t="str">
        <f>C.6SEffectiveYr&amp;"-Q"&amp;C.6SEffectiveQtr</f>
        <v>2015-Q4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1" t="s">
        <v>242</v>
      </c>
      <c r="E16" s="1411"/>
      <c r="F16" s="1411"/>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5" t="s">
        <v>219</v>
      </c>
      <c r="G17" s="1415"/>
      <c r="H17" s="1415"/>
      <c r="I17" s="246"/>
      <c r="J17" s="215"/>
      <c r="K17" s="1412" t="s">
        <v>244</v>
      </c>
      <c r="L17" s="1412"/>
      <c r="M17" s="1412"/>
      <c r="N17" s="1412"/>
      <c r="O17" s="1412"/>
      <c r="P17" s="1412"/>
      <c r="Q17" s="1412"/>
      <c r="R17" s="1412"/>
      <c r="S17" s="1412"/>
      <c r="T17" s="1412"/>
      <c r="U17" s="209"/>
      <c r="V17" s="563"/>
      <c r="W17" s="162" t="s">
        <v>0</v>
      </c>
      <c r="X17" s="174"/>
      <c r="Y17" s="115" t="s">
        <v>0</v>
      </c>
      <c r="Z17" s="115"/>
      <c r="AA17" s="115"/>
      <c r="AB17" s="115"/>
      <c r="AC17" s="115"/>
      <c r="AD17" s="115"/>
      <c r="AE17" s="115" t="s">
        <v>0</v>
      </c>
    </row>
    <row r="18" spans="1:31" s="2" customFormat="1" ht="29.25" customHeight="1">
      <c r="A18" s="601"/>
      <c r="B18" s="563"/>
      <c r="C18" s="211"/>
      <c r="D18" s="1402" t="s">
        <v>217</v>
      </c>
      <c r="E18" s="1403"/>
      <c r="F18" s="1403"/>
      <c r="G18" s="1406"/>
      <c r="H18" s="1406"/>
      <c r="I18" s="1406"/>
      <c r="J18" s="1406"/>
      <c r="K18" s="1334"/>
      <c r="L18" s="1334"/>
      <c r="M18" s="1334"/>
      <c r="N18" s="1334"/>
      <c r="O18" s="1334"/>
      <c r="P18" s="1334"/>
      <c r="Q18" s="1334"/>
      <c r="R18" s="1334"/>
      <c r="S18" s="1334"/>
      <c r="T18" s="1334"/>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63" t="s">
        <v>416</v>
      </c>
      <c r="E20" s="1363"/>
      <c r="F20" s="230"/>
      <c r="G20" s="230"/>
      <c r="H20" s="1422" t="s">
        <v>0</v>
      </c>
      <c r="I20" s="1423"/>
      <c r="J20" s="1423"/>
      <c r="K20" s="1342" t="s">
        <v>37</v>
      </c>
      <c r="L20" s="1343"/>
      <c r="M20" s="1343"/>
      <c r="N20" s="1343"/>
      <c r="O20" s="1343"/>
      <c r="P20" s="1343"/>
      <c r="Q20" s="1343"/>
      <c r="R20" s="1343"/>
      <c r="S20" s="1343"/>
      <c r="T20" s="1344"/>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9" t="s">
        <v>247</v>
      </c>
      <c r="I21" s="1419"/>
      <c r="J21" s="1419"/>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1</v>
      </c>
      <c r="Z21" s="34"/>
      <c r="AA21" s="873" t="str">
        <f>K20</f>
        <v>definitely not complex</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61" t="s">
        <v>0</v>
      </c>
      <c r="E25" s="1262"/>
      <c r="F25" s="1262"/>
      <c r="G25" s="1262"/>
      <c r="H25" s="1262"/>
      <c r="I25" s="1262"/>
      <c r="J25" s="1262"/>
      <c r="K25" s="1262"/>
      <c r="L25" s="1262"/>
      <c r="M25" s="1262"/>
      <c r="N25" s="1262"/>
      <c r="O25" s="1262"/>
      <c r="P25" s="1262"/>
      <c r="Q25" s="1262"/>
      <c r="R25" s="1262"/>
      <c r="S25" s="1262"/>
      <c r="T25" s="1263"/>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7"/>
      <c r="E27" s="1358"/>
      <c r="F27" s="1358"/>
      <c r="G27" s="1358"/>
      <c r="H27" s="1358"/>
      <c r="I27" s="1358"/>
      <c r="J27" s="1358"/>
      <c r="K27" s="1358"/>
      <c r="L27" s="1358"/>
      <c r="M27" s="1358"/>
      <c r="N27" s="1358"/>
      <c r="O27" s="1358"/>
      <c r="P27" s="1358"/>
      <c r="Q27" s="1358"/>
      <c r="R27" s="1358"/>
      <c r="S27" s="1358"/>
      <c r="T27" s="1359"/>
      <c r="U27" s="201"/>
      <c r="V27" s="563"/>
      <c r="X27" s="161"/>
      <c r="Y27" s="122"/>
      <c r="Z27" s="122"/>
      <c r="AA27" s="147"/>
      <c r="AB27" s="844"/>
      <c r="AC27" s="844"/>
      <c r="AD27" s="844"/>
      <c r="AE27" s="147"/>
    </row>
    <row r="28" spans="1:31">
      <c r="B28" s="563"/>
      <c r="C28" s="213"/>
      <c r="D28" s="214"/>
      <c r="E28" s="214"/>
      <c r="F28" s="214"/>
      <c r="G28" s="214"/>
      <c r="H28" s="1273">
        <f ca="1">TODAY()</f>
        <v>41960</v>
      </c>
      <c r="I28" s="1273"/>
      <c r="J28" s="1273"/>
      <c r="K28" s="1273"/>
      <c r="L28" s="1273"/>
      <c r="M28" s="1273"/>
      <c r="N28" s="1273"/>
      <c r="O28" s="1273"/>
      <c r="P28" s="1273"/>
      <c r="Q28" s="1273"/>
      <c r="R28" s="1273"/>
      <c r="S28" s="1273"/>
      <c r="T28" s="1273"/>
      <c r="U28" s="1274"/>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23" priority="8" stopIfTrue="1">
      <formula>IF($Y$21&lt;10,TRUE,)</formula>
    </cfRule>
  </conditionalFormatting>
  <conditionalFormatting sqref="K21">
    <cfRule type="expression" dxfId="222" priority="9" stopIfTrue="1">
      <formula>IF($Y$21&lt;1,TRUE,)</formula>
    </cfRule>
  </conditionalFormatting>
  <conditionalFormatting sqref="L21">
    <cfRule type="expression" dxfId="221" priority="10" stopIfTrue="1">
      <formula>IF($Y$21&lt;2,TRUE,)</formula>
    </cfRule>
  </conditionalFormatting>
  <conditionalFormatting sqref="N21">
    <cfRule type="expression" dxfId="220" priority="12" stopIfTrue="1">
      <formula>IF($Y21&lt;4,TRUE,)</formula>
    </cfRule>
  </conditionalFormatting>
  <conditionalFormatting sqref="O21">
    <cfRule type="expression" dxfId="219" priority="13" stopIfTrue="1">
      <formula>IF($Y$21&lt;5,TRUE,)</formula>
    </cfRule>
  </conditionalFormatting>
  <conditionalFormatting sqref="P21">
    <cfRule type="expression" dxfId="218" priority="14" stopIfTrue="1">
      <formula>IF($Y$21&lt;6,TRUE,)</formula>
    </cfRule>
  </conditionalFormatting>
  <conditionalFormatting sqref="Q21">
    <cfRule type="expression" dxfId="217" priority="15" stopIfTrue="1">
      <formula>IF($Y$21&lt;7,TRUE,)</formula>
    </cfRule>
  </conditionalFormatting>
  <conditionalFormatting sqref="R21">
    <cfRule type="expression" dxfId="216" priority="16" stopIfTrue="1">
      <formula>IF($Y$21&lt;8,TRUE,)</formula>
    </cfRule>
  </conditionalFormatting>
  <conditionalFormatting sqref="S21">
    <cfRule type="expression" dxfId="215" priority="17" stopIfTrue="1">
      <formula>IF($Y$21&lt;9,TRUE,)</formula>
    </cfRule>
  </conditionalFormatting>
  <conditionalFormatting sqref="M3 M24 M18:M19 M5:M6">
    <cfRule type="expression" dxfId="214" priority="18" stopIfTrue="1">
      <formula>IF(AND(#REF!="H",$Y3&lt;3),TRUE,)</formula>
    </cfRule>
  </conditionalFormatting>
  <conditionalFormatting sqref="M21">
    <cfRule type="expression" dxfId="213" priority="11" stopIfTrue="1">
      <formula>IF($Y$21&lt;3,TRUE,)</formula>
    </cfRule>
  </conditionalFormatting>
  <conditionalFormatting sqref="F11:G15">
    <cfRule type="expression" dxfId="212" priority="5">
      <formula>IF($Z11&gt;0,TRUE)</formula>
    </cfRule>
  </conditionalFormatting>
  <conditionalFormatting sqref="H12:I13">
    <cfRule type="expression" dxfId="211" priority="4">
      <formula>IF($AB12&gt;0,TRUE)</formula>
    </cfRule>
  </conditionalFormatting>
  <conditionalFormatting sqref="F12:I13">
    <cfRule type="expression" dxfId="210"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35169" r:id="rId4" name="Group Box 1">
              <controlPr defaultSize="0" autoFill="0" autoPict="0">
                <anchor moveWithCells="1">
                  <from>
                    <xdr:col>2</xdr:col>
                    <xdr:colOff>200025</xdr:colOff>
                    <xdr:row>17</xdr:row>
                    <xdr:rowOff>0</xdr:rowOff>
                  </from>
                  <to>
                    <xdr:col>20</xdr:col>
                    <xdr:colOff>0</xdr:colOff>
                    <xdr:row>18</xdr:row>
                    <xdr:rowOff>0</xdr:rowOff>
                  </to>
                </anchor>
              </controlPr>
            </control>
          </mc:Choice>
        </mc:AlternateContent>
        <mc:AlternateContent xmlns:mc="http://schemas.openxmlformats.org/markup-compatibility/2006">
          <mc:Choice Requires="x14">
            <control shapeId="135170" r:id="rId5" name="Option Button 2">
              <controlPr defaultSize="0" autoFill="0" autoLine="0" autoPict="0">
                <anchor moveWithCells="1">
                  <from>
                    <xdr:col>3</xdr:col>
                    <xdr:colOff>381000</xdr:colOff>
                    <xdr:row>17</xdr:row>
                    <xdr:rowOff>0</xdr:rowOff>
                  </from>
                  <to>
                    <xdr:col>3</xdr:col>
                    <xdr:colOff>781050</xdr:colOff>
                    <xdr:row>17</xdr:row>
                    <xdr:rowOff>361950</xdr:rowOff>
                  </to>
                </anchor>
              </controlPr>
            </control>
          </mc:Choice>
        </mc:AlternateContent>
        <mc:AlternateContent xmlns:mc="http://schemas.openxmlformats.org/markup-compatibility/2006">
          <mc:Choice Requires="x14">
            <control shapeId="135171" r:id="rId6" name="Option Button 3">
              <controlPr defaultSize="0" autoFill="0" autoLine="0" autoPict="0">
                <anchor moveWithCells="1">
                  <from>
                    <xdr:col>4</xdr:col>
                    <xdr:colOff>180975</xdr:colOff>
                    <xdr:row>17</xdr:row>
                    <xdr:rowOff>9525</xdr:rowOff>
                  </from>
                  <to>
                    <xdr:col>5</xdr:col>
                    <xdr:colOff>200025</xdr:colOff>
                    <xdr:row>17</xdr:row>
                    <xdr:rowOff>361950</xdr:rowOff>
                  </to>
                </anchor>
              </controlPr>
            </control>
          </mc:Choice>
        </mc:AlternateContent>
        <mc:AlternateContent xmlns:mc="http://schemas.openxmlformats.org/markup-compatibility/2006">
          <mc:Choice Requires="x14">
            <control shapeId="135172" r:id="rId7" name="Option Button 4">
              <controlPr defaultSize="0" autoFill="0" autoLine="0" autoPict="0">
                <anchor moveWithCells="1">
                  <from>
                    <xdr:col>5</xdr:col>
                    <xdr:colOff>1085850</xdr:colOff>
                    <xdr:row>17</xdr:row>
                    <xdr:rowOff>9525</xdr:rowOff>
                  </from>
                  <to>
                    <xdr:col>7</xdr:col>
                    <xdr:colOff>552450</xdr:colOff>
                    <xdr:row>17</xdr:row>
                    <xdr:rowOff>342900</xdr:rowOff>
                  </to>
                </anchor>
              </controlPr>
            </control>
          </mc:Choice>
        </mc:AlternateContent>
        <mc:AlternateContent xmlns:mc="http://schemas.openxmlformats.org/markup-compatibility/2006">
          <mc:Choice Requires="x14">
            <control shapeId="135173" r:id="rId8" name="Option Button 5">
              <controlPr defaultSize="0" autoFill="0" autoLine="0" autoPict="0">
                <anchor moveWithCells="1">
                  <from>
                    <xdr:col>7</xdr:col>
                    <xdr:colOff>1095375</xdr:colOff>
                    <xdr:row>17</xdr:row>
                    <xdr:rowOff>0</xdr:rowOff>
                  </from>
                  <to>
                    <xdr:col>9</xdr:col>
                    <xdr:colOff>9525</xdr:colOff>
                    <xdr:row>17</xdr:row>
                    <xdr:rowOff>342900</xdr:rowOff>
                  </to>
                </anchor>
              </controlPr>
            </control>
          </mc:Choice>
        </mc:AlternateContent>
        <mc:AlternateContent xmlns:mc="http://schemas.openxmlformats.org/markup-compatibility/2006">
          <mc:Choice Requires="x14">
            <control shapeId="135174" r:id="rId9" name="Option Button 6">
              <controlPr defaultSize="0" autoFill="0" autoLine="0" autoPict="0">
                <anchor moveWithCells="1">
                  <from>
                    <xdr:col>13</xdr:col>
                    <xdr:colOff>123825</xdr:colOff>
                    <xdr:row>17</xdr:row>
                    <xdr:rowOff>28575</xdr:rowOff>
                  </from>
                  <to>
                    <xdr:col>16</xdr:col>
                    <xdr:colOff>133350</xdr:colOff>
                    <xdr:row>17</xdr:row>
                    <xdr:rowOff>333375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BG57"/>
  <sheetViews>
    <sheetView showGridLines="0" workbookViewId="0">
      <selection activeCell="H10" sqref="H10:S10"/>
    </sheetView>
  </sheetViews>
  <sheetFormatPr defaultColWidth="9"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30" max="57" width="8.75" customWidth="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38" t="s">
        <v>306</v>
      </c>
      <c r="Y1" s="1438"/>
      <c r="Z1" s="1438"/>
      <c r="AA1" s="626"/>
      <c r="AB1" s="147"/>
    </row>
    <row r="2" spans="1:59" s="74" customFormat="1" ht="30" customHeight="1" thickBot="1">
      <c r="A2" s="602"/>
      <c r="B2" s="563"/>
      <c r="C2" s="1101">
        <v>7</v>
      </c>
      <c r="D2" s="1394" t="s">
        <v>298</v>
      </c>
      <c r="E2" s="1394"/>
      <c r="F2" s="1394"/>
      <c r="G2" s="1381" t="str">
        <f>C.2Name</f>
        <v>2012 PM 2.5 Annual NAAQS Infrastructure SIP, and Interstate Transport Submittal for PM 2.5, Pb, SO2, NO2</v>
      </c>
      <c r="H2" s="1381"/>
      <c r="I2" s="1381"/>
      <c r="J2" s="1381"/>
      <c r="K2" s="1381"/>
      <c r="L2" s="1381"/>
      <c r="M2" s="1381"/>
      <c r="N2" s="1381"/>
      <c r="O2" s="1381"/>
      <c r="P2" s="1381"/>
      <c r="Q2" s="1381"/>
      <c r="R2" s="1381"/>
      <c r="S2" s="1381"/>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8" t="s">
        <v>1068</v>
      </c>
      <c r="F5" s="1443"/>
      <c r="G5" s="1444"/>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8" t="s">
        <v>1070</v>
      </c>
      <c r="F6" s="1443"/>
      <c r="G6" s="1444"/>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83" t="s">
        <v>296</v>
      </c>
      <c r="E7" s="1283"/>
      <c r="F7" s="1283"/>
      <c r="G7" s="1283"/>
      <c r="H7" s="714"/>
      <c r="I7" s="715"/>
      <c r="J7" s="1386" t="s">
        <v>282</v>
      </c>
      <c r="K7" s="1387"/>
      <c r="L7" s="1387"/>
      <c r="M7" s="1387"/>
      <c r="N7" s="1387"/>
      <c r="O7" s="1387"/>
      <c r="P7" s="1387"/>
      <c r="Q7" s="1387"/>
      <c r="R7" s="1387"/>
      <c r="S7" s="1388"/>
      <c r="T7" s="201"/>
      <c r="U7" s="563"/>
      <c r="V7" s="573" t="s">
        <v>767</v>
      </c>
      <c r="W7" s="161"/>
      <c r="X7" s="33">
        <f>VLOOKUP(J7,C.VL_SeverityRating,2,FALSE)</f>
        <v>1</v>
      </c>
      <c r="Y7" s="872"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83"/>
      <c r="E8" s="1283"/>
      <c r="F8" s="1283"/>
      <c r="G8" s="1283"/>
      <c r="H8" s="1424" t="s">
        <v>280</v>
      </c>
      <c r="I8" s="1425"/>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75" customHeight="1">
      <c r="A10" s="602"/>
      <c r="B10" s="563"/>
      <c r="C10" s="202"/>
      <c r="D10" s="1350" t="s">
        <v>141</v>
      </c>
      <c r="E10" s="1350"/>
      <c r="F10" s="1350"/>
      <c r="G10" s="1350"/>
      <c r="H10" s="1426" t="s">
        <v>1086</v>
      </c>
      <c r="I10" s="1427"/>
      <c r="J10" s="1427"/>
      <c r="K10" s="1427"/>
      <c r="L10" s="1427"/>
      <c r="M10" s="1427"/>
      <c r="N10" s="1427"/>
      <c r="O10" s="1427"/>
      <c r="P10" s="1427"/>
      <c r="Q10" s="1427"/>
      <c r="R10" s="1427"/>
      <c r="S10" s="1428"/>
      <c r="T10" s="206"/>
      <c r="U10" s="563"/>
      <c r="V10" s="575"/>
      <c r="W10" s="285"/>
      <c r="X10" s="284" t="b">
        <v>0</v>
      </c>
      <c r="Y10" s="1439" t="str">
        <f>IF($X10=FALSE,"",IF(COUNTIF($X$11:$X16,TRUE)=0,LOWER($D10),IF(COUNTIF($X$11:$X16,TRUE)=1,LOWER($D10)&amp;" and ",LOWER($D10)&amp;", ")))</f>
        <v/>
      </c>
      <c r="Z10" s="1439"/>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50" t="s">
        <v>297</v>
      </c>
      <c r="E11" s="1350"/>
      <c r="F11" s="1350"/>
      <c r="G11" s="1350"/>
      <c r="H11" s="1430"/>
      <c r="I11" s="1431"/>
      <c r="J11" s="1431"/>
      <c r="K11" s="1431"/>
      <c r="L11" s="1431"/>
      <c r="M11" s="1431"/>
      <c r="N11" s="1431"/>
      <c r="O11" s="1431"/>
      <c r="P11" s="1431"/>
      <c r="Q11" s="1431"/>
      <c r="R11" s="1431"/>
      <c r="S11" s="1432"/>
      <c r="T11" s="206"/>
      <c r="U11" s="563"/>
      <c r="V11" s="575"/>
      <c r="W11" s="285"/>
      <c r="X11" s="284" t="b">
        <v>0</v>
      </c>
      <c r="Y11" s="1439" t="str">
        <f>IF($X11=FALSE,"",IF(COUNTIF($X$12:$X16,TRUE)=0,LOWER($D11),IF(COUNTIF($X$12:$X16,TRUE)=1,LOWER($D11)&amp;" and ",LOWER($D11)&amp;", ")))</f>
        <v/>
      </c>
      <c r="Z11" s="1439"/>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40" t="s">
        <v>142</v>
      </c>
      <c r="E12" s="1340"/>
      <c r="F12" s="1340"/>
      <c r="G12" s="1340"/>
      <c r="H12" s="1435"/>
      <c r="I12" s="1435"/>
      <c r="J12" s="1435"/>
      <c r="K12" s="1435"/>
      <c r="L12" s="1435"/>
      <c r="M12" s="1435"/>
      <c r="N12" s="1435"/>
      <c r="O12" s="1435"/>
      <c r="P12" s="1435"/>
      <c r="Q12" s="1435"/>
      <c r="R12" s="1435"/>
      <c r="S12" s="1435"/>
      <c r="T12" s="206"/>
      <c r="U12" s="563"/>
      <c r="V12" s="575"/>
      <c r="W12" s="285"/>
      <c r="X12" s="284" t="b">
        <v>1</v>
      </c>
      <c r="Y12" s="1439" t="str">
        <f>IF($X12=FALSE,"",IF(COUNTIF($X$13:$X16,TRUE)=0,LOWER($D12),IF(COUNTIF($X$13:$X16,TRUE)=1,LOWER($D12)&amp;" and ",LOWER($D12)&amp;", ")))</f>
        <v>loss of federal funding</v>
      </c>
      <c r="Z12" s="1439"/>
      <c r="AA12" s="888">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40" t="s">
        <v>301</v>
      </c>
      <c r="E13" s="1340"/>
      <c r="F13" s="1340"/>
      <c r="G13" s="1340"/>
      <c r="H13" s="1426"/>
      <c r="I13" s="1427"/>
      <c r="J13" s="1427"/>
      <c r="K13" s="1427"/>
      <c r="L13" s="1427"/>
      <c r="M13" s="1427"/>
      <c r="N13" s="1427"/>
      <c r="O13" s="1427"/>
      <c r="P13" s="1427"/>
      <c r="Q13" s="1427"/>
      <c r="R13" s="1427"/>
      <c r="S13" s="1428"/>
      <c r="T13" s="206"/>
      <c r="U13" s="563"/>
      <c r="V13" s="575"/>
      <c r="W13" s="285"/>
      <c r="X13" s="284" t="b">
        <v>0</v>
      </c>
      <c r="Y13" s="1439" t="str">
        <f>IF($X13=FALSE,"",IF(COUNTIF($X$14:$X16,TRUE)=0,LOWER($D13),IF(COUNTIF($X$14:$X16,TRUE)=1,LOWER($D13)&amp;" and ",LOWER($D13)&amp;", ")))</f>
        <v/>
      </c>
      <c r="Z13" s="1439"/>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40" t="s">
        <v>431</v>
      </c>
      <c r="E14" s="1340"/>
      <c r="F14" s="1340"/>
      <c r="G14" s="1340"/>
      <c r="H14" s="1426"/>
      <c r="I14" s="1427"/>
      <c r="J14" s="1427"/>
      <c r="K14" s="1427"/>
      <c r="L14" s="1427"/>
      <c r="M14" s="1427"/>
      <c r="N14" s="1427"/>
      <c r="O14" s="1427"/>
      <c r="P14" s="1427"/>
      <c r="Q14" s="1427"/>
      <c r="R14" s="1427"/>
      <c r="S14" s="1428"/>
      <c r="T14" s="206"/>
      <c r="U14" s="563"/>
      <c r="V14" s="575"/>
      <c r="W14" s="285"/>
      <c r="X14" s="284" t="b">
        <v>0</v>
      </c>
      <c r="Y14" s="1439" t="str">
        <f>IF($X14=FALSE,"",IF(COUNTIF($X$15:$X16,TRUE)=0,LOWER($D14),IF(COUNTIF($X$15:$X16,TRUE)=1,LOWER($D14)&amp;" and ",LOWER($D14)&amp;", ")))</f>
        <v/>
      </c>
      <c r="Z14" s="1439"/>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33" t="s">
        <v>299</v>
      </c>
      <c r="E15" s="1433"/>
      <c r="F15" s="1433"/>
      <c r="G15" s="1434"/>
      <c r="H15" s="1426" t="s">
        <v>0</v>
      </c>
      <c r="I15" s="1427"/>
      <c r="J15" s="1427"/>
      <c r="K15" s="1427"/>
      <c r="L15" s="1427"/>
      <c r="M15" s="1427"/>
      <c r="N15" s="1427"/>
      <c r="O15" s="1427"/>
      <c r="P15" s="1427"/>
      <c r="Q15" s="1427"/>
      <c r="R15" s="1427"/>
      <c r="S15" s="1428"/>
      <c r="T15" s="206"/>
      <c r="U15" s="563"/>
      <c r="V15" s="575"/>
      <c r="W15" s="285"/>
      <c r="X15" s="284" t="b">
        <v>0</v>
      </c>
      <c r="Y15" s="1439" t="str">
        <f>IF($X15=FALSE,"",IF($X$16=FALSE,LOWER($D15),LOWER($D15)&amp;" and "))</f>
        <v/>
      </c>
      <c r="Z15" s="1439"/>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9" t="s">
        <v>299</v>
      </c>
      <c r="E16" s="1339"/>
      <c r="F16" s="1339"/>
      <c r="G16" s="1339"/>
      <c r="H16" s="1426"/>
      <c r="I16" s="1427"/>
      <c r="J16" s="1427"/>
      <c r="K16" s="1427"/>
      <c r="L16" s="1427"/>
      <c r="M16" s="1427"/>
      <c r="N16" s="1427"/>
      <c r="O16" s="1427"/>
      <c r="P16" s="1427"/>
      <c r="Q16" s="1427"/>
      <c r="R16" s="1427"/>
      <c r="S16" s="1428"/>
      <c r="T16" s="206"/>
      <c r="U16" s="563"/>
      <c r="V16" s="575"/>
      <c r="W16" s="285"/>
      <c r="X16" s="284" t="b">
        <v>0</v>
      </c>
      <c r="Y16" s="1439" t="str">
        <f>IF($X16=FALSE,"",LOWER($D16))</f>
        <v/>
      </c>
      <c r="Z16" s="1439"/>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40" t="str">
        <f>IF(COUNTIF(X10:X16,TRUE),Y10&amp;Y11&amp;Y12&amp;Y13&amp;Y14&amp;Y15&amp;Y16&amp;".","")</f>
        <v>loss of federal funding.</v>
      </c>
      <c r="Y17" s="1441"/>
      <c r="Z17" s="1442"/>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29" t="s">
        <v>305</v>
      </c>
      <c r="E18" s="1429"/>
      <c r="F18" s="1429"/>
      <c r="G18" s="348"/>
      <c r="H18" s="1456" t="s">
        <v>302</v>
      </c>
      <c r="I18" s="1456"/>
      <c r="J18" s="1456"/>
      <c r="K18" s="1456"/>
      <c r="L18" s="1456"/>
      <c r="M18" s="1456"/>
      <c r="N18" s="1456"/>
      <c r="O18" s="1456"/>
      <c r="P18" s="1456"/>
      <c r="Q18" s="1456"/>
      <c r="R18" s="1456"/>
      <c r="S18" s="1456"/>
      <c r="T18" s="349"/>
      <c r="U18" s="563"/>
      <c r="V18" s="584"/>
      <c r="W18" s="286"/>
      <c r="X18" s="1459" t="str">
        <f>IF(COUNTIF(X19:X21,FALSE)=3,"Does not apply","Required")</f>
        <v>Does not apply</v>
      </c>
      <c r="Y18" s="1459"/>
      <c r="Z18" s="1459"/>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55" t="str">
        <f>X18</f>
        <v>Does not apply</v>
      </c>
      <c r="I19" s="1455"/>
      <c r="J19" s="1455"/>
      <c r="K19" s="1455"/>
      <c r="L19" s="1455"/>
      <c r="M19" s="1455"/>
      <c r="N19" s="1455"/>
      <c r="O19" s="1455"/>
      <c r="P19" s="1455"/>
      <c r="Q19" s="1455"/>
      <c r="R19" s="1455"/>
      <c r="S19" s="1455"/>
      <c r="T19" s="349"/>
      <c r="U19" s="563"/>
      <c r="W19" s="286"/>
      <c r="X19" s="284" t="b">
        <v>0</v>
      </c>
      <c r="Y19" s="1439" t="str">
        <f>IF($X19=FALSE,"",IF(COUNTIF($X$20:$X21,TRUE)=0,LOWER($D19),IF(COUNTIF($X$20:$X21,TRUE)=1,LOWER($D19)&amp;" and ",LOWER($D19)&amp;", ")))</f>
        <v/>
      </c>
      <c r="Z19" s="1439"/>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61" t="s">
        <v>303</v>
      </c>
      <c r="I20" s="1461"/>
      <c r="J20" s="1461"/>
      <c r="K20" s="1461"/>
      <c r="L20" s="1461"/>
      <c r="M20" s="1461"/>
      <c r="N20" s="1461"/>
      <c r="O20" s="1461"/>
      <c r="P20" s="1461"/>
      <c r="Q20" s="1461"/>
      <c r="R20" s="1461"/>
      <c r="S20" s="1461"/>
      <c r="T20" s="349"/>
      <c r="U20" s="563"/>
      <c r="V20" s="584"/>
      <c r="W20" s="286"/>
      <c r="X20" s="284" t="b">
        <v>0</v>
      </c>
      <c r="Y20" s="1439" t="str">
        <f>IF($X20=FALSE,"",IF($X$21=FALSE,LOWER($D20),LOWER($D20)&amp;" and "))</f>
        <v/>
      </c>
      <c r="Z20" s="1460"/>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61" t="s">
        <v>304</v>
      </c>
      <c r="I21" s="1461"/>
      <c r="J21" s="1461"/>
      <c r="K21" s="1461"/>
      <c r="L21" s="1461"/>
      <c r="M21" s="1461"/>
      <c r="N21" s="1461"/>
      <c r="O21" s="1461"/>
      <c r="P21" s="1461"/>
      <c r="Q21" s="1461"/>
      <c r="R21" s="1461"/>
      <c r="S21" s="1461"/>
      <c r="T21" s="349"/>
      <c r="U21" s="563"/>
      <c r="V21" s="584"/>
      <c r="W21" s="286"/>
      <c r="X21" s="284" t="b">
        <v>0</v>
      </c>
      <c r="Y21" s="1439" t="str">
        <f>IF($X21=FALSE,"",LOWER($D21))</f>
        <v/>
      </c>
      <c r="Z21" s="1460"/>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5" t="s">
        <v>516</v>
      </c>
      <c r="H23" s="1466"/>
      <c r="I23" s="1466"/>
      <c r="J23" s="1466"/>
      <c r="K23" s="1466"/>
      <c r="L23" s="1466"/>
      <c r="M23" s="1466"/>
      <c r="N23" s="1466"/>
      <c r="O23" s="1466"/>
      <c r="P23" s="1466"/>
      <c r="Q23" s="1466"/>
      <c r="R23" s="1466"/>
      <c r="S23" s="1467"/>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7" t="s">
        <v>113</v>
      </c>
      <c r="E24" s="1457"/>
      <c r="F24" s="760"/>
      <c r="G24" s="761" t="s">
        <v>114</v>
      </c>
      <c r="H24" s="762"/>
      <c r="I24" s="762"/>
      <c r="J24" s="1436" t="s">
        <v>7</v>
      </c>
      <c r="K24" s="1436"/>
      <c r="L24" s="1436"/>
      <c r="M24" s="1436"/>
      <c r="N24" s="1436"/>
      <c r="O24" s="1436"/>
      <c r="P24" s="1436"/>
      <c r="Q24" s="1436"/>
      <c r="R24" s="1436"/>
      <c r="S24" s="1436"/>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52" t="s">
        <v>334</v>
      </c>
      <c r="E25" s="1452"/>
      <c r="F25" s="1452"/>
      <c r="G25" s="1437" t="s">
        <v>205</v>
      </c>
      <c r="H25" s="1437"/>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6</v>
      </c>
      <c r="Y25" s="884" t="str">
        <f>G25</f>
        <v>unknown at this time</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52" t="s">
        <v>346</v>
      </c>
      <c r="E26" s="1452"/>
      <c r="F26" s="1452"/>
      <c r="G26" s="1437" t="s">
        <v>205</v>
      </c>
      <c r="H26" s="1437"/>
      <c r="I26" s="705"/>
      <c r="J26" s="726">
        <v>1</v>
      </c>
      <c r="K26" s="727">
        <v>2</v>
      </c>
      <c r="L26" s="728">
        <v>3</v>
      </c>
      <c r="M26" s="729">
        <v>4</v>
      </c>
      <c r="N26" s="730">
        <v>5</v>
      </c>
      <c r="O26" s="731">
        <v>6</v>
      </c>
      <c r="P26" s="732">
        <v>7</v>
      </c>
      <c r="Q26" s="733">
        <v>8</v>
      </c>
      <c r="R26" s="734">
        <v>9</v>
      </c>
      <c r="S26" s="735">
        <v>10</v>
      </c>
      <c r="T26" s="304"/>
      <c r="U26" s="563"/>
      <c r="V26" s="580" t="s">
        <v>821</v>
      </c>
      <c r="W26" s="161"/>
      <c r="X26" s="52">
        <f t="shared" si="1"/>
        <v>6</v>
      </c>
      <c r="Y26" s="884" t="str">
        <f t="shared" ref="Y26:Y34" si="2">G26</f>
        <v>unknown at this time</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52" t="s">
        <v>335</v>
      </c>
      <c r="E27" s="1452"/>
      <c r="F27" s="1452"/>
      <c r="G27" s="1437" t="s">
        <v>205</v>
      </c>
      <c r="H27" s="1437"/>
      <c r="I27" s="705"/>
      <c r="J27" s="726">
        <v>1</v>
      </c>
      <c r="K27" s="727">
        <v>2</v>
      </c>
      <c r="L27" s="728">
        <v>3</v>
      </c>
      <c r="M27" s="729">
        <v>4</v>
      </c>
      <c r="N27" s="730">
        <v>5</v>
      </c>
      <c r="O27" s="731">
        <v>6</v>
      </c>
      <c r="P27" s="732">
        <v>7</v>
      </c>
      <c r="Q27" s="733">
        <v>8</v>
      </c>
      <c r="R27" s="734">
        <v>9</v>
      </c>
      <c r="S27" s="735">
        <v>10</v>
      </c>
      <c r="T27" s="304"/>
      <c r="U27" s="563"/>
      <c r="V27" s="580" t="s">
        <v>821</v>
      </c>
      <c r="W27" s="161"/>
      <c r="X27" s="52">
        <f t="shared" si="1"/>
        <v>6</v>
      </c>
      <c r="Y27" s="884" t="str">
        <f t="shared" si="2"/>
        <v>unknown at this time</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52" t="s">
        <v>341</v>
      </c>
      <c r="E28" s="1452"/>
      <c r="F28" s="1452"/>
      <c r="G28" s="1437" t="s">
        <v>205</v>
      </c>
      <c r="H28" s="1437"/>
      <c r="I28" s="705"/>
      <c r="J28" s="726">
        <v>1</v>
      </c>
      <c r="K28" s="727">
        <v>2</v>
      </c>
      <c r="L28" s="728">
        <v>3</v>
      </c>
      <c r="M28" s="729">
        <v>4</v>
      </c>
      <c r="N28" s="730">
        <v>5</v>
      </c>
      <c r="O28" s="731">
        <v>6</v>
      </c>
      <c r="P28" s="732">
        <v>7</v>
      </c>
      <c r="Q28" s="733">
        <v>8</v>
      </c>
      <c r="R28" s="734">
        <v>9</v>
      </c>
      <c r="S28" s="735">
        <v>10</v>
      </c>
      <c r="T28" s="304"/>
      <c r="U28" s="563"/>
      <c r="V28" s="580" t="s">
        <v>821</v>
      </c>
      <c r="W28" s="161"/>
      <c r="X28" s="52">
        <f t="shared" si="1"/>
        <v>6</v>
      </c>
      <c r="Y28" s="884" t="str">
        <f t="shared" si="2"/>
        <v>unknown at this time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52" t="s">
        <v>347</v>
      </c>
      <c r="E29" s="1452"/>
      <c r="F29" s="1452"/>
      <c r="G29" s="1437" t="s">
        <v>6</v>
      </c>
      <c r="H29" s="1437"/>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52" t="s">
        <v>348</v>
      </c>
      <c r="E30" s="1452"/>
      <c r="F30" s="1452"/>
      <c r="G30" s="1437" t="s">
        <v>6</v>
      </c>
      <c r="H30" s="1437"/>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52" t="s">
        <v>1</v>
      </c>
      <c r="E31" s="1452"/>
      <c r="F31" s="1452"/>
      <c r="G31" s="1437" t="s">
        <v>6</v>
      </c>
      <c r="H31" s="1437"/>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52" t="s">
        <v>447</v>
      </c>
      <c r="E32" s="1452"/>
      <c r="F32" s="1452"/>
      <c r="G32" s="1437" t="s">
        <v>6</v>
      </c>
      <c r="H32" s="1437"/>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8" t="s">
        <v>213</v>
      </c>
      <c r="E33" s="1448"/>
      <c r="F33" s="1448"/>
      <c r="G33" s="1437" t="s">
        <v>6</v>
      </c>
      <c r="H33" s="1437"/>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8" t="s">
        <v>213</v>
      </c>
      <c r="E34" s="1448"/>
      <c r="F34" s="1448"/>
      <c r="G34" s="1437" t="s">
        <v>6</v>
      </c>
      <c r="H34" s="1437"/>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8" t="s">
        <v>116</v>
      </c>
      <c r="H37" s="1468"/>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6</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9" t="s">
        <v>443</v>
      </c>
      <c r="E38" s="1469"/>
      <c r="F38" s="1469"/>
      <c r="G38" s="1469"/>
      <c r="H38" s="1469"/>
      <c r="I38" s="1469"/>
      <c r="J38" s="1469"/>
      <c r="K38" s="1469"/>
      <c r="L38" s="1469"/>
      <c r="M38" s="1469"/>
      <c r="N38" s="1469"/>
      <c r="O38" s="1469"/>
      <c r="P38" s="1469"/>
      <c r="Q38" s="1469"/>
      <c r="R38" s="1469"/>
      <c r="S38" s="1469"/>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8"/>
      <c r="E39" s="1259"/>
      <c r="F39" s="1259"/>
      <c r="G39" s="1259"/>
      <c r="H39" s="1259"/>
      <c r="I39" s="1259"/>
      <c r="J39" s="1259"/>
      <c r="K39" s="1259"/>
      <c r="L39" s="1259"/>
      <c r="M39" s="1259"/>
      <c r="N39" s="1259"/>
      <c r="O39" s="1259"/>
      <c r="P39" s="1259"/>
      <c r="Q39" s="1259"/>
      <c r="R39" s="1259"/>
      <c r="S39" s="1259"/>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8" t="s">
        <v>213</v>
      </c>
      <c r="K44" s="1458"/>
      <c r="L44" s="1458"/>
      <c r="M44" s="1458"/>
      <c r="N44" s="1458"/>
      <c r="O44" s="1458"/>
      <c r="P44" s="1458"/>
      <c r="Q44" s="1458"/>
      <c r="R44" s="1458"/>
      <c r="S44" s="1458"/>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64" t="str">
        <f>C.7Invoicing</f>
        <v/>
      </c>
      <c r="E45" s="1464"/>
      <c r="F45" s="1464"/>
      <c r="G45" s="1464"/>
      <c r="H45" s="1464"/>
      <c r="I45" s="1464"/>
      <c r="J45" s="1464"/>
      <c r="K45" s="1464"/>
      <c r="L45" s="1464"/>
      <c r="M45" s="1464"/>
      <c r="N45" s="1464"/>
      <c r="O45" s="1464"/>
      <c r="P45" s="1464"/>
      <c r="Q45" s="1464"/>
      <c r="R45" s="1464"/>
      <c r="S45" s="1464"/>
      <c r="T45" s="304"/>
      <c r="U45" s="563"/>
      <c r="V45" s="572"/>
      <c r="W45" s="161"/>
      <c r="X45" s="1462" t="str">
        <f>IF(COUNTIF(X41:Z44,TRUE)&gt;0,"Since an invoicing system is involved with this rulemaking, please consult with resource system owner early in the rulemaking process.","")</f>
        <v/>
      </c>
      <c r="Y45" s="1463"/>
      <c r="Z45" s="1463"/>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7" t="s">
        <v>243</v>
      </c>
      <c r="E46" s="1407"/>
      <c r="F46" s="1407"/>
      <c r="G46" s="1407"/>
      <c r="H46" s="1407"/>
      <c r="I46" s="1407"/>
      <c r="J46" s="1407"/>
      <c r="K46" s="1407"/>
      <c r="L46" s="1407"/>
      <c r="M46" s="1407"/>
      <c r="N46" s="1407"/>
      <c r="O46" s="1407"/>
      <c r="P46" s="1407"/>
      <c r="Q46" s="1407"/>
      <c r="R46" s="1407"/>
      <c r="S46" s="1407"/>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8" t="s">
        <v>0</v>
      </c>
      <c r="E47" s="1259"/>
      <c r="F47" s="1259"/>
      <c r="G47" s="1259"/>
      <c r="H47" s="1259"/>
      <c r="I47" s="1259"/>
      <c r="J47" s="1259"/>
      <c r="K47" s="1259"/>
      <c r="L47" s="1259"/>
      <c r="M47" s="1259"/>
      <c r="N47" s="1259"/>
      <c r="O47" s="1259"/>
      <c r="P47" s="1259"/>
      <c r="Q47" s="1259"/>
      <c r="R47" s="1259"/>
      <c r="S47" s="1259"/>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60" t="s">
        <v>0</v>
      </c>
      <c r="I49" s="1384"/>
      <c r="J49" s="1342" t="s">
        <v>37</v>
      </c>
      <c r="K49" s="1343"/>
      <c r="L49" s="1343"/>
      <c r="M49" s="1343"/>
      <c r="N49" s="1343"/>
      <c r="O49" s="1343"/>
      <c r="P49" s="1343"/>
      <c r="Q49" s="1343"/>
      <c r="R49" s="1343"/>
      <c r="S49" s="1344"/>
      <c r="T49" s="346"/>
      <c r="U49" s="563"/>
      <c r="V49" s="573" t="s">
        <v>838</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3" t="s">
        <v>247</v>
      </c>
      <c r="I50" s="1454"/>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9" t="s">
        <v>0</v>
      </c>
      <c r="E53" s="1450"/>
      <c r="F53" s="1450"/>
      <c r="G53" s="1450"/>
      <c r="H53" s="1450"/>
      <c r="I53" s="1450"/>
      <c r="J53" s="1450"/>
      <c r="K53" s="1450"/>
      <c r="L53" s="1450"/>
      <c r="M53" s="1450"/>
      <c r="N53" s="1450"/>
      <c r="O53" s="1450"/>
      <c r="P53" s="1450"/>
      <c r="Q53" s="1450"/>
      <c r="R53" s="1450"/>
      <c r="S53" s="1451"/>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5" t="s">
        <v>0</v>
      </c>
      <c r="E55" s="1446"/>
      <c r="F55" s="1446"/>
      <c r="G55" s="1446"/>
      <c r="H55" s="1446"/>
      <c r="I55" s="1446"/>
      <c r="J55" s="1446"/>
      <c r="K55" s="1446"/>
      <c r="L55" s="1446"/>
      <c r="M55" s="1446"/>
      <c r="N55" s="1446"/>
      <c r="O55" s="1446"/>
      <c r="P55" s="1446"/>
      <c r="Q55" s="1446"/>
      <c r="R55" s="1446"/>
      <c r="S55" s="1447"/>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73">
        <f ca="1">TODAY()</f>
        <v>41960</v>
      </c>
      <c r="H56" s="1273"/>
      <c r="I56" s="1273"/>
      <c r="J56" s="1273"/>
      <c r="K56" s="1273"/>
      <c r="L56" s="1273"/>
      <c r="M56" s="1273"/>
      <c r="N56" s="1273"/>
      <c r="O56" s="1273"/>
      <c r="P56" s="1273"/>
      <c r="Q56" s="1273"/>
      <c r="R56" s="1273"/>
      <c r="S56" s="1273"/>
      <c r="T56" s="1274"/>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209" priority="96" stopIfTrue="1">
      <formula>IF(AND(#REF!="H",$X47&lt;3),TRUE,)</formula>
    </cfRule>
  </conditionalFormatting>
  <conditionalFormatting sqref="J25:J31 J33:J40">
    <cfRule type="expression" dxfId="208" priority="75" stopIfTrue="1">
      <formula>IF($X25&lt;1,TRUE,)</formula>
    </cfRule>
  </conditionalFormatting>
  <conditionalFormatting sqref="S8">
    <cfRule type="expression" dxfId="207" priority="51" stopIfTrue="1">
      <formula>IF($X$7&lt;10,TRUE,)</formula>
    </cfRule>
  </conditionalFormatting>
  <conditionalFormatting sqref="J8">
    <cfRule type="expression" dxfId="206" priority="52" stopIfTrue="1">
      <formula>IF($X$7&lt;1,TRUE,)</formula>
    </cfRule>
  </conditionalFormatting>
  <conditionalFormatting sqref="K8">
    <cfRule type="expression" dxfId="205" priority="53" stopIfTrue="1">
      <formula>IF($X$7&lt;2,TRUE,)</formula>
    </cfRule>
  </conditionalFormatting>
  <conditionalFormatting sqref="M8">
    <cfRule type="expression" dxfId="204" priority="55" stopIfTrue="1">
      <formula>IF($X$7&lt;4,TRUE,)</formula>
    </cfRule>
  </conditionalFormatting>
  <conditionalFormatting sqref="N8">
    <cfRule type="expression" dxfId="203" priority="56" stopIfTrue="1">
      <formula>IF($X$7&lt;5,TRUE,)</formula>
    </cfRule>
  </conditionalFormatting>
  <conditionalFormatting sqref="O8">
    <cfRule type="expression" dxfId="202" priority="57" stopIfTrue="1">
      <formula>IF($X$7&lt;6,TRUE,)</formula>
    </cfRule>
  </conditionalFormatting>
  <conditionalFormatting sqref="P8">
    <cfRule type="expression" dxfId="201" priority="58" stopIfTrue="1">
      <formula>IF($X$7&lt;7,TRUE,)</formula>
    </cfRule>
  </conditionalFormatting>
  <conditionalFormatting sqref="Q8">
    <cfRule type="expression" dxfId="200" priority="59" stopIfTrue="1">
      <formula>IF($X$7&lt;8,TRUE,)</formula>
    </cfRule>
  </conditionalFormatting>
  <conditionalFormatting sqref="R8">
    <cfRule type="expression" dxfId="199" priority="60" stopIfTrue="1">
      <formula>IF($X$7&lt;9,TRUE,)</formula>
    </cfRule>
  </conditionalFormatting>
  <conditionalFormatting sqref="L8">
    <cfRule type="expression" dxfId="198" priority="54" stopIfTrue="1">
      <formula>IF($X$7&lt;3,TRUE,)</formula>
    </cfRule>
  </conditionalFormatting>
  <conditionalFormatting sqref="S25:S31 S33:S43">
    <cfRule type="expression" dxfId="197" priority="74" stopIfTrue="1">
      <formula>IF($X25&lt;10,TRUE,)</formula>
    </cfRule>
  </conditionalFormatting>
  <conditionalFormatting sqref="K25:K31 K33:K43">
    <cfRule type="expression" dxfId="196" priority="76" stopIfTrue="1">
      <formula>IF($X25&lt;2,TRUE,)</formula>
    </cfRule>
  </conditionalFormatting>
  <conditionalFormatting sqref="L25:L31 L33:L43">
    <cfRule type="expression" dxfId="195" priority="77" stopIfTrue="1">
      <formula>IF($X25&lt;3,TRUE,)</formula>
    </cfRule>
  </conditionalFormatting>
  <conditionalFormatting sqref="M25:M31 M33:M43">
    <cfRule type="expression" dxfId="194" priority="78" stopIfTrue="1">
      <formula>IF($X25&lt;4,TRUE,)</formula>
    </cfRule>
  </conditionalFormatting>
  <conditionalFormatting sqref="N25:N31 N33:N43">
    <cfRule type="expression" dxfId="193" priority="79" stopIfTrue="1">
      <formula>IF($X25&lt;5,TRUE,)</formula>
    </cfRule>
  </conditionalFormatting>
  <conditionalFormatting sqref="O25:O31 O33:O43">
    <cfRule type="expression" dxfId="192" priority="80" stopIfTrue="1">
      <formula>IF($X25&lt;6,TRUE,)</formula>
    </cfRule>
  </conditionalFormatting>
  <conditionalFormatting sqref="P25:P31 P33:P43">
    <cfRule type="expression" dxfId="191" priority="81" stopIfTrue="1">
      <formula>IF($X25&lt;7,TRUE,)</formula>
    </cfRule>
  </conditionalFormatting>
  <conditionalFormatting sqref="Q25:Q31 Q33:Q43">
    <cfRule type="expression" dxfId="190" priority="82" stopIfTrue="1">
      <formula>IF($X25&lt;8,TRUE)</formula>
    </cfRule>
  </conditionalFormatting>
  <conditionalFormatting sqref="R25:R31 R33:R43">
    <cfRule type="expression" dxfId="189" priority="83" stopIfTrue="1">
      <formula>IF($X25&lt;9,TRUE,)</formula>
    </cfRule>
  </conditionalFormatting>
  <conditionalFormatting sqref="S50">
    <cfRule type="expression" dxfId="188" priority="13" stopIfTrue="1">
      <formula>IF($X$49&lt;10,TRUE,)</formula>
    </cfRule>
  </conditionalFormatting>
  <conditionalFormatting sqref="J50">
    <cfRule type="expression" dxfId="187" priority="14" stopIfTrue="1">
      <formula>IF($X$49&lt;1,TRUE,)</formula>
    </cfRule>
  </conditionalFormatting>
  <conditionalFormatting sqref="K50">
    <cfRule type="expression" dxfId="186" priority="15" stopIfTrue="1">
      <formula>IF($X$49&lt;2,TRUE,)</formula>
    </cfRule>
  </conditionalFormatting>
  <conditionalFormatting sqref="N50">
    <cfRule type="expression" dxfId="185" priority="19" stopIfTrue="1">
      <formula>IF($X$49&lt;5,TRUE,)</formula>
    </cfRule>
  </conditionalFormatting>
  <conditionalFormatting sqref="O50">
    <cfRule type="expression" dxfId="184" priority="20" stopIfTrue="1">
      <formula>IF($X$49&lt;6,TRUE,)</formula>
    </cfRule>
  </conditionalFormatting>
  <conditionalFormatting sqref="P50">
    <cfRule type="expression" dxfId="183" priority="21" stopIfTrue="1">
      <formula>IF($X$49&lt;7,TRUE,)</formula>
    </cfRule>
  </conditionalFormatting>
  <conditionalFormatting sqref="Q50">
    <cfRule type="expression" dxfId="182" priority="22" stopIfTrue="1">
      <formula>IF($X$49&lt;8,TRUE,)</formula>
    </cfRule>
  </conditionalFormatting>
  <conditionalFormatting sqref="R50">
    <cfRule type="expression" dxfId="181" priority="23" stopIfTrue="1">
      <formula>IF($X$49&lt;9,TRUE,)</formula>
    </cfRule>
  </conditionalFormatting>
  <conditionalFormatting sqref="L50">
    <cfRule type="expression" dxfId="180" priority="16" stopIfTrue="1">
      <formula>IF($X$49&lt;3,TRUE,)</formula>
    </cfRule>
  </conditionalFormatting>
  <conditionalFormatting sqref="M50">
    <cfRule type="expression" dxfId="179" priority="17" stopIfTrue="1">
      <formula>IF($X$49&lt;4,TRUE,)</formula>
    </cfRule>
  </conditionalFormatting>
  <conditionalFormatting sqref="J32">
    <cfRule type="expression" dxfId="178" priority="3" stopIfTrue="1">
      <formula>IF($X32&lt;1,TRUE,)</formula>
    </cfRule>
  </conditionalFormatting>
  <conditionalFormatting sqref="S32">
    <cfRule type="expression" dxfId="177" priority="2" stopIfTrue="1">
      <formula>IF($X32&lt;10,TRUE,)</formula>
    </cfRule>
  </conditionalFormatting>
  <conditionalFormatting sqref="K32">
    <cfRule type="expression" dxfId="176" priority="4" stopIfTrue="1">
      <formula>IF($X32&lt;2,TRUE,)</formula>
    </cfRule>
  </conditionalFormatting>
  <conditionalFormatting sqref="L32">
    <cfRule type="expression" dxfId="175" priority="5" stopIfTrue="1">
      <formula>IF($X32&lt;3,TRUE,)</formula>
    </cfRule>
  </conditionalFormatting>
  <conditionalFormatting sqref="M32">
    <cfRule type="expression" dxfId="174" priority="6" stopIfTrue="1">
      <formula>IF($X32&lt;4,TRUE,)</formula>
    </cfRule>
  </conditionalFormatting>
  <conditionalFormatting sqref="N32">
    <cfRule type="expression" dxfId="173" priority="7" stopIfTrue="1">
      <formula>IF($X32&lt;5,TRUE,)</formula>
    </cfRule>
  </conditionalFormatting>
  <conditionalFormatting sqref="O32">
    <cfRule type="expression" dxfId="172" priority="8" stopIfTrue="1">
      <formula>IF($X32&lt;6,TRUE,)</formula>
    </cfRule>
  </conditionalFormatting>
  <conditionalFormatting sqref="P32">
    <cfRule type="expression" dxfId="171" priority="9" stopIfTrue="1">
      <formula>IF($X32&lt;7,TRUE,)</formula>
    </cfRule>
  </conditionalFormatting>
  <conditionalFormatting sqref="Q32">
    <cfRule type="expression" dxfId="170" priority="10" stopIfTrue="1">
      <formula>IF($X32&lt;8,TRUE)</formula>
    </cfRule>
  </conditionalFormatting>
  <conditionalFormatting sqref="R32">
    <cfRule type="expression" dxfId="169" priority="11" stopIfTrue="1">
      <formula>IF($X32&lt;9,TRUE,)</formula>
    </cfRule>
  </conditionalFormatting>
  <conditionalFormatting sqref="L39">
    <cfRule type="expression" dxfId="168" priority="1" stopIfTrue="1">
      <formula>IF(AND(#REF!="H",$X39&lt;3),TRUE,)</formula>
    </cfRule>
  </conditionalFormatting>
  <dataValidations xWindow="898" yWindow="743"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39273" r:id="rId5" name="Check Box 9">
              <controlPr defaultSize="0" autoFill="0" autoLine="0" autoPict="0">
                <anchor moveWithCells="1">
                  <from>
                    <xdr:col>3</xdr:col>
                    <xdr:colOff>561975</xdr:colOff>
                    <xdr:row>15</xdr:row>
                    <xdr:rowOff>28575</xdr:rowOff>
                  </from>
                  <to>
                    <xdr:col>3</xdr:col>
                    <xdr:colOff>866775</xdr:colOff>
                    <xdr:row>15</xdr:row>
                    <xdr:rowOff>247650</xdr:rowOff>
                  </to>
                </anchor>
              </controlPr>
            </control>
          </mc:Choice>
        </mc:AlternateContent>
        <mc:AlternateContent xmlns:mc="http://schemas.openxmlformats.org/markup-compatibility/2006">
          <mc:Choice Requires="x14">
            <control shapeId="139274" r:id="rId6" name="Check Box 10">
              <controlPr defaultSize="0" autoFill="0" autoLine="0" autoPict="0">
                <anchor moveWithCells="1">
                  <from>
                    <xdr:col>3</xdr:col>
                    <xdr:colOff>561975</xdr:colOff>
                    <xdr:row>10</xdr:row>
                    <xdr:rowOff>257175</xdr:rowOff>
                  </from>
                  <to>
                    <xdr:col>3</xdr:col>
                    <xdr:colOff>866775</xdr:colOff>
                    <xdr:row>12</xdr:row>
                    <xdr:rowOff>0</xdr:rowOff>
                  </to>
                </anchor>
              </controlPr>
            </control>
          </mc:Choice>
        </mc:AlternateContent>
        <mc:AlternateContent xmlns:mc="http://schemas.openxmlformats.org/markup-compatibility/2006">
          <mc:Choice Requires="x14">
            <control shapeId="139275" r:id="rId7" name="Check Box 11">
              <controlPr defaultSize="0" autoFill="0" autoLine="0" autoPict="0">
                <anchor moveWithCells="1">
                  <from>
                    <xdr:col>3</xdr:col>
                    <xdr:colOff>561975</xdr:colOff>
                    <xdr:row>8</xdr:row>
                    <xdr:rowOff>304800</xdr:rowOff>
                  </from>
                  <to>
                    <xdr:col>3</xdr:col>
                    <xdr:colOff>866775</xdr:colOff>
                    <xdr:row>9</xdr:row>
                    <xdr:rowOff>400050</xdr:rowOff>
                  </to>
                </anchor>
              </controlPr>
            </control>
          </mc:Choice>
        </mc:AlternateContent>
        <mc:AlternateContent xmlns:mc="http://schemas.openxmlformats.org/markup-compatibility/2006">
          <mc:Choice Requires="x14">
            <control shapeId="139276" r:id="rId8" name="Check Box 12">
              <controlPr defaultSize="0" autoFill="0" autoLine="0" autoPict="0">
                <anchor moveWithCells="1">
                  <from>
                    <xdr:col>3</xdr:col>
                    <xdr:colOff>561975</xdr:colOff>
                    <xdr:row>12</xdr:row>
                    <xdr:rowOff>0</xdr:rowOff>
                  </from>
                  <to>
                    <xdr:col>3</xdr:col>
                    <xdr:colOff>866775</xdr:colOff>
                    <xdr:row>13</xdr:row>
                    <xdr:rowOff>0</xdr:rowOff>
                  </to>
                </anchor>
              </controlPr>
            </control>
          </mc:Choice>
        </mc:AlternateContent>
        <mc:AlternateContent xmlns:mc="http://schemas.openxmlformats.org/markup-compatibility/2006">
          <mc:Choice Requires="x14">
            <control shapeId="139277" r:id="rId9" name="Check Box 13">
              <controlPr defaultSize="0" autoFill="0" autoLine="0" autoPict="0">
                <anchor moveWithCells="1">
                  <from>
                    <xdr:col>3</xdr:col>
                    <xdr:colOff>561975</xdr:colOff>
                    <xdr:row>9</xdr:row>
                    <xdr:rowOff>257175</xdr:rowOff>
                  </from>
                  <to>
                    <xdr:col>3</xdr:col>
                    <xdr:colOff>866775</xdr:colOff>
                    <xdr:row>9</xdr:row>
                    <xdr:rowOff>695325</xdr:rowOff>
                  </to>
                </anchor>
              </controlPr>
            </control>
          </mc:Choice>
        </mc:AlternateContent>
        <mc:AlternateContent xmlns:mc="http://schemas.openxmlformats.org/markup-compatibility/2006">
          <mc:Choice Requires="x14">
            <control shapeId="139278" r:id="rId10" name="Check Box 14">
              <controlPr defaultSize="0" autoFill="0" autoLine="0" autoPict="0">
                <anchor moveWithCells="1">
                  <from>
                    <xdr:col>3</xdr:col>
                    <xdr:colOff>561975</xdr:colOff>
                    <xdr:row>12</xdr:row>
                    <xdr:rowOff>257175</xdr:rowOff>
                  </from>
                  <to>
                    <xdr:col>3</xdr:col>
                    <xdr:colOff>866775</xdr:colOff>
                    <xdr:row>14</xdr:row>
                    <xdr:rowOff>9525</xdr:rowOff>
                  </to>
                </anchor>
              </controlPr>
            </control>
          </mc:Choice>
        </mc:AlternateContent>
        <mc:AlternateContent xmlns:mc="http://schemas.openxmlformats.org/markup-compatibility/2006">
          <mc:Choice Requires="x14">
            <control shapeId="139281" r:id="rId11" name="Check Box 17">
              <controlPr defaultSize="0" autoFill="0" autoLine="0" autoPict="0">
                <anchor moveWithCells="1">
                  <from>
                    <xdr:col>3</xdr:col>
                    <xdr:colOff>561975</xdr:colOff>
                    <xdr:row>13</xdr:row>
                    <xdr:rowOff>238125</xdr:rowOff>
                  </from>
                  <to>
                    <xdr:col>3</xdr:col>
                    <xdr:colOff>866775</xdr:colOff>
                    <xdr:row>14</xdr:row>
                    <xdr:rowOff>257175</xdr:rowOff>
                  </to>
                </anchor>
              </controlPr>
            </control>
          </mc:Choice>
        </mc:AlternateContent>
        <mc:AlternateContent xmlns:mc="http://schemas.openxmlformats.org/markup-compatibility/2006">
          <mc:Choice Requires="x14">
            <control shapeId="139289" r:id="rId12" name="Check Box 25">
              <controlPr defaultSize="0" autoFill="0" autoLine="0" autoPict="0">
                <anchor moveWithCells="1">
                  <from>
                    <xdr:col>3</xdr:col>
                    <xdr:colOff>571500</xdr:colOff>
                    <xdr:row>18</xdr:row>
                    <xdr:rowOff>38100</xdr:rowOff>
                  </from>
                  <to>
                    <xdr:col>3</xdr:col>
                    <xdr:colOff>876300</xdr:colOff>
                    <xdr:row>18</xdr:row>
                    <xdr:rowOff>257175</xdr:rowOff>
                  </to>
                </anchor>
              </controlPr>
            </control>
          </mc:Choice>
        </mc:AlternateContent>
        <mc:AlternateContent xmlns:mc="http://schemas.openxmlformats.org/markup-compatibility/2006">
          <mc:Choice Requires="x14">
            <control shapeId="139290" r:id="rId13" name="Check Box 26">
              <controlPr defaultSize="0" autoFill="0" autoLine="0" autoPict="0">
                <anchor moveWithCells="1">
                  <from>
                    <xdr:col>3</xdr:col>
                    <xdr:colOff>571500</xdr:colOff>
                    <xdr:row>19</xdr:row>
                    <xdr:rowOff>57150</xdr:rowOff>
                  </from>
                  <to>
                    <xdr:col>3</xdr:col>
                    <xdr:colOff>800100</xdr:colOff>
                    <xdr:row>20</xdr:row>
                    <xdr:rowOff>19050</xdr:rowOff>
                  </to>
                </anchor>
              </controlPr>
            </control>
          </mc:Choice>
        </mc:AlternateContent>
        <mc:AlternateContent xmlns:mc="http://schemas.openxmlformats.org/markup-compatibility/2006">
          <mc:Choice Requires="x14">
            <control shapeId="139291" r:id="rId14" name="Check Box 27">
              <controlPr defaultSize="0" autoFill="0" autoLine="0" autoPict="0">
                <anchor moveWithCells="1">
                  <from>
                    <xdr:col>3</xdr:col>
                    <xdr:colOff>571500</xdr:colOff>
                    <xdr:row>20</xdr:row>
                    <xdr:rowOff>47625</xdr:rowOff>
                  </from>
                  <to>
                    <xdr:col>3</xdr:col>
                    <xdr:colOff>876300</xdr:colOff>
                    <xdr:row>21</xdr:row>
                    <xdr:rowOff>0</xdr:rowOff>
                  </to>
                </anchor>
              </controlPr>
            </control>
          </mc:Choice>
        </mc:AlternateContent>
        <mc:AlternateContent xmlns:mc="http://schemas.openxmlformats.org/markup-compatibility/2006">
          <mc:Choice Requires="x14">
            <control shapeId="139292" r:id="rId15" name="Group Box 28">
              <controlPr defaultSize="0" autoFill="0" autoPict="0">
                <anchor moveWithCells="1">
                  <from>
                    <xdr:col>6</xdr:col>
                    <xdr:colOff>685800</xdr:colOff>
                    <xdr:row>17</xdr:row>
                    <xdr:rowOff>190500</xdr:rowOff>
                  </from>
                  <to>
                    <xdr:col>6</xdr:col>
                    <xdr:colOff>1047750</xdr:colOff>
                    <xdr:row>21</xdr:row>
                    <xdr:rowOff>19050</xdr:rowOff>
                  </to>
                </anchor>
              </controlPr>
            </control>
          </mc:Choice>
        </mc:AlternateContent>
        <mc:AlternateContent xmlns:mc="http://schemas.openxmlformats.org/markup-compatibility/2006">
          <mc:Choice Requires="x14">
            <control shapeId="139295" r:id="rId16" name="Option Button 31">
              <controlPr defaultSize="0" autoFill="0" autoLine="0" autoPict="0">
                <anchor moveWithCells="1">
                  <from>
                    <xdr:col>6</xdr:col>
                    <xdr:colOff>762000</xdr:colOff>
                    <xdr:row>18</xdr:row>
                    <xdr:rowOff>9525</xdr:rowOff>
                  </from>
                  <to>
                    <xdr:col>6</xdr:col>
                    <xdr:colOff>1019175</xdr:colOff>
                    <xdr:row>18</xdr:row>
                    <xdr:rowOff>247650</xdr:rowOff>
                  </to>
                </anchor>
              </controlPr>
            </control>
          </mc:Choice>
        </mc:AlternateContent>
        <mc:AlternateContent xmlns:mc="http://schemas.openxmlformats.org/markup-compatibility/2006">
          <mc:Choice Requires="x14">
            <control shapeId="139296" r:id="rId17" name="Option Button 32">
              <controlPr defaultSize="0" autoFill="0" autoLine="0" autoPict="0">
                <anchor moveWithCells="1">
                  <from>
                    <xdr:col>6</xdr:col>
                    <xdr:colOff>762000</xdr:colOff>
                    <xdr:row>18</xdr:row>
                    <xdr:rowOff>257175</xdr:rowOff>
                  </from>
                  <to>
                    <xdr:col>6</xdr:col>
                    <xdr:colOff>1019175</xdr:colOff>
                    <xdr:row>20</xdr:row>
                    <xdr:rowOff>9525</xdr:rowOff>
                  </to>
                </anchor>
              </controlPr>
            </control>
          </mc:Choice>
        </mc:AlternateContent>
        <mc:AlternateContent xmlns:mc="http://schemas.openxmlformats.org/markup-compatibility/2006">
          <mc:Choice Requires="x14">
            <control shapeId="139298" r:id="rId18" name="Option Button 34">
              <controlPr defaultSize="0" autoFill="0" autoLine="0" autoPict="0">
                <anchor moveWithCells="1">
                  <from>
                    <xdr:col>6</xdr:col>
                    <xdr:colOff>762000</xdr:colOff>
                    <xdr:row>20</xdr:row>
                    <xdr:rowOff>28575</xdr:rowOff>
                  </from>
                  <to>
                    <xdr:col>6</xdr:col>
                    <xdr:colOff>962025</xdr:colOff>
                    <xdr:row>20</xdr:row>
                    <xdr:rowOff>219075</xdr:rowOff>
                  </to>
                </anchor>
              </controlPr>
            </control>
          </mc:Choice>
        </mc:AlternateContent>
        <mc:AlternateContent xmlns:mc="http://schemas.openxmlformats.org/markup-compatibility/2006">
          <mc:Choice Requires="x14">
            <control shapeId="139299" r:id="rId19" name="Check Box 35">
              <controlPr defaultSize="0" autoFill="0" autoLine="0" autoPict="0">
                <anchor moveWithCells="1">
                  <from>
                    <xdr:col>3</xdr:col>
                    <xdr:colOff>152400</xdr:colOff>
                    <xdr:row>39</xdr:row>
                    <xdr:rowOff>409575</xdr:rowOff>
                  </from>
                  <to>
                    <xdr:col>3</xdr:col>
                    <xdr:colOff>609600</xdr:colOff>
                    <xdr:row>41</xdr:row>
                    <xdr:rowOff>47625</xdr:rowOff>
                  </to>
                </anchor>
              </controlPr>
            </control>
          </mc:Choice>
        </mc:AlternateContent>
        <mc:AlternateContent xmlns:mc="http://schemas.openxmlformats.org/markup-compatibility/2006">
          <mc:Choice Requires="x14">
            <control shapeId="139300" r:id="rId20" name="Check Box 36">
              <controlPr defaultSize="0" autoFill="0" autoLine="0" autoPict="0">
                <anchor moveWithCells="1">
                  <from>
                    <xdr:col>3</xdr:col>
                    <xdr:colOff>152400</xdr:colOff>
                    <xdr:row>40</xdr:row>
                    <xdr:rowOff>190500</xdr:rowOff>
                  </from>
                  <to>
                    <xdr:col>3</xdr:col>
                    <xdr:colOff>609600</xdr:colOff>
                    <xdr:row>42</xdr:row>
                    <xdr:rowOff>47625</xdr:rowOff>
                  </to>
                </anchor>
              </controlPr>
            </control>
          </mc:Choice>
        </mc:AlternateContent>
        <mc:AlternateContent xmlns:mc="http://schemas.openxmlformats.org/markup-compatibility/2006">
          <mc:Choice Requires="x14">
            <control shapeId="139301" r:id="rId21" name="Check Box 37">
              <controlPr defaultSize="0" autoFill="0" autoLine="0" autoPict="0">
                <anchor moveWithCells="1">
                  <from>
                    <xdr:col>3</xdr:col>
                    <xdr:colOff>152400</xdr:colOff>
                    <xdr:row>41</xdr:row>
                    <xdr:rowOff>180975</xdr:rowOff>
                  </from>
                  <to>
                    <xdr:col>3</xdr:col>
                    <xdr:colOff>609600</xdr:colOff>
                    <xdr:row>43</xdr:row>
                    <xdr:rowOff>38100</xdr:rowOff>
                  </to>
                </anchor>
              </controlPr>
            </control>
          </mc:Choice>
        </mc:AlternateContent>
        <mc:AlternateContent xmlns:mc="http://schemas.openxmlformats.org/markup-compatibility/2006">
          <mc:Choice Requires="x14">
            <control shapeId="139302" r:id="rId22" name="Check Box 38">
              <controlPr defaultSize="0" autoFill="0" autoLine="0" autoPict="0">
                <anchor moveWithCells="1">
                  <from>
                    <xdr:col>3</xdr:col>
                    <xdr:colOff>152400</xdr:colOff>
                    <xdr:row>42</xdr:row>
                    <xdr:rowOff>180975</xdr:rowOff>
                  </from>
                  <to>
                    <xdr:col>3</xdr:col>
                    <xdr:colOff>609600</xdr:colOff>
                    <xdr:row>44</xdr:row>
                    <xdr:rowOff>38100</xdr:rowOff>
                  </to>
                </anchor>
              </controlPr>
            </control>
          </mc:Choice>
        </mc:AlternateContent>
        <mc:AlternateContent xmlns:mc="http://schemas.openxmlformats.org/markup-compatibility/2006">
          <mc:Choice Requires="x14">
            <control shapeId="139303" r:id="rId23" name="Check Box 39">
              <controlPr defaultSize="0" autoFill="0" autoLine="0" autoPict="0">
                <anchor moveWithCells="1">
                  <from>
                    <xdr:col>5</xdr:col>
                    <xdr:colOff>695325</xdr:colOff>
                    <xdr:row>40</xdr:row>
                    <xdr:rowOff>9525</xdr:rowOff>
                  </from>
                  <to>
                    <xdr:col>6</xdr:col>
                    <xdr:colOff>66675</xdr:colOff>
                    <xdr:row>41</xdr:row>
                    <xdr:rowOff>28575</xdr:rowOff>
                  </to>
                </anchor>
              </controlPr>
            </control>
          </mc:Choice>
        </mc:AlternateContent>
        <mc:AlternateContent xmlns:mc="http://schemas.openxmlformats.org/markup-compatibility/2006">
          <mc:Choice Requires="x14">
            <control shapeId="139304" r:id="rId24" name="Check Box 40">
              <controlPr defaultSize="0" autoFill="0" autoLine="0" autoPict="0">
                <anchor moveWithCells="1">
                  <from>
                    <xdr:col>5</xdr:col>
                    <xdr:colOff>695325</xdr:colOff>
                    <xdr:row>41</xdr:row>
                    <xdr:rowOff>9525</xdr:rowOff>
                  </from>
                  <to>
                    <xdr:col>6</xdr:col>
                    <xdr:colOff>66675</xdr:colOff>
                    <xdr:row>42</xdr:row>
                    <xdr:rowOff>28575</xdr:rowOff>
                  </to>
                </anchor>
              </controlPr>
            </control>
          </mc:Choice>
        </mc:AlternateContent>
        <mc:AlternateContent xmlns:mc="http://schemas.openxmlformats.org/markup-compatibility/2006">
          <mc:Choice Requires="x14">
            <control shapeId="139305" r:id="rId25" name="Check Box 41">
              <controlPr defaultSize="0" autoFill="0" autoLine="0" autoPict="0">
                <anchor moveWithCells="1">
                  <from>
                    <xdr:col>5</xdr:col>
                    <xdr:colOff>695325</xdr:colOff>
                    <xdr:row>42</xdr:row>
                    <xdr:rowOff>0</xdr:rowOff>
                  </from>
                  <to>
                    <xdr:col>6</xdr:col>
                    <xdr:colOff>66675</xdr:colOff>
                    <xdr:row>43</xdr:row>
                    <xdr:rowOff>19050</xdr:rowOff>
                  </to>
                </anchor>
              </controlPr>
            </control>
          </mc:Choice>
        </mc:AlternateContent>
        <mc:AlternateContent xmlns:mc="http://schemas.openxmlformats.org/markup-compatibility/2006">
          <mc:Choice Requires="x14">
            <control shapeId="139306" r:id="rId26" name="Check Box 42">
              <controlPr defaultSize="0" autoFill="0" autoLine="0" autoPict="0">
                <anchor moveWithCells="1">
                  <from>
                    <xdr:col>5</xdr:col>
                    <xdr:colOff>695325</xdr:colOff>
                    <xdr:row>43</xdr:row>
                    <xdr:rowOff>0</xdr:rowOff>
                  </from>
                  <to>
                    <xdr:col>6</xdr:col>
                    <xdr:colOff>66675</xdr:colOff>
                    <xdr:row>44</xdr:row>
                    <xdr:rowOff>19050</xdr:rowOff>
                  </to>
                </anchor>
              </controlPr>
            </control>
          </mc:Choice>
        </mc:AlternateContent>
        <mc:AlternateContent xmlns:mc="http://schemas.openxmlformats.org/markup-compatibility/2006">
          <mc:Choice Requires="x14">
            <control shapeId="139307" r:id="rId27" name="Check Box 43">
              <controlPr defaultSize="0" autoFill="0" autoLine="0" autoPict="0">
                <anchor moveWithCells="1">
                  <from>
                    <xdr:col>7</xdr:col>
                    <xdr:colOff>790575</xdr:colOff>
                    <xdr:row>40</xdr:row>
                    <xdr:rowOff>28575</xdr:rowOff>
                  </from>
                  <to>
                    <xdr:col>9</xdr:col>
                    <xdr:colOff>38100</xdr:colOff>
                    <xdr:row>41</xdr:row>
                    <xdr:rowOff>47625</xdr:rowOff>
                  </to>
                </anchor>
              </controlPr>
            </control>
          </mc:Choice>
        </mc:AlternateContent>
        <mc:AlternateContent xmlns:mc="http://schemas.openxmlformats.org/markup-compatibility/2006">
          <mc:Choice Requires="x14">
            <control shapeId="139308" r:id="rId28" name="Check Box 44">
              <controlPr defaultSize="0" autoFill="0" autoLine="0" autoPict="0">
                <anchor moveWithCells="1">
                  <from>
                    <xdr:col>7</xdr:col>
                    <xdr:colOff>790575</xdr:colOff>
                    <xdr:row>41</xdr:row>
                    <xdr:rowOff>9525</xdr:rowOff>
                  </from>
                  <to>
                    <xdr:col>9</xdr:col>
                    <xdr:colOff>38100</xdr:colOff>
                    <xdr:row>42</xdr:row>
                    <xdr:rowOff>28575</xdr:rowOff>
                  </to>
                </anchor>
              </controlPr>
            </control>
          </mc:Choice>
        </mc:AlternateContent>
        <mc:AlternateContent xmlns:mc="http://schemas.openxmlformats.org/markup-compatibility/2006">
          <mc:Choice Requires="x14">
            <control shapeId="139309" r:id="rId29" name="Check Box 45">
              <controlPr defaultSize="0" autoFill="0" autoLine="0" autoPict="0">
                <anchor moveWithCells="1">
                  <from>
                    <xdr:col>7</xdr:col>
                    <xdr:colOff>790575</xdr:colOff>
                    <xdr:row>41</xdr:row>
                    <xdr:rowOff>190500</xdr:rowOff>
                  </from>
                  <to>
                    <xdr:col>9</xdr:col>
                    <xdr:colOff>38100</xdr:colOff>
                    <xdr:row>43</xdr:row>
                    <xdr:rowOff>9525</xdr:rowOff>
                  </to>
                </anchor>
              </controlPr>
            </control>
          </mc:Choice>
        </mc:AlternateContent>
        <mc:AlternateContent xmlns:mc="http://schemas.openxmlformats.org/markup-compatibility/2006">
          <mc:Choice Requires="x14">
            <control shapeId="139310" r:id="rId30" name="Check Box 46">
              <controlPr defaultSize="0" autoFill="0" autoLine="0" autoPict="0">
                <anchor moveWithCells="1">
                  <from>
                    <xdr:col>7</xdr:col>
                    <xdr:colOff>790575</xdr:colOff>
                    <xdr:row>42</xdr:row>
                    <xdr:rowOff>171450</xdr:rowOff>
                  </from>
                  <to>
                    <xdr:col>9</xdr:col>
                    <xdr:colOff>38100</xdr:colOff>
                    <xdr:row>43</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G36"/>
  <sheetViews>
    <sheetView showGridLines="0" zoomScale="80" zoomScaleNormal="80" workbookViewId="0">
      <selection activeCell="V21" sqref="V21"/>
    </sheetView>
  </sheetViews>
  <sheetFormatPr defaultColWidth="9"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7" t="str">
        <f>C.2Name</f>
        <v>2012 PM 2.5 Annual NAAQS Infrastructure SIP, and Interstate Transport Submittal for PM 2.5, Pb, SO2, NO2</v>
      </c>
      <c r="G2" s="1497"/>
      <c r="H2" s="1497"/>
      <c r="I2" s="1497"/>
      <c r="J2" s="1497"/>
      <c r="K2" s="1497"/>
      <c r="L2" s="1497"/>
      <c r="M2" s="1497"/>
      <c r="N2" s="1497"/>
      <c r="O2" s="1497"/>
      <c r="P2" s="1497"/>
      <c r="Q2" s="1497"/>
      <c r="R2" s="1497"/>
      <c r="S2" s="1497"/>
      <c r="T2" s="1105"/>
      <c r="U2" s="563"/>
      <c r="V2" s="272" t="s">
        <v>0</v>
      </c>
      <c r="W2" s="159"/>
      <c r="X2" s="68"/>
      <c r="Y2" s="68"/>
      <c r="Z2" s="147"/>
      <c r="AA2" s="147"/>
    </row>
    <row r="3" spans="1:59" s="66" customFormat="1" ht="12.75" customHeight="1" thickTop="1">
      <c r="A3" s="601"/>
      <c r="B3" s="563"/>
      <c r="C3" s="1486"/>
      <c r="D3" s="1487"/>
      <c r="E3" s="1487"/>
      <c r="F3" s="1487"/>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9" t="s">
        <v>274</v>
      </c>
      <c r="H4" s="1499"/>
      <c r="I4" s="1498" t="s">
        <v>274</v>
      </c>
      <c r="J4" s="1498"/>
      <c r="K4" s="1498"/>
      <c r="L4" s="1498"/>
      <c r="M4" s="1498"/>
      <c r="N4" s="1498"/>
      <c r="O4" s="1498"/>
      <c r="P4" s="1498"/>
      <c r="Q4" s="1498"/>
      <c r="R4" s="1498"/>
      <c r="S4" s="1498"/>
      <c r="T4" s="201"/>
      <c r="U4" s="563"/>
      <c r="V4" s="272"/>
      <c r="W4" s="161"/>
      <c r="X4" s="271"/>
      <c r="Y4" s="289"/>
      <c r="Z4" s="147"/>
      <c r="AA4" s="147"/>
    </row>
    <row r="5" spans="1:59" s="66" customFormat="1" ht="18" customHeight="1">
      <c r="A5" s="601"/>
      <c r="B5" s="563"/>
      <c r="C5" s="274"/>
      <c r="D5" s="1492" t="s">
        <v>1064</v>
      </c>
      <c r="E5" s="1492"/>
      <c r="F5" s="1492"/>
      <c r="G5" s="1491"/>
      <c r="H5" s="1491"/>
      <c r="I5" s="1479"/>
      <c r="J5" s="1480"/>
      <c r="K5" s="1480"/>
      <c r="L5" s="1480"/>
      <c r="M5" s="1480"/>
      <c r="N5" s="1480"/>
      <c r="O5" s="1480"/>
      <c r="P5" s="1480"/>
      <c r="Q5" s="1480"/>
      <c r="R5" s="1480"/>
      <c r="S5" s="1481"/>
      <c r="T5" s="201"/>
      <c r="U5" s="563"/>
      <c r="V5" s="272"/>
      <c r="W5" s="161"/>
      <c r="X5" s="271"/>
      <c r="Y5" s="289"/>
      <c r="Z5" s="147"/>
      <c r="AA5" s="147"/>
    </row>
    <row r="6" spans="1:59" s="843" customFormat="1" ht="18" customHeight="1">
      <c r="A6" s="852"/>
      <c r="B6" s="851"/>
      <c r="C6" s="849"/>
      <c r="D6" s="1492" t="s">
        <v>0</v>
      </c>
      <c r="E6" s="1492"/>
      <c r="F6" s="1492"/>
      <c r="G6" s="1476" t="s">
        <v>0</v>
      </c>
      <c r="H6" s="1478"/>
      <c r="I6" s="1493"/>
      <c r="J6" s="1493"/>
      <c r="K6" s="1493"/>
      <c r="L6" s="1493"/>
      <c r="M6" s="1493"/>
      <c r="N6" s="1493"/>
      <c r="O6" s="1493"/>
      <c r="P6" s="1493"/>
      <c r="Q6" s="1493"/>
      <c r="R6" s="1493"/>
      <c r="S6" s="1494"/>
      <c r="T6" s="848"/>
      <c r="U6" s="851"/>
      <c r="V6" s="847"/>
      <c r="W6" s="846"/>
      <c r="X6" s="845"/>
      <c r="Y6" s="845"/>
      <c r="Z6" s="844"/>
      <c r="AA6" s="844"/>
    </row>
    <row r="7" spans="1:59" s="66" customFormat="1" ht="25.5" customHeight="1">
      <c r="A7" s="601"/>
      <c r="B7" s="563"/>
      <c r="C7" s="274"/>
      <c r="D7" s="343" t="s">
        <v>273</v>
      </c>
      <c r="E7" s="311"/>
      <c r="F7" s="311"/>
      <c r="G7" s="311"/>
      <c r="H7" s="311"/>
      <c r="I7" s="1496"/>
      <c r="J7" s="1496"/>
      <c r="K7" s="1496"/>
      <c r="L7" s="1496"/>
      <c r="M7" s="1496"/>
      <c r="N7" s="1496"/>
      <c r="O7" s="1496"/>
      <c r="P7" s="1496"/>
      <c r="Q7" s="1496"/>
      <c r="R7" s="1496"/>
      <c r="S7" s="1496"/>
      <c r="T7" s="201"/>
      <c r="U7" s="563"/>
      <c r="V7" s="272"/>
      <c r="W7" s="161"/>
      <c r="X7" s="271"/>
      <c r="Y7" s="289"/>
      <c r="Z7" s="147"/>
      <c r="AA7" s="147"/>
    </row>
    <row r="8" spans="1:59" s="843" customFormat="1" ht="18" customHeight="1">
      <c r="A8" s="852"/>
      <c r="B8" s="851"/>
      <c r="C8" s="1021"/>
      <c r="D8" s="1492" t="s">
        <v>1069</v>
      </c>
      <c r="E8" s="1492"/>
      <c r="F8" s="1492"/>
      <c r="G8" s="1491"/>
      <c r="H8" s="1491"/>
      <c r="I8" s="1479"/>
      <c r="J8" s="1480"/>
      <c r="K8" s="1480"/>
      <c r="L8" s="1480"/>
      <c r="M8" s="1480"/>
      <c r="N8" s="1480"/>
      <c r="O8" s="1480"/>
      <c r="P8" s="1480"/>
      <c r="Q8" s="1480"/>
      <c r="R8" s="1480"/>
      <c r="S8" s="1481"/>
      <c r="T8" s="848"/>
      <c r="U8" s="851"/>
      <c r="V8" s="1017"/>
      <c r="W8" s="846"/>
      <c r="X8" s="845"/>
      <c r="Y8" s="845"/>
      <c r="Z8" s="844"/>
      <c r="AA8" s="844"/>
    </row>
    <row r="9" spans="1:59" s="843" customFormat="1" ht="18" customHeight="1">
      <c r="A9" s="852"/>
      <c r="B9" s="851"/>
      <c r="C9" s="1021"/>
      <c r="D9" s="1492" t="s">
        <v>0</v>
      </c>
      <c r="E9" s="1492"/>
      <c r="F9" s="1492"/>
      <c r="G9" s="1476" t="s">
        <v>0</v>
      </c>
      <c r="H9" s="1478"/>
      <c r="I9" s="1493"/>
      <c r="J9" s="1493"/>
      <c r="K9" s="1493"/>
      <c r="L9" s="1493"/>
      <c r="M9" s="1493"/>
      <c r="N9" s="1493"/>
      <c r="O9" s="1493"/>
      <c r="P9" s="1493"/>
      <c r="Q9" s="1493"/>
      <c r="R9" s="1493"/>
      <c r="S9" s="1494"/>
      <c r="T9" s="848"/>
      <c r="U9" s="851"/>
      <c r="V9" s="1017"/>
      <c r="W9" s="846"/>
      <c r="X9" s="845"/>
      <c r="Y9" s="845"/>
      <c r="Z9" s="844"/>
      <c r="AA9" s="844"/>
    </row>
    <row r="10" spans="1:59" s="66" customFormat="1" ht="25.5" customHeight="1">
      <c r="A10" s="601"/>
      <c r="B10" s="563"/>
      <c r="C10" s="274"/>
      <c r="D10" s="1022" t="s">
        <v>192</v>
      </c>
      <c r="E10" s="311"/>
      <c r="F10" s="311"/>
      <c r="G10" s="311"/>
      <c r="H10" s="311"/>
      <c r="I10" s="1475"/>
      <c r="J10" s="1475"/>
      <c r="K10" s="1475"/>
      <c r="L10" s="1475"/>
      <c r="M10" s="1475"/>
      <c r="N10" s="1475"/>
      <c r="O10" s="1475"/>
      <c r="P10" s="1475"/>
      <c r="Q10" s="1475"/>
      <c r="R10" s="1475"/>
      <c r="S10" s="1475"/>
      <c r="T10" s="201"/>
      <c r="U10" s="563"/>
      <c r="V10" s="272"/>
      <c r="W10" s="161"/>
      <c r="X10" s="271"/>
      <c r="Y10" s="289"/>
      <c r="Z10" s="147"/>
      <c r="AA10" s="147"/>
    </row>
    <row r="11" spans="1:59" s="843" customFormat="1" ht="18" customHeight="1">
      <c r="A11" s="852"/>
      <c r="B11" s="851"/>
      <c r="C11" s="1021"/>
      <c r="D11" s="1492" t="s">
        <v>1065</v>
      </c>
      <c r="E11" s="1492"/>
      <c r="F11" s="1492"/>
      <c r="G11" s="1491"/>
      <c r="H11" s="1491"/>
      <c r="I11" s="1479"/>
      <c r="J11" s="1480"/>
      <c r="K11" s="1480"/>
      <c r="L11" s="1480"/>
      <c r="M11" s="1480"/>
      <c r="N11" s="1480"/>
      <c r="O11" s="1480"/>
      <c r="P11" s="1480"/>
      <c r="Q11" s="1480"/>
      <c r="R11" s="1480"/>
      <c r="S11" s="1481"/>
      <c r="T11" s="848"/>
      <c r="U11" s="851"/>
      <c r="V11" s="1017"/>
      <c r="W11" s="846"/>
      <c r="X11" s="845"/>
      <c r="Y11" s="845"/>
      <c r="Z11" s="844"/>
      <c r="AA11" s="844"/>
    </row>
    <row r="12" spans="1:59" s="843" customFormat="1" ht="18" customHeight="1">
      <c r="A12" s="852"/>
      <c r="B12" s="851"/>
      <c r="C12" s="1021"/>
      <c r="D12" s="1492" t="s">
        <v>0</v>
      </c>
      <c r="E12" s="1492"/>
      <c r="F12" s="1492"/>
      <c r="G12" s="1476" t="s">
        <v>0</v>
      </c>
      <c r="H12" s="1478"/>
      <c r="I12" s="1476"/>
      <c r="J12" s="1477"/>
      <c r="K12" s="1477"/>
      <c r="L12" s="1477"/>
      <c r="M12" s="1477"/>
      <c r="N12" s="1477"/>
      <c r="O12" s="1477"/>
      <c r="P12" s="1477"/>
      <c r="Q12" s="1477"/>
      <c r="R12" s="1477"/>
      <c r="S12" s="1478"/>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6" t="s">
        <v>283</v>
      </c>
      <c r="J14" s="1387"/>
      <c r="K14" s="1387"/>
      <c r="L14" s="1387"/>
      <c r="M14" s="1387"/>
      <c r="N14" s="1387"/>
      <c r="O14" s="1387"/>
      <c r="P14" s="1387"/>
      <c r="Q14" s="1387"/>
      <c r="R14" s="1388"/>
      <c r="S14" s="183"/>
      <c r="T14" s="201"/>
      <c r="U14" s="563"/>
      <c r="V14" s="385" t="s">
        <v>844</v>
      </c>
      <c r="W14" s="161"/>
      <c r="X14" s="33">
        <f>VLOOKUP(I14,C.VL_SeverityRating,2,FALSE)</f>
        <v>3</v>
      </c>
      <c r="Y14" s="637" t="str">
        <f>I14</f>
        <v>low to medium</v>
      </c>
      <c r="Z14" s="55"/>
      <c r="AA14" s="55"/>
    </row>
    <row r="15" spans="1:59" s="66" customFormat="1" ht="17.25" customHeight="1">
      <c r="A15" s="601"/>
      <c r="B15" s="563"/>
      <c r="C15" s="279"/>
      <c r="D15"/>
      <c r="E15"/>
      <c r="F15"/>
      <c r="G15" s="1473" t="s">
        <v>280</v>
      </c>
      <c r="H15" s="1474"/>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5" t="s">
        <v>300</v>
      </c>
      <c r="I16" s="1495"/>
      <c r="J16" s="1495"/>
      <c r="K16" s="1495"/>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50" t="s">
        <v>277</v>
      </c>
      <c r="E17" s="1350"/>
      <c r="F17" s="1350"/>
      <c r="G17" s="1350"/>
      <c r="H17" s="1470" t="s">
        <v>0</v>
      </c>
      <c r="I17" s="1471"/>
      <c r="J17" s="1471"/>
      <c r="K17" s="1471"/>
      <c r="L17" s="1471"/>
      <c r="M17" s="1471"/>
      <c r="N17" s="1471"/>
      <c r="O17" s="1471"/>
      <c r="P17" s="1471"/>
      <c r="Q17" s="1471"/>
      <c r="R17" s="1471"/>
      <c r="S17" s="1472"/>
      <c r="T17" s="206"/>
      <c r="U17" s="563"/>
      <c r="V17" s="1080"/>
      <c r="W17" s="273"/>
      <c r="X17" s="284" t="b">
        <v>0</v>
      </c>
      <c r="Y17" s="284"/>
      <c r="Z17" s="1439" t="str">
        <f>IF($X17=FALSE,"",IF(COUNTIF($X18:$X$23,TRUE)=0,LOWER($D17),IF(COUNTIF($X18:$X$23,TRUE)=1,LOWER($D17)&amp;" and ",LOWER($D17)&amp;", ")))</f>
        <v/>
      </c>
      <c r="AA17" s="1439"/>
      <c r="AC17" s="273"/>
      <c r="AD17" s="273"/>
    </row>
    <row r="18" spans="1:30" s="66" customFormat="1" ht="21" customHeight="1">
      <c r="A18" s="601"/>
      <c r="B18" s="563"/>
      <c r="C18" s="202"/>
      <c r="D18" s="1350" t="s">
        <v>279</v>
      </c>
      <c r="E18" s="1350"/>
      <c r="F18" s="1350"/>
      <c r="G18" s="1350"/>
      <c r="H18" s="1470"/>
      <c r="I18" s="1471"/>
      <c r="J18" s="1471"/>
      <c r="K18" s="1471"/>
      <c r="L18" s="1471"/>
      <c r="M18" s="1471"/>
      <c r="N18" s="1471"/>
      <c r="O18" s="1471"/>
      <c r="P18" s="1471"/>
      <c r="Q18" s="1471"/>
      <c r="R18" s="1471"/>
      <c r="S18" s="1472"/>
      <c r="T18" s="206"/>
      <c r="U18" s="563"/>
      <c r="V18" s="273"/>
      <c r="W18" s="273"/>
      <c r="X18" s="284" t="b">
        <v>0</v>
      </c>
      <c r="Y18" s="284"/>
      <c r="Z18" s="1439" t="str">
        <f>IF($X18=FALSE,"",IF(COUNTIF($X19:$X$23,TRUE)=0,LOWER($D18),IF(COUNTIF($X19:$X$23,TRUE)=1,LOWER($D18)&amp;" and ",LOWER($D18)&amp;", ")))</f>
        <v/>
      </c>
      <c r="AA18" s="1439"/>
      <c r="AC18" s="273"/>
      <c r="AD18" s="273"/>
    </row>
    <row r="19" spans="1:30" s="66" customFormat="1" ht="21" customHeight="1">
      <c r="A19" s="601"/>
      <c r="B19" s="563"/>
      <c r="C19" s="202"/>
      <c r="D19" s="1340" t="s">
        <v>275</v>
      </c>
      <c r="E19" s="1340"/>
      <c r="F19" s="1340"/>
      <c r="G19" s="1340"/>
      <c r="H19" s="1470"/>
      <c r="I19" s="1471"/>
      <c r="J19" s="1471"/>
      <c r="K19" s="1471"/>
      <c r="L19" s="1471"/>
      <c r="M19" s="1471"/>
      <c r="N19" s="1471"/>
      <c r="O19" s="1471"/>
      <c r="P19" s="1471"/>
      <c r="Q19" s="1471"/>
      <c r="R19" s="1471"/>
      <c r="S19" s="1472"/>
      <c r="T19" s="206"/>
      <c r="U19" s="563"/>
      <c r="V19" s="273"/>
      <c r="W19" s="273"/>
      <c r="X19" s="284" t="b">
        <v>0</v>
      </c>
      <c r="Y19" s="284"/>
      <c r="Z19" s="1439" t="str">
        <f>IF($X19=FALSE,"",IF(COUNTIF($X21:$X$23,TRUE)=0,LOWER($D19),IF(COUNTIF($X21:$X$23,TRUE)=1,LOWER($D19)&amp;" and ",LOWER($D19)&amp;", ")))</f>
        <v/>
      </c>
      <c r="AA19" s="1439"/>
      <c r="AC19" s="273"/>
      <c r="AD19" s="273"/>
    </row>
    <row r="20" spans="1:30" s="843" customFormat="1" ht="21" customHeight="1">
      <c r="A20" s="852"/>
      <c r="B20" s="851"/>
      <c r="C20" s="202"/>
      <c r="D20" s="1340" t="s">
        <v>278</v>
      </c>
      <c r="E20" s="1340"/>
      <c r="F20" s="1340"/>
      <c r="G20" s="1340"/>
      <c r="H20" s="1470"/>
      <c r="I20" s="1471"/>
      <c r="J20" s="1471"/>
      <c r="K20" s="1471"/>
      <c r="L20" s="1471"/>
      <c r="M20" s="1471"/>
      <c r="N20" s="1471"/>
      <c r="O20" s="1471"/>
      <c r="P20" s="1471"/>
      <c r="Q20" s="1471"/>
      <c r="R20" s="1471"/>
      <c r="S20" s="1472"/>
      <c r="T20" s="206"/>
      <c r="U20" s="851"/>
      <c r="V20" s="1087"/>
      <c r="W20" s="1087"/>
      <c r="X20" s="284"/>
      <c r="Y20" s="284"/>
      <c r="Z20" s="1086"/>
      <c r="AA20" s="1086"/>
      <c r="AC20" s="1087"/>
      <c r="AD20" s="1087"/>
    </row>
    <row r="21" spans="1:30" s="66" customFormat="1" ht="42" customHeight="1">
      <c r="A21" s="601"/>
      <c r="B21" s="563"/>
      <c r="C21" s="202"/>
      <c r="D21" s="1340" t="s">
        <v>860</v>
      </c>
      <c r="E21" s="1340"/>
      <c r="F21" s="1340"/>
      <c r="G21" s="1340"/>
      <c r="H21" s="1470" t="s">
        <v>1063</v>
      </c>
      <c r="I21" s="1471"/>
      <c r="J21" s="1471"/>
      <c r="K21" s="1471"/>
      <c r="L21" s="1471"/>
      <c r="M21" s="1471"/>
      <c r="N21" s="1471"/>
      <c r="O21" s="1471"/>
      <c r="P21" s="1471"/>
      <c r="Q21" s="1471"/>
      <c r="R21" s="1471"/>
      <c r="S21" s="1472"/>
      <c r="T21" s="206"/>
      <c r="U21" s="563"/>
      <c r="V21" s="273"/>
      <c r="W21" s="273"/>
      <c r="X21" s="284" t="b">
        <v>1</v>
      </c>
      <c r="Y21" s="284"/>
      <c r="Z21" s="1439" t="str">
        <f>IF($X21=FALSE,"",IF(COUNTIF($X22:$X$23,TRUE)=0,LOWER($D20),IF(COUNTIF($X22:$X$23,TRUE)=1,LOWER($D20)&amp;" and ",LOWER($D20)&amp;", ")))</f>
        <v>failure to comply with clean air act</v>
      </c>
      <c r="AA21" s="1439"/>
      <c r="AC21" s="273"/>
      <c r="AD21" s="273"/>
    </row>
    <row r="22" spans="1:30" s="66" customFormat="1" ht="21" customHeight="1">
      <c r="A22" s="601"/>
      <c r="B22" s="563"/>
      <c r="C22" s="202"/>
      <c r="D22" s="1339" t="s">
        <v>276</v>
      </c>
      <c r="E22" s="1339"/>
      <c r="F22" s="1339"/>
      <c r="G22" s="1339"/>
      <c r="H22" s="1488" t="s">
        <v>0</v>
      </c>
      <c r="I22" s="1489"/>
      <c r="J22" s="1489"/>
      <c r="K22" s="1489"/>
      <c r="L22" s="1489"/>
      <c r="M22" s="1489"/>
      <c r="N22" s="1489"/>
      <c r="O22" s="1489"/>
      <c r="P22" s="1489"/>
      <c r="Q22" s="1489"/>
      <c r="R22" s="1489"/>
      <c r="S22" s="1490"/>
      <c r="T22" s="206"/>
      <c r="U22" s="563"/>
      <c r="V22" s="273"/>
      <c r="W22" s="273"/>
      <c r="X22" s="284" t="b">
        <v>0</v>
      </c>
      <c r="Y22" s="284"/>
      <c r="Z22" s="1439" t="str">
        <f>IF($X22=FALSE,"",IF($X23:$X$23=FALSE,LOWER($E22),LOWER($E22)&amp;" and "))</f>
        <v/>
      </c>
      <c r="AA22" s="1439"/>
      <c r="AC22" s="273" t="s">
        <v>0</v>
      </c>
      <c r="AD22" s="273"/>
    </row>
    <row r="23" spans="1:30" s="66" customFormat="1" ht="21" customHeight="1">
      <c r="A23" s="601"/>
      <c r="B23" s="563"/>
      <c r="C23" s="202"/>
      <c r="D23" s="1339" t="s">
        <v>276</v>
      </c>
      <c r="E23" s="1339"/>
      <c r="F23" s="1339"/>
      <c r="G23" s="1339"/>
      <c r="H23" s="1470"/>
      <c r="I23" s="1471"/>
      <c r="J23" s="1471"/>
      <c r="K23" s="1471"/>
      <c r="L23" s="1471"/>
      <c r="M23" s="1471"/>
      <c r="N23" s="1471"/>
      <c r="O23" s="1471"/>
      <c r="P23" s="1471"/>
      <c r="Q23" s="1471"/>
      <c r="R23" s="1471"/>
      <c r="S23" s="1472"/>
      <c r="T23" s="206"/>
      <c r="U23" s="563"/>
      <c r="V23" s="273"/>
      <c r="W23" s="273"/>
      <c r="X23" s="284" t="b">
        <v>0</v>
      </c>
      <c r="Y23" s="284"/>
      <c r="Z23" s="1439" t="str">
        <f>IF($X23=FALSE,"",LOWER($E23))</f>
        <v/>
      </c>
      <c r="AA23" s="1439"/>
      <c r="AC23" s="285" t="s">
        <v>0</v>
      </c>
      <c r="AD23" s="273"/>
    </row>
    <row r="24" spans="1:30" s="66" customFormat="1" ht="30" customHeight="1">
      <c r="A24" s="601"/>
      <c r="B24" s="563"/>
      <c r="C24" s="202"/>
      <c r="D24" s="1407" t="s">
        <v>267</v>
      </c>
      <c r="E24" s="1407"/>
      <c r="F24" s="1407"/>
      <c r="G24" s="1407"/>
      <c r="H24" s="193"/>
      <c r="I24" s="193"/>
      <c r="J24" s="193"/>
      <c r="K24" s="193"/>
      <c r="L24" s="193"/>
      <c r="M24" s="193"/>
      <c r="N24" s="193"/>
      <c r="O24" s="193"/>
      <c r="P24" s="193"/>
      <c r="Q24" s="193"/>
      <c r="R24" s="193"/>
      <c r="S24" s="275"/>
      <c r="T24" s="206"/>
      <c r="U24" s="563"/>
      <c r="V24" s="161"/>
      <c r="W24" s="161"/>
      <c r="X24" s="1399" t="str">
        <f>IF(COUNTIF(X17:X23,TRUE),"LEGAL: "&amp;Z17&amp;Z18&amp;Z19&amp;Z21&amp;Z22&amp;Z23&amp;".","")</f>
        <v>LEGAL: failure to comply with clean air act.</v>
      </c>
      <c r="Y24" s="1485"/>
      <c r="Z24" s="1485"/>
      <c r="AA24" s="1400"/>
    </row>
    <row r="25" spans="1:30" s="66" customFormat="1" ht="15.75" customHeight="1">
      <c r="A25" s="601"/>
      <c r="B25" s="563"/>
      <c r="C25" s="202"/>
      <c r="D25" s="1261" t="s">
        <v>0</v>
      </c>
      <c r="E25" s="1262"/>
      <c r="F25" s="1262"/>
      <c r="G25" s="1262"/>
      <c r="H25" s="1262"/>
      <c r="I25" s="1262"/>
      <c r="J25" s="1262"/>
      <c r="K25" s="1262"/>
      <c r="L25" s="1262"/>
      <c r="M25" s="1262"/>
      <c r="N25" s="1262"/>
      <c r="O25" s="1262"/>
      <c r="P25" s="1262"/>
      <c r="Q25" s="1262"/>
      <c r="R25" s="1262"/>
      <c r="S25" s="1262"/>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42" t="s">
        <v>37</v>
      </c>
      <c r="J27" s="1343"/>
      <c r="K27" s="1343"/>
      <c r="L27" s="1343"/>
      <c r="M27" s="1343"/>
      <c r="N27" s="1343"/>
      <c r="O27" s="1343"/>
      <c r="P27" s="1343"/>
      <c r="Q27" s="1343"/>
      <c r="R27" s="1344"/>
      <c r="S27" s="183"/>
      <c r="T27" s="201"/>
      <c r="U27" s="563"/>
      <c r="V27" s="313" t="s">
        <v>838</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73" t="s">
        <v>239</v>
      </c>
      <c r="H28" s="1474"/>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2" t="s">
        <v>0</v>
      </c>
      <c r="E32" s="1483"/>
      <c r="F32" s="1483"/>
      <c r="G32" s="1483"/>
      <c r="H32" s="1483"/>
      <c r="I32" s="1483"/>
      <c r="J32" s="1483"/>
      <c r="K32" s="1483"/>
      <c r="L32" s="1483"/>
      <c r="M32" s="1483"/>
      <c r="N32" s="1483"/>
      <c r="O32" s="1483"/>
      <c r="P32" s="1483"/>
      <c r="Q32" s="1483"/>
      <c r="R32" s="1483"/>
      <c r="S32" s="1484"/>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5" t="s">
        <v>0</v>
      </c>
      <c r="E34" s="1446"/>
      <c r="F34" s="1446"/>
      <c r="G34" s="1446"/>
      <c r="H34" s="1446"/>
      <c r="I34" s="1446"/>
      <c r="J34" s="1446"/>
      <c r="K34" s="1446"/>
      <c r="L34" s="1446"/>
      <c r="M34" s="1446"/>
      <c r="N34" s="1446"/>
      <c r="O34" s="1446"/>
      <c r="P34" s="1446"/>
      <c r="Q34" s="1446"/>
      <c r="R34" s="1446"/>
      <c r="S34" s="1447"/>
      <c r="T34" s="201"/>
      <c r="U34" s="563"/>
      <c r="W34" s="161"/>
      <c r="X34" s="122"/>
      <c r="Y34" s="122"/>
      <c r="Z34" s="147"/>
      <c r="AA34" s="147"/>
    </row>
    <row r="35" spans="1:27">
      <c r="B35" s="563"/>
      <c r="C35" s="276"/>
      <c r="D35" s="277"/>
      <c r="E35" s="277"/>
      <c r="F35" s="277"/>
      <c r="G35" s="1273">
        <f ca="1">TODAY()</f>
        <v>41960</v>
      </c>
      <c r="H35" s="1273"/>
      <c r="I35" s="1273"/>
      <c r="J35" s="1273"/>
      <c r="K35" s="1273"/>
      <c r="L35" s="1273"/>
      <c r="M35" s="1273"/>
      <c r="N35" s="1273"/>
      <c r="O35" s="1273"/>
      <c r="P35" s="1273"/>
      <c r="Q35" s="1273"/>
      <c r="R35" s="1273"/>
      <c r="S35" s="1273"/>
      <c r="T35" s="1274"/>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43362" r:id="rId5" name="Check Box 2">
              <controlPr defaultSize="0" autoFill="0" autoLine="0" autoPict="0">
                <anchor moveWithCells="1">
                  <from>
                    <xdr:col>3</xdr:col>
                    <xdr:colOff>561975</xdr:colOff>
                    <xdr:row>17</xdr:row>
                    <xdr:rowOff>238125</xdr:rowOff>
                  </from>
                  <to>
                    <xdr:col>3</xdr:col>
                    <xdr:colOff>866775</xdr:colOff>
                    <xdr:row>19</xdr:row>
                    <xdr:rowOff>28575</xdr:rowOff>
                  </to>
                </anchor>
              </controlPr>
            </control>
          </mc:Choice>
        </mc:AlternateContent>
        <mc:AlternateContent xmlns:mc="http://schemas.openxmlformats.org/markup-compatibility/2006">
          <mc:Choice Requires="x14">
            <control shapeId="143363" r:id="rId6" name="Check Box 3">
              <controlPr defaultSize="0" autoFill="0" autoLine="0" autoPict="0">
                <anchor moveWithCells="1">
                  <from>
                    <xdr:col>3</xdr:col>
                    <xdr:colOff>561975</xdr:colOff>
                    <xdr:row>18</xdr:row>
                    <xdr:rowOff>238125</xdr:rowOff>
                  </from>
                  <to>
                    <xdr:col>3</xdr:col>
                    <xdr:colOff>866775</xdr:colOff>
                    <xdr:row>20</xdr:row>
                    <xdr:rowOff>28575</xdr:rowOff>
                  </to>
                </anchor>
              </controlPr>
            </control>
          </mc:Choice>
        </mc:AlternateContent>
        <mc:AlternateContent xmlns:mc="http://schemas.openxmlformats.org/markup-compatibility/2006">
          <mc:Choice Requires="x14">
            <control shapeId="143364" r:id="rId7" name="Check Box 4">
              <controlPr defaultSize="0" autoFill="0" autoLine="0" autoPict="0">
                <anchor moveWithCells="1">
                  <from>
                    <xdr:col>3</xdr:col>
                    <xdr:colOff>561975</xdr:colOff>
                    <xdr:row>15</xdr:row>
                    <xdr:rowOff>333375</xdr:rowOff>
                  </from>
                  <to>
                    <xdr:col>3</xdr:col>
                    <xdr:colOff>866775</xdr:colOff>
                    <xdr:row>17</xdr:row>
                    <xdr:rowOff>38100</xdr:rowOff>
                  </to>
                </anchor>
              </controlPr>
            </control>
          </mc:Choice>
        </mc:AlternateContent>
        <mc:AlternateContent xmlns:mc="http://schemas.openxmlformats.org/markup-compatibility/2006">
          <mc:Choice Requires="x14">
            <control shapeId="143365" r:id="rId8" name="Check Box 5">
              <controlPr defaultSize="0" autoFill="0" autoLine="0" autoPict="0">
                <anchor moveWithCells="1">
                  <from>
                    <xdr:col>3</xdr:col>
                    <xdr:colOff>561975</xdr:colOff>
                    <xdr:row>21</xdr:row>
                    <xdr:rowOff>0</xdr:rowOff>
                  </from>
                  <to>
                    <xdr:col>3</xdr:col>
                    <xdr:colOff>866775</xdr:colOff>
                    <xdr:row>22</xdr:row>
                    <xdr:rowOff>57150</xdr:rowOff>
                  </to>
                </anchor>
              </controlPr>
            </control>
          </mc:Choice>
        </mc:AlternateContent>
        <mc:AlternateContent xmlns:mc="http://schemas.openxmlformats.org/markup-compatibility/2006">
          <mc:Choice Requires="x14">
            <control shapeId="143366" r:id="rId9" name="Check Box 6">
              <controlPr defaultSize="0" autoFill="0" autoLine="0" autoPict="0">
                <anchor moveWithCells="1">
                  <from>
                    <xdr:col>3</xdr:col>
                    <xdr:colOff>561975</xdr:colOff>
                    <xdr:row>16</xdr:row>
                    <xdr:rowOff>257175</xdr:rowOff>
                  </from>
                  <to>
                    <xdr:col>3</xdr:col>
                    <xdr:colOff>866775</xdr:colOff>
                    <xdr:row>18</xdr:row>
                    <xdr:rowOff>47625</xdr:rowOff>
                  </to>
                </anchor>
              </controlPr>
            </control>
          </mc:Choice>
        </mc:AlternateContent>
        <mc:AlternateContent xmlns:mc="http://schemas.openxmlformats.org/markup-compatibility/2006">
          <mc:Choice Requires="x14">
            <control shapeId="143369" r:id="rId10" name="Check Box 9">
              <controlPr defaultSize="0" autoFill="0" autoLine="0" autoPict="0">
                <anchor moveWithCells="1">
                  <from>
                    <xdr:col>3</xdr:col>
                    <xdr:colOff>561975</xdr:colOff>
                    <xdr:row>22</xdr:row>
                    <xdr:rowOff>0</xdr:rowOff>
                  </from>
                  <to>
                    <xdr:col>3</xdr:col>
                    <xdr:colOff>866775</xdr:colOff>
                    <xdr:row>23</xdr:row>
                    <xdr:rowOff>57150</xdr:rowOff>
                  </to>
                </anchor>
              </controlPr>
            </control>
          </mc:Choice>
        </mc:AlternateContent>
        <mc:AlternateContent xmlns:mc="http://schemas.openxmlformats.org/markup-compatibility/2006">
          <mc:Choice Requires="x14">
            <control shapeId="143371" r:id="rId11" name="Check Box 11">
              <controlPr defaultSize="0" autoFill="0" autoLine="0" autoPict="0">
                <anchor moveWithCells="1">
                  <from>
                    <xdr:col>3</xdr:col>
                    <xdr:colOff>561975</xdr:colOff>
                    <xdr:row>19</xdr:row>
                    <xdr:rowOff>238125</xdr:rowOff>
                  </from>
                  <to>
                    <xdr:col>3</xdr:col>
                    <xdr:colOff>866775</xdr:colOff>
                    <xdr:row>20</xdr:row>
                    <xdr:rowOff>295275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E24"/>
  <sheetViews>
    <sheetView showGridLines="0" topLeftCell="H1" zoomScale="80" zoomScaleNormal="80" workbookViewId="0">
      <selection activeCell="G16" sqref="G16"/>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7" t="str">
        <f>C.2Name</f>
        <v>2012 PM 2.5 Annual NAAQS Infrastructure SIP, and Interstate Transport Submittal for PM 2.5, Pb, SO2, NO2</v>
      </c>
      <c r="G2" s="1497"/>
      <c r="H2" s="1497"/>
      <c r="I2" s="1497"/>
      <c r="J2" s="1497"/>
      <c r="K2" s="1497"/>
      <c r="L2" s="1497"/>
      <c r="M2" s="1497"/>
      <c r="N2" s="1497"/>
      <c r="O2" s="1497"/>
      <c r="P2" s="1497"/>
      <c r="Q2" s="1497"/>
      <c r="R2" s="1497"/>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3" t="s">
        <v>1076</v>
      </c>
      <c r="E4" s="1504"/>
      <c r="F4" s="1504"/>
      <c r="G4" s="1504"/>
      <c r="H4" s="1504"/>
      <c r="I4" s="1504"/>
      <c r="J4" s="1504"/>
      <c r="K4" s="1504"/>
      <c r="L4" s="1504"/>
      <c r="M4" s="1504"/>
      <c r="N4" s="1504"/>
      <c r="O4" s="1504"/>
      <c r="P4" s="1504"/>
      <c r="Q4" s="1504"/>
      <c r="R4" s="1505"/>
      <c r="S4" s="292"/>
      <c r="T4" s="563"/>
      <c r="U4" s="114"/>
      <c r="V4" s="114"/>
      <c r="W4" s="161"/>
      <c r="X4" s="55"/>
      <c r="Y4" s="38"/>
      <c r="Z4" s="66"/>
    </row>
    <row r="5" spans="1:31" ht="30.75" customHeight="1">
      <c r="B5" s="563"/>
      <c r="C5" s="398"/>
      <c r="D5" s="1312" t="s">
        <v>193</v>
      </c>
      <c r="E5" s="1312"/>
      <c r="F5" s="1312"/>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84" t="s">
        <v>217</v>
      </c>
      <c r="E7" s="1285"/>
      <c r="F7" s="1286"/>
      <c r="G7" s="1286"/>
      <c r="H7" s="1309"/>
      <c r="I7" s="1309"/>
      <c r="J7" s="1309"/>
      <c r="K7" s="1309"/>
      <c r="L7" s="1309"/>
      <c r="M7" s="1309"/>
      <c r="N7" s="1309"/>
      <c r="O7" s="1309"/>
      <c r="P7" s="1309"/>
      <c r="Q7" s="1309"/>
      <c r="R7" s="1309"/>
      <c r="S7" s="212"/>
      <c r="T7" s="563"/>
      <c r="U7" s="2"/>
      <c r="V7" s="2"/>
      <c r="W7" s="2"/>
      <c r="X7" s="144">
        <v>1</v>
      </c>
      <c r="Y7" s="147" t="s">
        <v>230</v>
      </c>
      <c r="Z7" s="164"/>
    </row>
    <row r="8" spans="1:31" ht="39" customHeight="1">
      <c r="B8" s="563"/>
      <c r="C8" s="365" t="s">
        <v>0</v>
      </c>
      <c r="D8" s="1312" t="s">
        <v>216</v>
      </c>
      <c r="E8" s="1312"/>
      <c r="F8" s="1312"/>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84" t="s">
        <v>217</v>
      </c>
      <c r="E10" s="1285"/>
      <c r="F10" s="1286"/>
      <c r="G10" s="1286"/>
      <c r="H10" s="1309"/>
      <c r="I10" s="1309"/>
      <c r="J10" s="1309"/>
      <c r="K10" s="1309"/>
      <c r="L10" s="1309"/>
      <c r="M10" s="1309"/>
      <c r="N10" s="1309"/>
      <c r="O10" s="1309"/>
      <c r="P10" s="1309"/>
      <c r="Q10" s="1309"/>
      <c r="R10" s="1309"/>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1" t="s">
        <v>432</v>
      </c>
      <c r="E12" s="1411"/>
      <c r="F12" s="1411"/>
      <c r="G12" s="1411"/>
      <c r="H12" s="1411"/>
      <c r="I12" s="1342" t="s">
        <v>37</v>
      </c>
      <c r="J12" s="1343"/>
      <c r="K12" s="1343"/>
      <c r="L12" s="1343"/>
      <c r="M12" s="1343"/>
      <c r="N12" s="1343"/>
      <c r="O12" s="1343"/>
      <c r="P12" s="1343"/>
      <c r="Q12" s="1343"/>
      <c r="R12" s="1344"/>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500" t="s">
        <v>247</v>
      </c>
      <c r="G13" s="1501"/>
      <c r="H13" s="1502"/>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1</v>
      </c>
      <c r="Y13" s="882" t="str">
        <f>I12</f>
        <v>definitely not complex</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61" t="s">
        <v>0</v>
      </c>
      <c r="E17" s="1262"/>
      <c r="F17" s="1262"/>
      <c r="G17" s="1262"/>
      <c r="H17" s="1262"/>
      <c r="I17" s="1262"/>
      <c r="J17" s="1262"/>
      <c r="K17" s="1262"/>
      <c r="L17" s="1262"/>
      <c r="M17" s="1262"/>
      <c r="N17" s="1262"/>
      <c r="O17" s="1262"/>
      <c r="P17" s="1262"/>
      <c r="Q17" s="1262"/>
      <c r="R17" s="1262"/>
      <c r="S17" s="1263"/>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3" t="s">
        <v>0</v>
      </c>
      <c r="E19" s="1214"/>
      <c r="F19" s="1214"/>
      <c r="G19" s="1214"/>
      <c r="H19" s="1214"/>
      <c r="I19" s="1214"/>
      <c r="J19" s="1214"/>
      <c r="K19" s="1214"/>
      <c r="L19" s="1214"/>
      <c r="M19" s="1214"/>
      <c r="N19" s="1214"/>
      <c r="O19" s="1214"/>
      <c r="P19" s="1214"/>
      <c r="Q19" s="1214"/>
      <c r="R19" s="1215"/>
      <c r="S19" s="201"/>
      <c r="T19" s="563"/>
      <c r="U19" s="161"/>
      <c r="V19" s="161"/>
      <c r="W19" s="161"/>
      <c r="X19" s="50"/>
      <c r="Y19" s="50"/>
      <c r="Z19" s="163"/>
    </row>
    <row r="20" spans="1:26" ht="18.75">
      <c r="B20" s="563"/>
      <c r="C20" s="371"/>
      <c r="D20" s="372"/>
      <c r="E20" s="372"/>
      <c r="F20" s="1273">
        <f ca="1">TODAY()</f>
        <v>41960</v>
      </c>
      <c r="G20" s="1273"/>
      <c r="H20" s="1273"/>
      <c r="I20" s="1273"/>
      <c r="J20" s="1273"/>
      <c r="K20" s="1273"/>
      <c r="L20" s="1273"/>
      <c r="M20" s="1273"/>
      <c r="N20" s="1273"/>
      <c r="O20" s="1273"/>
      <c r="P20" s="1273"/>
      <c r="Q20" s="1273"/>
      <c r="R20" s="1273"/>
      <c r="S20" s="1274"/>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7535" r:id="rId4" name="Group Box 79">
              <controlPr defaultSize="0" autoFill="0" autoPict="0" altText="">
                <anchor moveWithCells="1">
                  <from>
                    <xdr:col>3</xdr:col>
                    <xdr:colOff>0</xdr:colOff>
                    <xdr:row>6</xdr:row>
                    <xdr:rowOff>19050</xdr:rowOff>
                  </from>
                  <to>
                    <xdr:col>18</xdr:col>
                    <xdr:colOff>0</xdr:colOff>
                    <xdr:row>7</xdr:row>
                    <xdr:rowOff>0</xdr:rowOff>
                  </to>
                </anchor>
              </controlPr>
            </control>
          </mc:Choice>
        </mc:AlternateContent>
        <mc:AlternateContent xmlns:mc="http://schemas.openxmlformats.org/markup-compatibility/2006">
          <mc:Choice Requires="x14">
            <control shapeId="147541" r:id="rId5" name="Group Box 85">
              <controlPr defaultSize="0" autoFill="0" autoPict="0" altText="">
                <anchor moveWithCells="1">
                  <from>
                    <xdr:col>3</xdr:col>
                    <xdr:colOff>9525</xdr:colOff>
                    <xdr:row>9</xdr:row>
                    <xdr:rowOff>0</xdr:rowOff>
                  </from>
                  <to>
                    <xdr:col>18</xdr:col>
                    <xdr:colOff>0</xdr:colOff>
                    <xdr:row>10</xdr:row>
                    <xdr:rowOff>0</xdr:rowOff>
                  </to>
                </anchor>
              </controlPr>
            </control>
          </mc:Choice>
        </mc:AlternateContent>
        <mc:AlternateContent xmlns:mc="http://schemas.openxmlformats.org/markup-compatibility/2006">
          <mc:Choice Requires="x14">
            <control shapeId="147549" r:id="rId6" name="Option Button 93">
              <controlPr defaultSize="0" autoFill="0" autoLine="0" autoPict="0">
                <anchor moveWithCells="1">
                  <from>
                    <xdr:col>3</xdr:col>
                    <xdr:colOff>304800</xdr:colOff>
                    <xdr:row>9</xdr:row>
                    <xdr:rowOff>47625</xdr:rowOff>
                  </from>
                  <to>
                    <xdr:col>3</xdr:col>
                    <xdr:colOff>790575</xdr:colOff>
                    <xdr:row>9</xdr:row>
                    <xdr:rowOff>295275</xdr:rowOff>
                  </to>
                </anchor>
              </controlPr>
            </control>
          </mc:Choice>
        </mc:AlternateContent>
        <mc:AlternateContent xmlns:mc="http://schemas.openxmlformats.org/markup-compatibility/2006">
          <mc:Choice Requires="x14">
            <control shapeId="147550" r:id="rId7" name="Option Button 94">
              <controlPr defaultSize="0" autoFill="0" autoLine="0" autoPict="0">
                <anchor moveWithCells="1">
                  <from>
                    <xdr:col>4</xdr:col>
                    <xdr:colOff>57150</xdr:colOff>
                    <xdr:row>9</xdr:row>
                    <xdr:rowOff>19050</xdr:rowOff>
                  </from>
                  <to>
                    <xdr:col>5</xdr:col>
                    <xdr:colOff>247650</xdr:colOff>
                    <xdr:row>9</xdr:row>
                    <xdr:rowOff>323850</xdr:rowOff>
                  </to>
                </anchor>
              </controlPr>
            </control>
          </mc:Choice>
        </mc:AlternateContent>
        <mc:AlternateContent xmlns:mc="http://schemas.openxmlformats.org/markup-compatibility/2006">
          <mc:Choice Requires="x14">
            <control shapeId="147551" r:id="rId8" name="Option Button 95">
              <controlPr defaultSize="0" autoFill="0" autoLine="0" autoPict="0">
                <anchor moveWithCells="1">
                  <from>
                    <xdr:col>5</xdr:col>
                    <xdr:colOff>981075</xdr:colOff>
                    <xdr:row>9</xdr:row>
                    <xdr:rowOff>19050</xdr:rowOff>
                  </from>
                  <to>
                    <xdr:col>6</xdr:col>
                    <xdr:colOff>228600</xdr:colOff>
                    <xdr:row>9</xdr:row>
                    <xdr:rowOff>323850</xdr:rowOff>
                  </to>
                </anchor>
              </controlPr>
            </control>
          </mc:Choice>
        </mc:AlternateContent>
        <mc:AlternateContent xmlns:mc="http://schemas.openxmlformats.org/markup-compatibility/2006">
          <mc:Choice Requires="x14">
            <control shapeId="147552" r:id="rId9" name="Option Button 96">
              <controlPr defaultSize="0" autoFill="0" autoLine="0" autoPict="0">
                <anchor moveWithCells="1">
                  <from>
                    <xdr:col>6</xdr:col>
                    <xdr:colOff>971550</xdr:colOff>
                    <xdr:row>9</xdr:row>
                    <xdr:rowOff>19050</xdr:rowOff>
                  </from>
                  <to>
                    <xdr:col>6</xdr:col>
                    <xdr:colOff>1343025</xdr:colOff>
                    <xdr:row>9</xdr:row>
                    <xdr:rowOff>323850</xdr:rowOff>
                  </to>
                </anchor>
              </controlPr>
            </control>
          </mc:Choice>
        </mc:AlternateContent>
        <mc:AlternateContent xmlns:mc="http://schemas.openxmlformats.org/markup-compatibility/2006">
          <mc:Choice Requires="x14">
            <control shapeId="147553" r:id="rId10" name="Option Button 97">
              <controlPr defaultSize="0" autoFill="0" autoLine="0" autoPict="0">
                <anchor moveWithCells="1">
                  <from>
                    <xdr:col>10</xdr:col>
                    <xdr:colOff>38100</xdr:colOff>
                    <xdr:row>9</xdr:row>
                    <xdr:rowOff>19050</xdr:rowOff>
                  </from>
                  <to>
                    <xdr:col>14</xdr:col>
                    <xdr:colOff>66675</xdr:colOff>
                    <xdr:row>9</xdr:row>
                    <xdr:rowOff>323850</xdr:rowOff>
                  </to>
                </anchor>
              </controlPr>
            </control>
          </mc:Choice>
        </mc:AlternateContent>
        <mc:AlternateContent xmlns:mc="http://schemas.openxmlformats.org/markup-compatibility/2006">
          <mc:Choice Requires="x14">
            <control shapeId="147555" r:id="rId11" name="Option Button 99">
              <controlPr defaultSize="0" autoFill="0" autoLine="0" autoPict="0">
                <anchor moveWithCells="1">
                  <from>
                    <xdr:col>3</xdr:col>
                    <xdr:colOff>323850</xdr:colOff>
                    <xdr:row>6</xdr:row>
                    <xdr:rowOff>38100</xdr:rowOff>
                  </from>
                  <to>
                    <xdr:col>3</xdr:col>
                    <xdr:colOff>876300</xdr:colOff>
                    <xdr:row>6</xdr:row>
                    <xdr:rowOff>314325</xdr:rowOff>
                  </to>
                </anchor>
              </controlPr>
            </control>
          </mc:Choice>
        </mc:AlternateContent>
        <mc:AlternateContent xmlns:mc="http://schemas.openxmlformats.org/markup-compatibility/2006">
          <mc:Choice Requires="x14">
            <control shapeId="147557" r:id="rId12" name="Option Button 101">
              <controlPr defaultSize="0" autoFill="0" autoLine="0" autoPict="0">
                <anchor moveWithCells="1">
                  <from>
                    <xdr:col>4</xdr:col>
                    <xdr:colOff>85725</xdr:colOff>
                    <xdr:row>6</xdr:row>
                    <xdr:rowOff>28575</xdr:rowOff>
                  </from>
                  <to>
                    <xdr:col>5</xdr:col>
                    <xdr:colOff>371475</xdr:colOff>
                    <xdr:row>6</xdr:row>
                    <xdr:rowOff>314325</xdr:rowOff>
                  </to>
                </anchor>
              </controlPr>
            </control>
          </mc:Choice>
        </mc:AlternateContent>
        <mc:AlternateContent xmlns:mc="http://schemas.openxmlformats.org/markup-compatibility/2006">
          <mc:Choice Requires="x14">
            <control shapeId="147558" r:id="rId13" name="Option Button 102">
              <controlPr defaultSize="0" autoFill="0" autoLine="0" autoPict="0">
                <anchor moveWithCells="1">
                  <from>
                    <xdr:col>5</xdr:col>
                    <xdr:colOff>1047750</xdr:colOff>
                    <xdr:row>6</xdr:row>
                    <xdr:rowOff>28575</xdr:rowOff>
                  </from>
                  <to>
                    <xdr:col>6</xdr:col>
                    <xdr:colOff>152400</xdr:colOff>
                    <xdr:row>6</xdr:row>
                    <xdr:rowOff>314325</xdr:rowOff>
                  </to>
                </anchor>
              </controlPr>
            </control>
          </mc:Choice>
        </mc:AlternateContent>
        <mc:AlternateContent xmlns:mc="http://schemas.openxmlformats.org/markup-compatibility/2006">
          <mc:Choice Requires="x14">
            <control shapeId="147559" r:id="rId14" name="Option Button 103">
              <controlPr defaultSize="0" autoFill="0" autoLine="0" autoPict="0">
                <anchor moveWithCells="1">
                  <from>
                    <xdr:col>6</xdr:col>
                    <xdr:colOff>838200</xdr:colOff>
                    <xdr:row>6</xdr:row>
                    <xdr:rowOff>38100</xdr:rowOff>
                  </from>
                  <to>
                    <xdr:col>6</xdr:col>
                    <xdr:colOff>1171575</xdr:colOff>
                    <xdr:row>6</xdr:row>
                    <xdr:rowOff>304800</xdr:rowOff>
                  </to>
                </anchor>
              </controlPr>
            </control>
          </mc:Choice>
        </mc:AlternateContent>
        <mc:AlternateContent xmlns:mc="http://schemas.openxmlformats.org/markup-compatibility/2006">
          <mc:Choice Requires="x14">
            <control shapeId="147560" r:id="rId15" name="Option Button 104">
              <controlPr defaultSize="0" autoFill="0" autoLine="0" autoPict="0">
                <anchor moveWithCells="1">
                  <from>
                    <xdr:col>8</xdr:col>
                    <xdr:colOff>95250</xdr:colOff>
                    <xdr:row>6</xdr:row>
                    <xdr:rowOff>19050</xdr:rowOff>
                  </from>
                  <to>
                    <xdr:col>13</xdr:col>
                    <xdr:colOff>66675</xdr:colOff>
                    <xdr:row>6</xdr:row>
                    <xdr:rowOff>333375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AQ42"/>
  <sheetViews>
    <sheetView showGridLines="0" zoomScale="80" zoomScaleNormal="80" workbookViewId="0">
      <selection activeCell="I9" sqref="I9:R9"/>
    </sheetView>
  </sheetViews>
  <sheetFormatPr defaultColWidth="9"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7" t="str">
        <f>C.2Name</f>
        <v>2012 PM 2.5 Annual NAAQS Infrastructure SIP, and Interstate Transport Submittal for PM 2.5, Pb, SO2, NO2</v>
      </c>
      <c r="G2" s="1497"/>
      <c r="H2" s="1497"/>
      <c r="I2" s="1497"/>
      <c r="J2" s="1497"/>
      <c r="K2" s="1497"/>
      <c r="L2" s="1497"/>
      <c r="M2" s="1497"/>
      <c r="N2" s="1497"/>
      <c r="O2" s="1497"/>
      <c r="P2" s="1497"/>
      <c r="Q2" s="1497"/>
      <c r="R2" s="1497"/>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6.5" customHeight="1">
      <c r="B4" s="563"/>
      <c r="C4" s="202"/>
      <c r="D4" s="1508"/>
      <c r="E4" s="1509"/>
      <c r="F4" s="1509"/>
      <c r="G4" s="1509"/>
      <c r="H4" s="1509"/>
      <c r="I4" s="1509"/>
      <c r="J4" s="1509"/>
      <c r="K4" s="1509"/>
      <c r="L4" s="1509"/>
      <c r="M4" s="1509"/>
      <c r="N4" s="1509"/>
      <c r="O4" s="1509"/>
      <c r="P4" s="1509"/>
      <c r="Q4" s="1509"/>
      <c r="R4" s="1510"/>
      <c r="S4" s="292"/>
      <c r="T4" s="563"/>
      <c r="U4" s="114"/>
      <c r="V4" s="114"/>
      <c r="W4" s="161"/>
      <c r="X4" s="55"/>
      <c r="Y4" s="38"/>
      <c r="Z4" s="66"/>
    </row>
    <row r="5" spans="1:43" ht="30.75" customHeight="1">
      <c r="B5" s="563"/>
      <c r="C5" s="398"/>
      <c r="D5" s="1312" t="s">
        <v>352</v>
      </c>
      <c r="E5" s="1312"/>
      <c r="F5" s="1312"/>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84" t="s">
        <v>217</v>
      </c>
      <c r="E7" s="1285"/>
      <c r="F7" s="1286"/>
      <c r="G7" s="1286"/>
      <c r="H7" s="1309"/>
      <c r="I7" s="1309"/>
      <c r="J7" s="1309"/>
      <c r="K7" s="1309"/>
      <c r="L7" s="1309"/>
      <c r="M7" s="1309"/>
      <c r="N7" s="1309"/>
      <c r="O7" s="1309"/>
      <c r="P7" s="1309"/>
      <c r="Q7" s="1309"/>
      <c r="R7" s="1309"/>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4" t="s">
        <v>1057</v>
      </c>
      <c r="E9" s="1514"/>
      <c r="F9" s="1514"/>
      <c r="G9" s="1083"/>
      <c r="H9" s="1083"/>
      <c r="I9" s="1342" t="s">
        <v>37</v>
      </c>
      <c r="J9" s="1343"/>
      <c r="K9" s="1343"/>
      <c r="L9" s="1343"/>
      <c r="M9" s="1343"/>
      <c r="N9" s="1343"/>
      <c r="O9" s="1343"/>
      <c r="P9" s="1343"/>
      <c r="Q9" s="1343"/>
      <c r="R9" s="1344"/>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61" t="s">
        <v>0</v>
      </c>
      <c r="E14" s="1262"/>
      <c r="F14" s="1262"/>
      <c r="G14" s="1262"/>
      <c r="H14" s="1262"/>
      <c r="I14" s="1262"/>
      <c r="J14" s="1262"/>
      <c r="K14" s="1262"/>
      <c r="L14" s="1262"/>
      <c r="M14" s="1262"/>
      <c r="N14" s="1262"/>
      <c r="O14" s="1262"/>
      <c r="P14" s="1262"/>
      <c r="Q14" s="1262"/>
      <c r="R14" s="1262"/>
      <c r="S14" s="1263"/>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11" t="s">
        <v>0</v>
      </c>
      <c r="E16" s="1512"/>
      <c r="F16" s="1512"/>
      <c r="G16" s="1512"/>
      <c r="H16" s="1512"/>
      <c r="I16" s="1512"/>
      <c r="J16" s="1512"/>
      <c r="K16" s="1512"/>
      <c r="L16" s="1512"/>
      <c r="M16" s="1512"/>
      <c r="N16" s="1512"/>
      <c r="O16" s="1512"/>
      <c r="P16" s="1512"/>
      <c r="Q16" s="1512"/>
      <c r="R16" s="1513"/>
      <c r="S16" s="201"/>
      <c r="T16" s="563"/>
      <c r="U16" s="161"/>
      <c r="V16" s="161"/>
      <c r="W16" s="161"/>
      <c r="X16" s="50"/>
      <c r="Y16" s="50"/>
      <c r="Z16" s="163"/>
    </row>
    <row r="17" spans="1:26" ht="18.75">
      <c r="B17" s="563"/>
      <c r="C17" s="371"/>
      <c r="D17" s="372"/>
      <c r="E17" s="372"/>
      <c r="F17" s="1273">
        <f ca="1">TODAY()</f>
        <v>41960</v>
      </c>
      <c r="G17" s="1273"/>
      <c r="H17" s="1273"/>
      <c r="I17" s="1273"/>
      <c r="J17" s="1273"/>
      <c r="K17" s="1273"/>
      <c r="L17" s="1273"/>
      <c r="M17" s="1273"/>
      <c r="N17" s="1273"/>
      <c r="O17" s="1273"/>
      <c r="P17" s="1273"/>
      <c r="Q17" s="1273"/>
      <c r="R17" s="1273"/>
      <c r="S17" s="1274"/>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8491" r:id="rId4" name="Option Button 11">
              <controlPr defaultSize="0" autoFill="0" autoLine="0" autoPict="0">
                <anchor moveWithCells="1">
                  <from>
                    <xdr:col>6</xdr:col>
                    <xdr:colOff>838200</xdr:colOff>
                    <xdr:row>37</xdr:row>
                    <xdr:rowOff>0</xdr:rowOff>
                  </from>
                  <to>
                    <xdr:col>6</xdr:col>
                    <xdr:colOff>838200</xdr:colOff>
                    <xdr:row>38</xdr:row>
                    <xdr:rowOff>104775</xdr:rowOff>
                  </to>
                </anchor>
              </controlPr>
            </control>
          </mc:Choice>
        </mc:AlternateContent>
        <mc:AlternateContent xmlns:mc="http://schemas.openxmlformats.org/markup-compatibility/2006">
          <mc:Choice Requires="x14">
            <control shapeId="148503" r:id="rId5" name="Group Box 23">
              <controlPr defaultSize="0" autoFill="0" autoPict="0" altText="">
                <anchor moveWithCells="1">
                  <from>
                    <xdr:col>3</xdr:col>
                    <xdr:colOff>0</xdr:colOff>
                    <xdr:row>6</xdr:row>
                    <xdr:rowOff>19050</xdr:rowOff>
                  </from>
                  <to>
                    <xdr:col>17</xdr:col>
                    <xdr:colOff>133350</xdr:colOff>
                    <xdr:row>7</xdr:row>
                    <xdr:rowOff>0</xdr:rowOff>
                  </to>
                </anchor>
              </controlPr>
            </control>
          </mc:Choice>
        </mc:AlternateContent>
        <mc:AlternateContent xmlns:mc="http://schemas.openxmlformats.org/markup-compatibility/2006">
          <mc:Choice Requires="x14">
            <control shapeId="148504" r:id="rId6" name="Option Button 24">
              <controlPr defaultSize="0" autoFill="0" autoLine="0" autoPict="0">
                <anchor moveWithCells="1">
                  <from>
                    <xdr:col>3</xdr:col>
                    <xdr:colOff>323850</xdr:colOff>
                    <xdr:row>6</xdr:row>
                    <xdr:rowOff>38100</xdr:rowOff>
                  </from>
                  <to>
                    <xdr:col>3</xdr:col>
                    <xdr:colOff>876300</xdr:colOff>
                    <xdr:row>6</xdr:row>
                    <xdr:rowOff>314325</xdr:rowOff>
                  </to>
                </anchor>
              </controlPr>
            </control>
          </mc:Choice>
        </mc:AlternateContent>
        <mc:AlternateContent xmlns:mc="http://schemas.openxmlformats.org/markup-compatibility/2006">
          <mc:Choice Requires="x14">
            <control shapeId="148505" r:id="rId7" name="Option Button 25">
              <controlPr defaultSize="0" autoFill="0" autoLine="0" autoPict="0">
                <anchor moveWithCells="1">
                  <from>
                    <xdr:col>4</xdr:col>
                    <xdr:colOff>85725</xdr:colOff>
                    <xdr:row>6</xdr:row>
                    <xdr:rowOff>28575</xdr:rowOff>
                  </from>
                  <to>
                    <xdr:col>5</xdr:col>
                    <xdr:colOff>371475</xdr:colOff>
                    <xdr:row>6</xdr:row>
                    <xdr:rowOff>314325</xdr:rowOff>
                  </to>
                </anchor>
              </controlPr>
            </control>
          </mc:Choice>
        </mc:AlternateContent>
        <mc:AlternateContent xmlns:mc="http://schemas.openxmlformats.org/markup-compatibility/2006">
          <mc:Choice Requires="x14">
            <control shapeId="148506" r:id="rId8" name="Option Button 26">
              <controlPr defaultSize="0" autoFill="0" autoLine="0" autoPict="0">
                <anchor moveWithCells="1">
                  <from>
                    <xdr:col>5</xdr:col>
                    <xdr:colOff>1047750</xdr:colOff>
                    <xdr:row>6</xdr:row>
                    <xdr:rowOff>28575</xdr:rowOff>
                  </from>
                  <to>
                    <xdr:col>6</xdr:col>
                    <xdr:colOff>314325</xdr:colOff>
                    <xdr:row>6</xdr:row>
                    <xdr:rowOff>314325</xdr:rowOff>
                  </to>
                </anchor>
              </controlPr>
            </control>
          </mc:Choice>
        </mc:AlternateContent>
        <mc:AlternateContent xmlns:mc="http://schemas.openxmlformats.org/markup-compatibility/2006">
          <mc:Choice Requires="x14">
            <control shapeId="148507" r:id="rId9" name="Option Button 27">
              <controlPr defaultSize="0" autoFill="0" autoLine="0" autoPict="0">
                <anchor moveWithCells="1">
                  <from>
                    <xdr:col>6</xdr:col>
                    <xdr:colOff>838200</xdr:colOff>
                    <xdr:row>6</xdr:row>
                    <xdr:rowOff>38100</xdr:rowOff>
                  </from>
                  <to>
                    <xdr:col>6</xdr:col>
                    <xdr:colOff>1171575</xdr:colOff>
                    <xdr:row>6</xdr:row>
                    <xdr:rowOff>304800</xdr:rowOff>
                  </to>
                </anchor>
              </controlPr>
            </control>
          </mc:Choice>
        </mc:AlternateContent>
        <mc:AlternateContent xmlns:mc="http://schemas.openxmlformats.org/markup-compatibility/2006">
          <mc:Choice Requires="x14">
            <control shapeId="148508" r:id="rId10" name="Option Button 28">
              <controlPr defaultSize="0" autoFill="0" autoLine="0" autoPict="0">
                <anchor moveWithCells="1">
                  <from>
                    <xdr:col>8</xdr:col>
                    <xdr:colOff>95250</xdr:colOff>
                    <xdr:row>6</xdr:row>
                    <xdr:rowOff>19050</xdr:rowOff>
                  </from>
                  <to>
                    <xdr:col>13</xdr:col>
                    <xdr:colOff>66675</xdr:colOff>
                    <xdr:row>6</xdr:row>
                    <xdr:rowOff>333375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Q43"/>
  <sheetViews>
    <sheetView showGridLines="0" zoomScale="160" zoomScaleNormal="160" workbookViewId="0">
      <selection activeCell="D4" sqref="D4:R4"/>
    </sheetView>
  </sheetViews>
  <sheetFormatPr defaultColWidth="9"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7" t="str">
        <f>C.2Name</f>
        <v>2012 PM 2.5 Annual NAAQS Infrastructure SIP, and Interstate Transport Submittal for PM 2.5, Pb, SO2, NO2</v>
      </c>
      <c r="G2" s="1497"/>
      <c r="H2" s="1497"/>
      <c r="I2" s="1497"/>
      <c r="J2" s="1497"/>
      <c r="K2" s="1497"/>
      <c r="L2" s="1497"/>
      <c r="M2" s="1497"/>
      <c r="N2" s="1497"/>
      <c r="O2" s="1497"/>
      <c r="P2" s="1497"/>
      <c r="Q2" s="1497"/>
      <c r="R2" s="1497"/>
      <c r="S2" s="200"/>
      <c r="T2" s="563"/>
      <c r="U2" s="424" t="s">
        <v>0</v>
      </c>
      <c r="V2" s="424"/>
      <c r="W2" s="424"/>
      <c r="X2" s="68" t="s">
        <v>0</v>
      </c>
      <c r="Y2" s="68"/>
      <c r="Z2" s="176"/>
    </row>
    <row r="3" spans="1:43" ht="37.5" customHeight="1" thickTop="1">
      <c r="B3" s="563"/>
      <c r="C3" s="202"/>
      <c r="D3" s="1519" t="s">
        <v>398</v>
      </c>
      <c r="E3" s="1519"/>
      <c r="F3" s="1519"/>
      <c r="G3" s="1519"/>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5.75" customHeight="1">
      <c r="A4" s="379"/>
      <c r="B4" s="563"/>
      <c r="C4" s="202"/>
      <c r="D4" s="1515" t="s">
        <v>1087</v>
      </c>
      <c r="E4" s="1516"/>
      <c r="F4" s="1516"/>
      <c r="G4" s="1516"/>
      <c r="H4" s="1516"/>
      <c r="I4" s="1516"/>
      <c r="J4" s="1516"/>
      <c r="K4" s="1516"/>
      <c r="L4" s="1516"/>
      <c r="M4" s="1516"/>
      <c r="N4" s="1516"/>
      <c r="O4" s="1516"/>
      <c r="P4" s="1516"/>
      <c r="Q4" s="1516"/>
      <c r="R4" s="1517"/>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8" t="s">
        <v>403</v>
      </c>
      <c r="E6" s="1518"/>
      <c r="F6" s="1518"/>
      <c r="G6" s="1018"/>
      <c r="H6" s="1020"/>
      <c r="I6" s="1342" t="s">
        <v>37</v>
      </c>
      <c r="J6" s="1343"/>
      <c r="K6" s="1343"/>
      <c r="L6" s="1343"/>
      <c r="M6" s="1343"/>
      <c r="N6" s="1343"/>
      <c r="O6" s="1343"/>
      <c r="P6" s="1343"/>
      <c r="Q6" s="1343"/>
      <c r="R6" s="1344"/>
      <c r="S6" s="201"/>
      <c r="T6" s="563"/>
      <c r="U6" s="385" t="s">
        <v>760</v>
      </c>
      <c r="V6" s="313"/>
      <c r="W6" s="161"/>
      <c r="X6" s="147"/>
      <c r="Y6" s="147"/>
    </row>
    <row r="7" spans="1:43" ht="16.5">
      <c r="B7" s="563"/>
      <c r="C7" s="202"/>
      <c r="D7" s="1518"/>
      <c r="E7" s="1518"/>
      <c r="F7" s="1518"/>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8"/>
      <c r="E8" s="1518"/>
      <c r="F8" s="1518"/>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9" t="s">
        <v>0</v>
      </c>
      <c r="E13" s="1450"/>
      <c r="F13" s="1450"/>
      <c r="G13" s="1450"/>
      <c r="H13" s="1450"/>
      <c r="I13" s="1450"/>
      <c r="J13" s="1450"/>
      <c r="K13" s="1450"/>
      <c r="L13" s="1450"/>
      <c r="M13" s="1450"/>
      <c r="N13" s="1450"/>
      <c r="O13" s="1450"/>
      <c r="P13" s="1450"/>
      <c r="Q13" s="1450"/>
      <c r="R13" s="1451"/>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7" t="s">
        <v>0</v>
      </c>
      <c r="E15" s="1358"/>
      <c r="F15" s="1358"/>
      <c r="G15" s="1358"/>
      <c r="H15" s="1358"/>
      <c r="I15" s="1358"/>
      <c r="J15" s="1358"/>
      <c r="K15" s="1358"/>
      <c r="L15" s="1358"/>
      <c r="M15" s="1358"/>
      <c r="N15" s="1358"/>
      <c r="O15" s="1358"/>
      <c r="P15" s="1358"/>
      <c r="Q15" s="1358"/>
      <c r="R15" s="1359"/>
      <c r="S15" s="201"/>
      <c r="T15" s="563"/>
      <c r="U15" s="161"/>
      <c r="V15" s="161"/>
      <c r="W15" s="161"/>
      <c r="X15" s="50"/>
      <c r="Y15" s="50"/>
      <c r="Z15" s="163"/>
    </row>
    <row r="16" spans="1:43" ht="18.75">
      <c r="B16" s="563"/>
      <c r="C16" s="371"/>
      <c r="D16" s="372"/>
      <c r="E16" s="372"/>
      <c r="F16" s="1273">
        <f ca="1">TODAY()</f>
        <v>41960</v>
      </c>
      <c r="G16" s="1273"/>
      <c r="H16" s="1273"/>
      <c r="I16" s="1273"/>
      <c r="J16" s="1273"/>
      <c r="K16" s="1273"/>
      <c r="L16" s="1273"/>
      <c r="M16" s="1273"/>
      <c r="N16" s="1273"/>
      <c r="O16" s="1273"/>
      <c r="P16" s="1273"/>
      <c r="Q16" s="1273"/>
      <c r="R16" s="1273"/>
      <c r="S16" s="1274"/>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83" stopIfTrue="1">
      <formula>IF(AND($AE3="H",$AF3&lt;6),TRUE,)</formula>
    </cfRule>
  </conditionalFormatting>
  <conditionalFormatting sqref="AK3">
    <cfRule type="expression" dxfId="33" priority="84" stopIfTrue="1">
      <formula>IF(AND($AE3="H",$AF3&lt;7),TRUE,)</formula>
    </cfRule>
  </conditionalFormatting>
  <conditionalFormatting sqref="AL3">
    <cfRule type="expression" dxfId="32" priority="85" stopIfTrue="1">
      <formula>IF(AND($AE3="H",$AF3&lt;8),TRUE,)</formula>
    </cfRule>
  </conditionalFormatting>
  <conditionalFormatting sqref="AM3">
    <cfRule type="expression" dxfId="31" priority="86"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51554" r:id="rId4" name="Option Button 2">
              <controlPr defaultSize="0" autoFill="0" autoLine="0" autoPict="0">
                <anchor moveWithCells="1">
                  <from>
                    <xdr:col>6</xdr:col>
                    <xdr:colOff>838200</xdr:colOff>
                    <xdr:row>34</xdr:row>
                    <xdr:rowOff>0</xdr:rowOff>
                  </from>
                  <to>
                    <xdr:col>6</xdr:col>
                    <xdr:colOff>838200</xdr:colOff>
                    <xdr:row>35</xdr:row>
                    <xdr:rowOff>104775</xdr:rowOff>
                  </to>
                </anchor>
              </controlPr>
            </control>
          </mc:Choice>
        </mc:AlternateContent>
        <mc:AlternateContent xmlns:mc="http://schemas.openxmlformats.org/markup-compatibility/2006">
          <mc:Choice Requires="x14">
            <control shapeId="151558" r:id="rId5" name="Option Button 6">
              <controlPr defaultSize="0" autoFill="0" autoLine="0" autoPict="0">
                <anchor moveWithCells="1">
                  <from>
                    <xdr:col>6</xdr:col>
                    <xdr:colOff>895350</xdr:colOff>
                    <xdr:row>34</xdr:row>
                    <xdr:rowOff>0</xdr:rowOff>
                  </from>
                  <to>
                    <xdr:col>6</xdr:col>
                    <xdr:colOff>895350</xdr:colOff>
                    <xdr:row>35</xdr:row>
                    <xdr:rowOff>142875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AQ42"/>
  <sheetViews>
    <sheetView showGridLines="0" zoomScale="80" zoomScaleNormal="80" workbookViewId="0">
      <selection activeCell="I6" sqref="I6:R6"/>
    </sheetView>
  </sheetViews>
  <sheetFormatPr defaultColWidth="9"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21" t="s">
        <v>329</v>
      </c>
      <c r="E2" s="1521"/>
      <c r="F2" s="1497" t="str">
        <f>C.2Name</f>
        <v>2012 PM 2.5 Annual NAAQS Infrastructure SIP, and Interstate Transport Submittal for PM 2.5, Pb, SO2, NO2</v>
      </c>
      <c r="G2" s="1497"/>
      <c r="H2" s="1497"/>
      <c r="I2" s="1497"/>
      <c r="J2" s="1497"/>
      <c r="K2" s="1497"/>
      <c r="L2" s="1497"/>
      <c r="M2" s="1497"/>
      <c r="N2" s="1497"/>
      <c r="O2" s="1497"/>
      <c r="P2" s="1497"/>
      <c r="Q2" s="1497"/>
      <c r="R2" s="1497"/>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20" t="s">
        <v>1070</v>
      </c>
      <c r="E4" s="1520"/>
      <c r="F4" s="1520"/>
      <c r="G4" s="1520"/>
      <c r="H4" s="1520"/>
      <c r="I4" s="1520"/>
      <c r="J4" s="1520"/>
      <c r="K4" s="1520"/>
      <c r="L4" s="1520"/>
      <c r="M4" s="1520"/>
      <c r="N4" s="1520"/>
      <c r="O4" s="1520"/>
      <c r="P4" s="1520"/>
      <c r="Q4" s="1520"/>
      <c r="R4" s="1520"/>
      <c r="S4" s="771"/>
      <c r="T4" s="563"/>
      <c r="U4" s="1506" t="s">
        <v>0</v>
      </c>
      <c r="V4" s="1506"/>
      <c r="W4" s="1506"/>
      <c r="X4" s="406"/>
      <c r="Y4" s="407" t="s">
        <v>0</v>
      </c>
      <c r="Z4" s="405"/>
      <c r="AA4" s="405"/>
      <c r="AB4" s="405"/>
      <c r="AC4" s="405"/>
      <c r="AD4" s="143"/>
      <c r="AE4" s="143"/>
      <c r="AF4" s="1507" t="s">
        <v>0</v>
      </c>
      <c r="AG4" s="1507"/>
      <c r="AH4" s="1507"/>
      <c r="AI4" s="1507"/>
      <c r="AJ4" s="1507"/>
      <c r="AK4" s="1507"/>
      <c r="AL4" s="1507"/>
      <c r="AM4" s="1507"/>
      <c r="AN4" s="1507"/>
      <c r="AO4" s="1507"/>
      <c r="AP4" s="1507"/>
      <c r="AQ4" s="1507"/>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42" t="s">
        <v>37</v>
      </c>
      <c r="J6" s="1343"/>
      <c r="K6" s="1343"/>
      <c r="L6" s="1343"/>
      <c r="M6" s="1343"/>
      <c r="N6" s="1343"/>
      <c r="O6" s="1343"/>
      <c r="P6" s="1343"/>
      <c r="Q6" s="1343"/>
      <c r="R6" s="1344"/>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61" t="s">
        <v>0</v>
      </c>
      <c r="E12" s="1262"/>
      <c r="F12" s="1262"/>
      <c r="G12" s="1262"/>
      <c r="H12" s="1262"/>
      <c r="I12" s="1262"/>
      <c r="J12" s="1262"/>
      <c r="K12" s="1262"/>
      <c r="L12" s="1262"/>
      <c r="M12" s="1262"/>
      <c r="N12" s="1262"/>
      <c r="O12" s="1262"/>
      <c r="P12" s="1262"/>
      <c r="Q12" s="1262"/>
      <c r="R12" s="1263"/>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7" t="s">
        <v>0</v>
      </c>
      <c r="E14" s="1358"/>
      <c r="F14" s="1358"/>
      <c r="G14" s="1358"/>
      <c r="H14" s="1358"/>
      <c r="I14" s="1358"/>
      <c r="J14" s="1358"/>
      <c r="K14" s="1358"/>
      <c r="L14" s="1358"/>
      <c r="M14" s="1358"/>
      <c r="N14" s="1358"/>
      <c r="O14" s="1358"/>
      <c r="P14" s="1358"/>
      <c r="Q14" s="1358"/>
      <c r="R14" s="1359"/>
      <c r="S14" s="201"/>
      <c r="T14" s="563"/>
      <c r="U14" s="161"/>
      <c r="V14" s="161"/>
      <c r="W14" s="161"/>
      <c r="X14" s="146"/>
      <c r="Y14" s="146"/>
      <c r="Z14" s="163"/>
    </row>
    <row r="15" spans="1:43" ht="31.5" customHeight="1">
      <c r="A15" s="1078" t="s">
        <v>251</v>
      </c>
      <c r="B15" s="563"/>
      <c r="C15" s="371"/>
      <c r="D15" s="372"/>
      <c r="E15" s="372"/>
      <c r="F15" s="1273">
        <f ca="1">TODAY()</f>
        <v>41960</v>
      </c>
      <c r="G15" s="1273"/>
      <c r="H15" s="1273"/>
      <c r="I15" s="1273"/>
      <c r="J15" s="1273"/>
      <c r="K15" s="1273"/>
      <c r="L15" s="1273"/>
      <c r="M15" s="1273"/>
      <c r="N15" s="1273"/>
      <c r="O15" s="1273"/>
      <c r="P15" s="1273"/>
      <c r="Q15" s="1273"/>
      <c r="R15" s="1273"/>
      <c r="S15" s="1274"/>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52578" r:id="rId4" name="Option Button 2">
              <controlPr defaultSize="0" autoFill="0" autoLine="0" autoPict="0">
                <anchor moveWithCells="1">
                  <from>
                    <xdr:col>6</xdr:col>
                    <xdr:colOff>838200</xdr:colOff>
                    <xdr:row>32</xdr:row>
                    <xdr:rowOff>0</xdr:rowOff>
                  </from>
                  <to>
                    <xdr:col>6</xdr:col>
                    <xdr:colOff>838200</xdr:colOff>
                    <xdr:row>33</xdr:row>
                    <xdr:rowOff>104775</xdr:rowOff>
                  </to>
                </anchor>
              </controlPr>
            </control>
          </mc:Choice>
        </mc:AlternateContent>
        <mc:AlternateContent xmlns:mc="http://schemas.openxmlformats.org/markup-compatibility/2006">
          <mc:Choice Requires="x14">
            <control shapeId="152582" r:id="rId5" name="Option Button 6">
              <controlPr defaultSize="0" autoFill="0" autoLine="0" autoPict="0">
                <anchor moveWithCells="1">
                  <from>
                    <xdr:col>6</xdr:col>
                    <xdr:colOff>895350</xdr:colOff>
                    <xdr:row>32</xdr:row>
                    <xdr:rowOff>0</xdr:rowOff>
                  </from>
                  <to>
                    <xdr:col>6</xdr:col>
                    <xdr:colOff>895350</xdr:colOff>
                    <xdr:row>33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2" t="s">
        <v>551</v>
      </c>
      <c r="B1" s="1152"/>
      <c r="C1" s="1152"/>
      <c r="D1" s="1152"/>
      <c r="E1" s="1152"/>
      <c r="F1" s="1152"/>
      <c r="G1" s="1152"/>
      <c r="H1" s="1076"/>
      <c r="I1" s="1151" t="s">
        <v>550</v>
      </c>
      <c r="J1" s="1151"/>
      <c r="K1" s="1151"/>
      <c r="L1" s="1151"/>
      <c r="M1" s="1151"/>
      <c r="N1" s="1151"/>
      <c r="O1" s="1151"/>
      <c r="P1" s="1151"/>
      <c r="Q1" s="1151"/>
      <c r="R1" s="1151"/>
      <c r="S1" s="1151"/>
      <c r="T1" s="1151"/>
      <c r="U1" s="1151"/>
      <c r="V1" s="1151"/>
      <c r="W1" s="1151"/>
      <c r="X1" s="1151"/>
      <c r="Y1" s="1151"/>
      <c r="Z1" s="1151"/>
      <c r="AA1" s="1151"/>
      <c r="AB1" s="1151"/>
      <c r="AC1" s="1151"/>
      <c r="AD1" s="1151"/>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8.5">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BA2111"/>
  <sheetViews>
    <sheetView showGridLines="0" tabSelected="1" zoomScaleNormal="100" workbookViewId="0">
      <selection activeCell="D4" sqref="D4:W4"/>
    </sheetView>
  </sheetViews>
  <sheetFormatPr defaultColWidth="5.625" defaultRowHeight="14.25" outlineLevelCol="1"/>
  <cols>
    <col min="1" max="1" width="13.75" style="379" customWidth="1"/>
    <col min="2" max="2" width="2.625" style="160" customWidth="1"/>
    <col min="3" max="3" width="2.625" style="820" customWidth="1"/>
    <col min="4" max="10" width="7.125" customWidth="1"/>
    <col min="11" max="11" width="7.875" customWidth="1"/>
    <col min="12"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8" t="s">
        <v>125</v>
      </c>
      <c r="E2" s="1178"/>
      <c r="F2" s="1178"/>
      <c r="G2" s="1178"/>
      <c r="H2" s="1178"/>
      <c r="I2" s="416"/>
      <c r="J2" s="416"/>
      <c r="K2" s="416"/>
      <c r="L2" s="1180">
        <f ca="1">TODAY()</f>
        <v>41960</v>
      </c>
      <c r="M2" s="1180"/>
      <c r="N2" s="1180"/>
      <c r="O2" s="1180"/>
      <c r="P2" s="1180"/>
      <c r="Q2" s="1180"/>
      <c r="R2" s="1180"/>
      <c r="S2" s="1180"/>
      <c r="T2" s="1180"/>
      <c r="U2" s="1180"/>
      <c r="V2" s="1180"/>
      <c r="W2" s="1180"/>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5" t="s">
        <v>419</v>
      </c>
      <c r="L3" s="1195"/>
      <c r="M3" s="1195"/>
      <c r="N3" s="1195"/>
      <c r="O3" s="1195"/>
      <c r="P3" s="1195"/>
      <c r="Q3" s="1195"/>
      <c r="R3" s="1195"/>
      <c r="S3" s="1195"/>
      <c r="T3" s="1195"/>
      <c r="U3" s="1195"/>
      <c r="V3" s="1195"/>
      <c r="W3" s="1195"/>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4" t="str">
        <f>C.2Name</f>
        <v>2012 PM 2.5 Annual NAAQS Infrastructure SIP, and Interstate Transport Submittal for PM 2.5, Pb, SO2, NO2</v>
      </c>
      <c r="E4" s="1184"/>
      <c r="F4" s="1184"/>
      <c r="G4" s="1184"/>
      <c r="H4" s="1184"/>
      <c r="I4" s="1184"/>
      <c r="J4" s="1184"/>
      <c r="K4" s="1184"/>
      <c r="L4" s="1184"/>
      <c r="M4" s="1184"/>
      <c r="N4" s="1184"/>
      <c r="O4" s="1184"/>
      <c r="P4" s="1184"/>
      <c r="Q4" s="1184"/>
      <c r="R4" s="1184"/>
      <c r="S4" s="1184"/>
      <c r="T4" s="1184"/>
      <c r="U4" s="1184"/>
      <c r="V4" s="1184"/>
      <c r="W4" s="1184"/>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3" t="str">
        <f>C.4Program&amp;" - "&amp;IF(C.4Media="cross media",C.4Media,C.4Media&amp;" quality")</f>
        <v>Environmental Solutions AQ Planning Section - air quality</v>
      </c>
      <c r="E5" s="1183"/>
      <c r="F5" s="1183"/>
      <c r="G5" s="1183"/>
      <c r="H5" s="1183"/>
      <c r="I5" s="1183"/>
      <c r="J5" s="1183"/>
      <c r="K5" s="1183"/>
      <c r="L5" s="1183"/>
      <c r="M5" s="1183"/>
      <c r="N5" s="1183"/>
      <c r="O5" s="1183"/>
      <c r="P5" s="1183"/>
      <c r="Q5" s="1183"/>
      <c r="R5" s="1183"/>
      <c r="S5" s="1183"/>
      <c r="T5" s="1183"/>
      <c r="U5" s="1183"/>
      <c r="V5" s="1183"/>
      <c r="W5" s="1183"/>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19.5" customHeight="1">
      <c r="B6" s="555"/>
      <c r="C6" s="813"/>
      <c r="D6" s="1179" t="s">
        <v>214</v>
      </c>
      <c r="E6" s="1179"/>
      <c r="F6" s="1179"/>
      <c r="G6" s="1179"/>
      <c r="H6" s="1179"/>
      <c r="I6" s="1181" t="s">
        <v>373</v>
      </c>
      <c r="J6" s="1182"/>
      <c r="K6" s="1182"/>
      <c r="L6" s="1182"/>
      <c r="M6" s="1185"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26.25" customHeight="1">
      <c r="B7" s="556"/>
      <c r="C7" s="496"/>
      <c r="D7" s="1188" t="str">
        <f>C.2Summary</f>
        <v>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v>
      </c>
      <c r="E7" s="1188"/>
      <c r="F7" s="1188"/>
      <c r="G7" s="1188"/>
      <c r="H7" s="1188"/>
      <c r="I7" s="508">
        <v>1</v>
      </c>
      <c r="J7" s="1189" t="s">
        <v>406</v>
      </c>
      <c r="K7" s="1189"/>
      <c r="L7" s="1189"/>
      <c r="M7" s="1185"/>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26.25" customHeight="1">
      <c r="B8" s="556"/>
      <c r="C8" s="496"/>
      <c r="D8" s="1188"/>
      <c r="E8" s="1188"/>
      <c r="F8" s="1188"/>
      <c r="G8" s="1188"/>
      <c r="H8" s="1188"/>
      <c r="I8" s="508">
        <v>2</v>
      </c>
      <c r="J8" s="1187" t="s">
        <v>367</v>
      </c>
      <c r="K8" s="1187"/>
      <c r="L8" s="1187"/>
      <c r="M8" s="1186"/>
      <c r="N8" s="1190" t="s">
        <v>220</v>
      </c>
      <c r="O8" s="1190"/>
      <c r="P8" s="1190"/>
      <c r="Q8" s="1190"/>
      <c r="R8" s="1190"/>
      <c r="S8" s="1190"/>
      <c r="T8" s="1190"/>
      <c r="U8" s="1190"/>
      <c r="V8" s="1190"/>
      <c r="W8" s="1190"/>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26.25" customHeight="1">
      <c r="B9" s="556"/>
      <c r="C9" s="496"/>
      <c r="D9" s="1188"/>
      <c r="E9" s="1188"/>
      <c r="F9" s="1188"/>
      <c r="G9" s="1188"/>
      <c r="H9" s="1188"/>
      <c r="I9" s="508">
        <v>3</v>
      </c>
      <c r="J9" s="1191" t="s">
        <v>368</v>
      </c>
      <c r="K9" s="1192"/>
      <c r="L9" s="1148"/>
      <c r="M9" s="835"/>
      <c r="N9" s="1150">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4</v>
      </c>
      <c r="AI9" s="147"/>
      <c r="AJ9" s="146"/>
      <c r="AK9" s="146"/>
      <c r="AL9" s="163"/>
      <c r="AM9" s="163"/>
      <c r="AN9" s="163"/>
      <c r="AO9" s="163"/>
      <c r="AP9" s="163"/>
      <c r="AQ9" s="163"/>
      <c r="AR9" s="163"/>
      <c r="AS9" s="163"/>
      <c r="AT9" s="163"/>
      <c r="AU9" s="163"/>
      <c r="AV9" s="163"/>
      <c r="AW9" s="163"/>
      <c r="AX9" s="163"/>
      <c r="AY9" s="163"/>
      <c r="AZ9" s="163"/>
      <c r="BA9" s="163"/>
    </row>
    <row r="10" spans="2:53" s="66" customFormat="1" ht="26.25" customHeight="1">
      <c r="B10" s="556"/>
      <c r="C10" s="496"/>
      <c r="D10" s="1188"/>
      <c r="E10" s="1188"/>
      <c r="F10" s="1188"/>
      <c r="G10" s="1188"/>
      <c r="H10" s="1188"/>
      <c r="I10" s="508">
        <v>4</v>
      </c>
      <c r="J10" s="1149" t="s">
        <v>349</v>
      </c>
      <c r="K10" s="1148"/>
      <c r="L10" s="1148"/>
      <c r="M10" s="835">
        <f>C.4SeverityRating</f>
        <v>3</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26.25" customHeight="1">
      <c r="B11" s="556"/>
      <c r="C11" s="496"/>
      <c r="D11" s="1188"/>
      <c r="E11" s="1188"/>
      <c r="F11" s="1188"/>
      <c r="G11" s="1188"/>
      <c r="H11" s="1188"/>
      <c r="I11" s="508">
        <v>5</v>
      </c>
      <c r="J11" s="1191" t="s">
        <v>100</v>
      </c>
      <c r="K11" s="1192"/>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26.25" customHeight="1">
      <c r="B12" s="556"/>
      <c r="C12" s="496"/>
      <c r="D12" s="1188"/>
      <c r="E12" s="1188"/>
      <c r="F12" s="1188"/>
      <c r="G12" s="1188"/>
      <c r="H12" s="1188"/>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26.25" customHeight="1">
      <c r="B13" s="556"/>
      <c r="C13" s="496"/>
      <c r="D13" s="1188"/>
      <c r="E13" s="1188"/>
      <c r="F13" s="1188"/>
      <c r="G13" s="1188"/>
      <c r="H13" s="1188"/>
      <c r="I13" s="508">
        <v>7</v>
      </c>
      <c r="J13" s="1191" t="s">
        <v>298</v>
      </c>
      <c r="K13" s="1192"/>
      <c r="L13" s="1148"/>
      <c r="M13" s="835">
        <f>C.7SeverityRating</f>
        <v>1</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26.25" customHeight="1">
      <c r="B14" s="556"/>
      <c r="C14" s="496"/>
      <c r="D14" s="1188"/>
      <c r="E14" s="1188"/>
      <c r="F14" s="1188"/>
      <c r="G14" s="1188"/>
      <c r="H14" s="1188"/>
      <c r="I14" s="508">
        <v>8</v>
      </c>
      <c r="J14" s="1149" t="s">
        <v>102</v>
      </c>
      <c r="K14" s="1148"/>
      <c r="L14" s="1148"/>
      <c r="M14" s="835">
        <f>C.8SeverityRating</f>
        <v>3</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26.25" customHeight="1">
      <c r="B15" s="556"/>
      <c r="C15" s="496"/>
      <c r="D15" s="1188"/>
      <c r="E15" s="1188"/>
      <c r="F15" s="1188"/>
      <c r="G15" s="1188"/>
      <c r="H15" s="1188"/>
      <c r="I15" s="508">
        <v>9</v>
      </c>
      <c r="J15" s="1191" t="s">
        <v>327</v>
      </c>
      <c r="K15" s="1192"/>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26.25" customHeight="1">
      <c r="B16" s="556"/>
      <c r="C16" s="496"/>
      <c r="D16" s="1188"/>
      <c r="E16" s="1188"/>
      <c r="F16" s="1188"/>
      <c r="G16" s="1188"/>
      <c r="H16" s="1188"/>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26.25" customHeight="1">
      <c r="B17" s="556"/>
      <c r="C17" s="496"/>
      <c r="D17" s="1188"/>
      <c r="E17" s="1188"/>
      <c r="F17" s="1188"/>
      <c r="G17" s="1188"/>
      <c r="H17" s="1188"/>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26.25" customHeight="1">
      <c r="B18" s="556"/>
      <c r="C18" s="496"/>
      <c r="D18" s="1188"/>
      <c r="E18" s="1188"/>
      <c r="F18" s="1188"/>
      <c r="G18" s="1188"/>
      <c r="H18" s="1188"/>
      <c r="I18" s="508">
        <v>12</v>
      </c>
      <c r="J18" s="1191" t="s">
        <v>329</v>
      </c>
      <c r="K18" s="1192"/>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2.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4" t="s">
        <v>104</v>
      </c>
      <c r="D20" s="1205"/>
      <c r="E20" s="1205"/>
      <c r="F20" s="1205"/>
      <c r="G20" s="1205"/>
      <c r="H20" s="152"/>
      <c r="I20" s="1174" t="s">
        <v>233</v>
      </c>
      <c r="J20" s="1175"/>
      <c r="K20" s="1175"/>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3" t="s">
        <v>0</v>
      </c>
      <c r="E21" s="1203"/>
      <c r="F21" s="1203"/>
      <c r="G21" s="1203"/>
      <c r="H21" s="1203"/>
      <c r="I21" s="1203"/>
      <c r="J21" s="1203"/>
      <c r="K21" s="1203"/>
      <c r="L21" s="1203"/>
      <c r="M21" s="1203"/>
      <c r="N21" s="1203"/>
      <c r="O21" s="1203"/>
      <c r="P21" s="1203"/>
      <c r="Q21" s="1203"/>
      <c r="R21" s="1203"/>
      <c r="S21" s="1203"/>
      <c r="T21" s="1203"/>
      <c r="U21" s="1203"/>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1">
        <f>C.6SStartYr</f>
        <v>2014</v>
      </c>
      <c r="E22" s="1162"/>
      <c r="F22" s="1162"/>
      <c r="G22" s="1163"/>
      <c r="H22" s="1161">
        <f>D22+1</f>
        <v>2015</v>
      </c>
      <c r="I22" s="1162"/>
      <c r="J22" s="1162"/>
      <c r="K22" s="1163"/>
      <c r="L22" s="1161">
        <f>D22+2</f>
        <v>2016</v>
      </c>
      <c r="M22" s="1162"/>
      <c r="N22" s="1162"/>
      <c r="O22" s="1162"/>
      <c r="P22" s="1162"/>
      <c r="Q22" s="1162"/>
      <c r="R22" s="1162"/>
      <c r="S22" s="1162"/>
      <c r="T22" s="1162"/>
      <c r="U22" s="1163"/>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6" t="s">
        <v>209</v>
      </c>
      <c r="O23" s="1177"/>
      <c r="P23" s="1177"/>
      <c r="Q23" s="1177"/>
      <c r="R23" s="1176" t="s">
        <v>191</v>
      </c>
      <c r="S23" s="1177"/>
      <c r="T23" s="1177"/>
      <c r="U23" s="1202"/>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
      </c>
      <c r="F24" s="409" t="str">
        <f>IF(E24="Effective&gt;","",IF(AND(C.6SStartYr=$D$22,C.6SStartQtr=3),"&lt;Start",IF(AND(C.6SEffectiveYr=$D$22,C.6SEffectiveQtr=3),"Effective&gt;",IF(OR(E24="&lt;Start",E24="---"),"---",""))))</f>
        <v>&lt;Start</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v>
      </c>
      <c r="K24" s="409" t="str">
        <f>IF(J24="Effective&gt;","",IF(AND(C.6SStartYr=$H$22,C.6SStartQtr=4),"&lt;Start",IF(AND(C.6SEffectiveYr=$H$22,C.6SEffectiveQtr=4),"Effective&gt;",IF(OR(J24="&lt;Start",J24="---"),"---",""))))</f>
        <v>Effective&gt;</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4" t="str">
        <f>IF(M24="Effective&gt;","",IF(AND(C.6SStartYr=$L$22,C.6SStartQtr=3),"&lt;Start",IF(AND(C.6SEffectiveYr=$L$22,C.6SEffectiveQtr=3),"Effective&gt;",IF(OR(M24="&lt;Start",M24="---"),"---",""))))</f>
        <v/>
      </c>
      <c r="O24" s="1164"/>
      <c r="P24" s="1164"/>
      <c r="Q24" s="1164"/>
      <c r="R24" s="1164" t="str">
        <f>IF(N24="Effective&gt;","",IF(AND(C.6SStartYr=$L$22,C.6SStartQtr=4),"&lt;Start",IF(AND(C.6SEffectiveYr=$L$22,C.6SEffectiveQtr=4),"Effective&gt;",IF(OR(N24="&lt;Start",N24="---"),"---",""))))</f>
        <v/>
      </c>
      <c r="S24" s="1164"/>
      <c r="T24" s="1164"/>
      <c r="U24" s="1164"/>
      <c r="V24" s="1199"/>
      <c r="W24" s="1200"/>
      <c r="X24" s="1201"/>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&lt;AdvCom</v>
      </c>
      <c r="G25" s="409" t="str">
        <f>IF(OR(F25="&lt;AdvCom&gt;",F25="End&gt;"),"",IF(AND(C.6SACStartYr=$D$22,C.6SACStartQtr=4,C.6SACEndYr=$D$22,C.7SACEndQtr=4),"&lt;AdvCom&gt;",IF(AND(C.6SACStartYr=$D$22,C.6SACStartQtr=4),"&lt;AdvCom",IF(AND(C.6SACEndYr=$D$22,C.7SACEndQtr=4),"End&gt;",IF(OR(F25="&lt;AdvCom",F25="---"),"---","")))))</f>
        <v>---</v>
      </c>
      <c r="H25" s="155" t="str">
        <f>IF(OR(G25="&lt;AdvCom&gt;",G25="End&gt;"),"",IF(AND(C.6SACStartYr=$H$22,C.6SACStartQtr=1,C.6SACEndYr=$H$22,C.7SACEndQtr=1),"&lt;AdvCom&gt;",IF(AND(C.6SACStartYr=$H$22,C.6SACStartQtr=1),"&lt;AdvCom",IF(AND(C.6SACEndYr=$H$22,C.7SACEndQtr=1),"End&gt;",IF(OR(G25="&lt;AdvCom",G25="---"),"---","")))))</f>
        <v>---</v>
      </c>
      <c r="I25" s="409" t="str">
        <f>IF(OR(H25="&lt;AdvCom&gt;",H25="End&gt;"),"",IF(AND(C.6SACStartYr=$H$22,C.6SACStartQtr=2,C.6SACEndYr=$H$22,C.7SACEndQtr=2),"&lt;AdvCom&gt;",IF(AND(C.6SACStartYr=$H$22,C.6SACStartQtr=2),"&lt;AdvCom",IF(AND(C.6SACEndYr=$H$22,C.7SACEndQtr=2),"End&gt;",IF(OR(H25="&lt;AdvCom",H25="---"),"---","")))))</f>
        <v>---</v>
      </c>
      <c r="J25" s="409" t="str">
        <f>IF(OR(H25="&lt;AdvCom&gt;",H25="End&gt;"),"",IF(AND(C.6SACStartYr=$H$22,C.6SACStartQtr=3,C.6SACEndYr=$H$22,C.7SACEndQtr=3),"&lt;AdvCom&gt;",IF(AND(C.6SACStartYr=$H$22,C.6SACStartQtr=3),"&lt;AdvCom",IF(AND(C.6SACEndYr=$H$22,C.7SACEndQtr=3),"End&gt;",IF(OR(H25="&lt;AdvCom",H25="---"),"---","")))))</f>
        <v>---</v>
      </c>
      <c r="K25" s="410" t="str">
        <f>IF(OR(J25="&lt;AdvCom&gt;",J25="End&gt;"),"",IF(AND(C.6SACStartYr=$H$22,C.6SACStartQtr=4,C.6SACEndYr=$H$22,C.7SACEndQtr=4),"&lt;AdvCom&gt;",IF(AND(C.6SACStartYr=$H$22,C.6SACStartQtr=4),"&lt;AdvCom",IF(AND(C.6SACEndYr=$H$22,C.7SACEndQtr=4),"End&gt;",IF(OR(J25="&lt;AdvCom",J25="---"),"---","")))))</f>
        <v>---</v>
      </c>
      <c r="L25" s="155" t="str">
        <f>IF(OR(K25="&lt;AdvCom&gt;",K25="End&gt;"),"",IF(AND(C.6SACStartYr=$L$22,C.6SACStartQtr=1,C.6SACEndYr=$L$22,C.7SACEndQtr=1),"&lt;AdvCom&gt;",IF(AND(C.6SACStartYr=$L$22,C.6SACStartQtr=1),"&lt;AdvCom",IF(AND(C.6SACEndYr=$L$22,C.7SACEndQtr=1),"End&gt;",IF(OR(K25="&lt;AdvCom",K25="---"),"---","")))))</f>
        <v>---</v>
      </c>
      <c r="M25" s="803" t="str">
        <f>IF(OR(L25="&lt;AdvCom&gt;",L25="End&gt;"),"",IF(AND(C.6SACStartYr=$L$22,C.6SACStartQtr=2,C.6SACEndYr=$L$22,C.7SACEndQtr=2),"&lt;AdvCom&gt;",IF(AND(C.6SACStartYr=$L$22,C.6SACStartQtr=2),"&lt;AdvCom",IF(AND(C.6SACEndYr=$L$22,C.7SACEndQtr=2),"End&gt;",IF(OR(L25="&lt;AdvCom",L25="---"),"---","")))))</f>
        <v>---</v>
      </c>
      <c r="N25" s="1164" t="str">
        <f>IF(OR(M25="&lt;AdvCom&gt;",M25="End&gt;"),"",IF(AND(C.6SACStartYr=$L$22,C.6SACStartQtr=2,C.6SACEndYr=$L$22,C.7SACEndQtr=3),"&lt;AdvCom&gt;",IF(AND(C.6SACStartYr=$L$22,C.6SACStartQtr=3),"&lt;AdvCom",IF(AND(C.6SACEndYr=$L$22,C.7SACEndQtr=3),"End&gt;",IF(OR(M25="&lt;AdvCom",M25="---"),"---","")))))</f>
        <v>---</v>
      </c>
      <c r="O25" s="1164"/>
      <c r="P25" s="1164"/>
      <c r="Q25" s="1164"/>
      <c r="R25" s="1164" t="str">
        <f>IF(OR(N25="&lt;AdvCom&gt;",N25="End&gt;"),"",IF(AND(C.6SACStartYr=$L$22,C.6SACStartQtr=4,C.6SACEndYr=$L$22,C.7SACEndQtr=4),"&lt;AdvCom&gt;",IF(AND(C.6SACStartYr=$L$22,C.6SACStartQtr=4),"&lt;AdvCom",IF(AND(C.6SACEndYr=$L$22,C.7SACEndQtr=4),"End&gt;",IF(OR(N25="&lt;AdvCom",N25="---"),"---","")))))</f>
        <v>---</v>
      </c>
      <c r="S25" s="1164"/>
      <c r="T25" s="1164"/>
      <c r="U25" s="1165"/>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&lt;Notice</v>
      </c>
      <c r="H26" s="155" t="str">
        <f>IF(OR(G26="&lt;Notice&gt;",G26="End&gt;"),"",IF(AND(C.6SNoticeStartYr=$H$22,C.6SNoticeStartQtr=1,C.6SNoticeEndYr=$H$22,C.6SNoticeEndQtr=1),"&lt;Notice&gt;",IF(AND(C.6SNoticeStartYr=$H$22,C.6SNoticeStartQtr=1),"&lt;Notice",IF(AND(C.6SNoticeEndYr=$H$22,C.6SNoticeEndQtr=1),"End&gt;",IF(OR(G26="&lt;Notice",G26="---"),"---","")))))</f>
        <v>End&gt;</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4" t="str">
        <f>IF(OR(M26="&lt;Notice&gt;",M26="End&gt;"),"",IF(AND(C.6SNoticeStartYr=$L$22,C.6SNoticeStartQtr=3,C.6SNoticeEndYr=$L$22,C.6SNoticeEndQtr=3),"&lt;Notice&gt;",IF(AND(C.6SNoticeStartYr=$L$22,C.6SNoticeStartQtr=3),"&lt;Notice",IF(AND(C.6SNoticeEndYr=$L$22,C.6SNoticeEndQtr=3),"End&gt;",IF(OR(M26="&lt;Notice",M26="---"),"---","")))))</f>
        <v/>
      </c>
      <c r="O26" s="1164"/>
      <c r="P26" s="1164"/>
      <c r="Q26" s="1164"/>
      <c r="R26" s="1164" t="str">
        <f>IF(OR(N26="&lt;Notice&gt;",N26="End&gt;"),"",IF(AND(C.6SNoticeStartYr=$L$22,C.6SNoticeStartQtr=4,C.6SNoticeEndYr=$L$22,C.6SNoticeEndQtr=4),"&lt;Notice&gt;",IF(AND(C.6SNoticeStartYr=$L$22,C.6SNoticeStartQtr=4),"&lt;Notice",IF(AND(C.6SNoticeEndYr=$L$22,C.6SNoticeEndQtr=4),"End&gt;",IF(OR(N26="&lt;Notice",N26="---"),"---","")))))</f>
        <v/>
      </c>
      <c r="S26" s="1164"/>
      <c r="T26" s="1164"/>
      <c r="U26" s="1165"/>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EQC</v>
      </c>
      <c r="K27" s="409" t="str">
        <f>IF(AND(C.6SEQCYr=$H$22,C.6SEQCQtr=4),"EQC","")</f>
        <v/>
      </c>
      <c r="L27" s="156" t="str">
        <f>IF(AND(C.6SEQCYr=$L$22,C.6SEQCQtr=1),"EQC","")</f>
        <v/>
      </c>
      <c r="M27" s="1140" t="str">
        <f>IF(AND(C.6SEQCYr=$L$22,C.6SEQCQtr=2),"EQC","")</f>
        <v/>
      </c>
      <c r="N27" s="1197" t="str">
        <f>IF(AND(C.6SEQCYr=$L$22,C.6SEQCQtr=3),"EQC","")</f>
        <v/>
      </c>
      <c r="O27" s="1197"/>
      <c r="P27" s="1197"/>
      <c r="Q27" s="1197"/>
      <c r="R27" s="1197" t="str">
        <f>IF(AND(C.6SEQCYr=$L$22,C.6SEQCQtr=4),"EQC","")</f>
        <v/>
      </c>
      <c r="S27" s="1197"/>
      <c r="T27" s="1197"/>
      <c r="U27" s="1198"/>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60" t="s">
        <v>1061</v>
      </c>
      <c r="E29" s="1160"/>
      <c r="F29" s="1160"/>
      <c r="G29" s="1160"/>
      <c r="H29" s="120"/>
      <c r="I29" s="989" t="s">
        <v>130</v>
      </c>
      <c r="K29" s="783"/>
      <c r="L29" s="822">
        <f>C.2ComplianceRating</f>
        <v>0</v>
      </c>
      <c r="M29" s="1172" t="str">
        <f>'2Basics'!AA52</f>
        <v>not involved</v>
      </c>
      <c r="N29" s="1172"/>
      <c r="O29" s="1172"/>
      <c r="P29" s="1172"/>
      <c r="Q29" s="1172"/>
      <c r="R29" s="1172"/>
      <c r="S29" s="1172"/>
      <c r="T29" s="1172"/>
      <c r="U29" s="1172"/>
      <c r="V29" s="1172"/>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3" t="str">
        <f>"● "&amp;C.5EnvironmentalCorrelation</f>
        <v>● Address an environmental problem indirectly.</v>
      </c>
      <c r="E30" s="1153"/>
      <c r="F30" s="1153"/>
      <c r="G30" s="1153"/>
      <c r="H30" s="1153"/>
      <c r="I30" s="990" t="s">
        <v>131</v>
      </c>
      <c r="J30" s="120"/>
      <c r="K30" s="806"/>
      <c r="L30" s="824">
        <f>C.2PenaltyRating</f>
        <v>0</v>
      </c>
      <c r="M30" s="1173" t="str">
        <f>C.2Penalties</f>
        <v>not involved</v>
      </c>
      <c r="N30" s="1173"/>
      <c r="O30" s="1173"/>
      <c r="P30" s="1173"/>
      <c r="Q30" s="1173"/>
      <c r="R30" s="1173"/>
      <c r="S30" s="1173"/>
      <c r="T30" s="1173"/>
      <c r="U30" s="1173"/>
      <c r="V30" s="1173"/>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3"/>
      <c r="E31" s="1153"/>
      <c r="F31" s="1153"/>
      <c r="G31" s="1153"/>
      <c r="H31" s="1153"/>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3" t="str">
        <f>IF(C.5EnvCorrolation=0,"","● "&amp;C.5EnvReach)</f>
        <v>● have a statewide environmental reach.</v>
      </c>
      <c r="E32" s="1153"/>
      <c r="F32" s="1153"/>
      <c r="G32" s="1153"/>
      <c r="H32" s="1134"/>
      <c r="I32" s="991" t="s">
        <v>2</v>
      </c>
      <c r="J32" s="853"/>
      <c r="K32" s="825"/>
      <c r="L32" s="824">
        <f>'7Financial'!AA19</f>
        <v>0</v>
      </c>
      <c r="M32" s="1171" t="str">
        <f>C.7Fee</f>
        <v>not involved</v>
      </c>
      <c r="N32" s="1171"/>
      <c r="O32" s="1171"/>
      <c r="P32" s="1171"/>
      <c r="Q32" s="1171"/>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3"/>
      <c r="E33" s="1153"/>
      <c r="F33" s="1153"/>
      <c r="G33" s="1153"/>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3" t="str">
        <f>IF(C.5EnvCorrolation=0,"","● "&amp;C.5epaDialog)</f>
        <v>● align with 1 action in the EPA Strategic Plan.</v>
      </c>
      <c r="E34" s="1153"/>
      <c r="F34" s="1153"/>
      <c r="G34" s="1153"/>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14.25" customHeight="1">
      <c r="B35" s="556"/>
      <c r="C35" s="1138"/>
      <c r="D35" s="1153"/>
      <c r="E35" s="1153"/>
      <c r="F35" s="1153"/>
      <c r="G35" s="1153"/>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3" t="str">
        <f>IF(C.5EnvCorrolation=0,"","● "&amp;C.5NaturalStepDialog)</f>
        <v>● do not have a selection for Natural Step support at this time.</v>
      </c>
      <c r="E36" s="1153"/>
      <c r="F36" s="1153"/>
      <c r="G36" s="1153"/>
      <c r="H36" s="1153" t="str">
        <f>C.5DoNothing</f>
        <v>The "do nothing" environmental consequence is: delay in public health protection.</v>
      </c>
      <c r="I36" s="1153"/>
      <c r="J36" s="1153"/>
      <c r="K36" s="1153"/>
      <c r="L36" s="1153"/>
      <c r="M36" s="1153"/>
      <c r="N36" s="1153"/>
      <c r="O36" s="1153"/>
      <c r="P36" s="1153"/>
      <c r="Q36" s="1153"/>
      <c r="R36" s="1153"/>
      <c r="S36" s="1153"/>
      <c r="T36" s="1153"/>
      <c r="U36" s="1153"/>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9" t="s">
        <v>206</v>
      </c>
      <c r="E37" s="1169"/>
      <c r="F37" s="1169"/>
      <c r="G37" s="1169"/>
      <c r="H37" s="1169" t="s">
        <v>207</v>
      </c>
      <c r="I37" s="1169"/>
      <c r="J37" s="1169"/>
      <c r="K37" s="1169"/>
      <c r="L37" s="1169" t="s">
        <v>208</v>
      </c>
      <c r="M37" s="1169"/>
      <c r="N37" s="1169"/>
      <c r="O37" s="1169"/>
      <c r="P37" s="1169"/>
      <c r="Q37" s="1169"/>
      <c r="R37" s="1169"/>
      <c r="S37" s="1169"/>
      <c r="T37" s="1169"/>
      <c r="U37" s="1169"/>
      <c r="V37" s="1169"/>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70" t="s">
        <v>215</v>
      </c>
      <c r="E38" s="1170"/>
      <c r="F38" s="1170"/>
      <c r="G38" s="1170"/>
      <c r="H38" s="1170" t="s">
        <v>234</v>
      </c>
      <c r="I38" s="1170"/>
      <c r="J38" s="1170"/>
      <c r="K38" s="1170"/>
      <c r="L38" s="1170" t="s">
        <v>235</v>
      </c>
      <c r="M38" s="1170"/>
      <c r="N38" s="1170"/>
      <c r="O38" s="1170"/>
      <c r="P38" s="1170"/>
      <c r="Q38" s="1170"/>
      <c r="R38" s="1170"/>
      <c r="S38" s="1170"/>
      <c r="T38" s="1170"/>
      <c r="U38" s="1170"/>
      <c r="V38" s="1170"/>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20.75" customHeight="1">
      <c r="B39" s="558"/>
      <c r="C39" s="421"/>
      <c r="D39" s="1168" t="str">
        <f>C.2Ideal</f>
        <v>Keep PM2.5 pollution below harmful levels and maintain a federally approved State Implementation Plan to protect air quality.  We also want to ensure there are no adverse air quality effects in neighboring states.</v>
      </c>
      <c r="E39" s="1168"/>
      <c r="F39" s="1168"/>
      <c r="G39" s="1168"/>
      <c r="H39" s="1167" t="str">
        <f>C.2Reality</f>
        <v>Incorporate the annual NAAQS for PM2.5 into Oregon's State Implementation Plan by Dec. 14, 2015.   And, comply with the interstate transport provision in the CAA demonstrating Oregon does not have adverse air quality effects in neighboring states.</v>
      </c>
      <c r="I39" s="1167"/>
      <c r="J39" s="1167"/>
      <c r="K39" s="1167"/>
      <c r="L39" s="1166" t="s">
        <v>1084</v>
      </c>
      <c r="M39" s="1166"/>
      <c r="N39" s="1166"/>
      <c r="O39" s="1166"/>
      <c r="P39" s="1166"/>
      <c r="Q39" s="1166"/>
      <c r="R39" s="1166"/>
      <c r="S39" s="1166"/>
      <c r="T39" s="1166"/>
      <c r="U39" s="1166"/>
      <c r="V39" s="1166"/>
      <c r="W39" s="1166"/>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8" t="s">
        <v>421</v>
      </c>
      <c r="E40" s="1158"/>
      <c r="F40" s="1158"/>
      <c r="G40" s="1158"/>
      <c r="H40" s="1158" t="s">
        <v>422</v>
      </c>
      <c r="I40" s="1158"/>
      <c r="J40" s="1158"/>
      <c r="K40" s="1158"/>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81.75" customHeight="1">
      <c r="B41" s="558"/>
      <c r="C41" s="421"/>
      <c r="D41" s="1159" t="str">
        <f>C.2Alternatives</f>
        <v>Because the rules are necessary to comply with the CAA, DEQ is not considering other options.</v>
      </c>
      <c r="E41" s="1159"/>
      <c r="F41" s="1159"/>
      <c r="G41" s="1159"/>
      <c r="H41" s="1196" t="str">
        <f>C.2Research</f>
        <v>We need to address the interstate transport component to this rulemaking (2012 PM 2.5) and for previous rulemakings (2008 Pb, 2010 NO2 and 2010 SO2)</v>
      </c>
      <c r="I41" s="1196"/>
      <c r="J41" s="1196"/>
      <c r="K41" s="1196"/>
      <c r="L41" s="1154" t="str">
        <f>C.2Models</f>
        <v>We can use previous similar rulemakings as a model for this rulemaking.</v>
      </c>
      <c r="M41" s="1154"/>
      <c r="N41" s="1154"/>
      <c r="O41" s="1154"/>
      <c r="P41" s="1154"/>
      <c r="Q41" s="1154"/>
      <c r="R41" s="1154"/>
      <c r="S41" s="1154"/>
      <c r="T41" s="1154"/>
      <c r="U41" s="1154"/>
      <c r="V41" s="1154"/>
      <c r="W41" s="1154"/>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2.2222222222222223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60" t="s">
        <v>1082</v>
      </c>
      <c r="E43" s="1160"/>
      <c r="F43" s="1160"/>
      <c r="G43" s="1160"/>
      <c r="I43" s="854" t="str">
        <f>'3Stakeholders'!D8</f>
        <v>Business</v>
      </c>
      <c r="J43" s="855"/>
      <c r="K43" s="871">
        <f>'3Stakeholders'!AB8</f>
        <v>3</v>
      </c>
      <c r="L43" s="1155" t="str">
        <f>'3Stakeholders'!AA8</f>
        <v>affects  under 100 currently regulated</v>
      </c>
      <c r="M43" s="1156"/>
      <c r="N43" s="1156"/>
      <c r="O43" s="1156"/>
      <c r="P43" s="1156"/>
      <c r="Q43" s="1156"/>
      <c r="R43" s="1156"/>
      <c r="S43" s="1156"/>
      <c r="T43" s="1156"/>
      <c r="U43" s="1156"/>
      <c r="V43" s="1156"/>
      <c r="W43" s="1156"/>
      <c r="X43" s="1157"/>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60"/>
      <c r="E44" s="1160"/>
      <c r="F44" s="1160"/>
      <c r="G44" s="1160"/>
      <c r="I44" s="854" t="str">
        <f>'3Stakeholders'!D9</f>
        <v>Manufacturing</v>
      </c>
      <c r="J44" s="855"/>
      <c r="K44" s="871">
        <f>'3Stakeholders'!AB9</f>
        <v>3</v>
      </c>
      <c r="L44" s="858" t="str">
        <f>'3Stakeholders'!AA9</f>
        <v>affects  under 100 currently regulated</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60"/>
      <c r="E45" s="1160"/>
      <c r="F45" s="1160"/>
      <c r="G45" s="1160"/>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60"/>
      <c r="E46" s="1160"/>
      <c r="F46" s="1160"/>
      <c r="G46" s="1160"/>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60"/>
      <c r="E47" s="1160"/>
      <c r="F47" s="1160"/>
      <c r="G47" s="1160"/>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60"/>
      <c r="E48" s="1160"/>
      <c r="F48" s="1160"/>
      <c r="G48" s="1160"/>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3">
        <f ca="1">TODAY()</f>
        <v>41960</v>
      </c>
      <c r="K49" s="1193"/>
      <c r="L49" s="1193"/>
      <c r="M49" s="1193"/>
      <c r="N49" s="1193"/>
      <c r="O49" s="1193"/>
      <c r="P49" s="1193"/>
      <c r="Q49" s="1193"/>
      <c r="R49" s="1193"/>
      <c r="S49" s="1193"/>
      <c r="T49" s="1193"/>
      <c r="U49" s="1193"/>
      <c r="V49" s="1193"/>
      <c r="W49" s="1193"/>
      <c r="X49" s="1194"/>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O9:W18 N10:N18">
    <cfRule type="colorScale" priority="56">
      <colorScale>
        <cfvo type="num" val="0"/>
        <cfvo type="num" val="5"/>
        <cfvo type="num" val="10"/>
        <color rgb="FF00B050"/>
        <color rgb="FFFFFF00"/>
        <color rgb="FFFF0000"/>
      </colorScale>
    </cfRule>
  </conditionalFormatting>
  <conditionalFormatting sqref="D25:U25">
    <cfRule type="expression" dxfId="401" priority="87">
      <formula>IF(OR(D25="&lt;AdvCom",D25="&lt;AdvCom&gt;",D25="---",D25="End&gt;"),TRUE)</formula>
    </cfRule>
  </conditionalFormatting>
  <conditionalFormatting sqref="D26:U26">
    <cfRule type="expression" dxfId="400" priority="83">
      <formula>IF(OR(D26="&lt;Notice",D26="&lt;Notice&gt;",D26="---",D26="End&gt;"),TRUE)</formula>
    </cfRule>
  </conditionalFormatting>
  <conditionalFormatting sqref="D24:U24">
    <cfRule type="expression" dxfId="399" priority="82">
      <formula>IF(OR(D24="&lt;Start",D24="---",D24="Effective&gt;"),TRUE)</formula>
    </cfRule>
  </conditionalFormatting>
  <conditionalFormatting sqref="E23">
    <cfRule type="expression" dxfId="398" priority="79">
      <formula>IF(ISODD($D$22),TRUE)</formula>
    </cfRule>
  </conditionalFormatting>
  <conditionalFormatting sqref="I23">
    <cfRule type="expression" dxfId="397" priority="78">
      <formula>IF(ISODD($H$22),TRUE)</formula>
    </cfRule>
  </conditionalFormatting>
  <conditionalFormatting sqref="M23">
    <cfRule type="expression" dxfId="396" priority="77">
      <formula>IF(ISODD($L$22),TRUE)</formula>
    </cfRule>
  </conditionalFormatting>
  <conditionalFormatting sqref="W9:W18">
    <cfRule type="expression" dxfId="395" priority="40" stopIfTrue="1">
      <formula>IF($AH9&lt;10,TRUE,)</formula>
    </cfRule>
  </conditionalFormatting>
  <conditionalFormatting sqref="N10:N18">
    <cfRule type="expression" dxfId="394" priority="41" stopIfTrue="1">
      <formula>IF($AH10&lt;1,TRUE,)</formula>
    </cfRule>
  </conditionalFormatting>
  <conditionalFormatting sqref="O9:O18">
    <cfRule type="expression" dxfId="393" priority="42" stopIfTrue="1">
      <formula>IF($AH9&lt;2,TRUE,)</formula>
    </cfRule>
  </conditionalFormatting>
  <conditionalFormatting sqref="P9:P18">
    <cfRule type="expression" dxfId="392" priority="43" stopIfTrue="1">
      <formula>IF(AH9&lt;3,TRUE,)</formula>
    </cfRule>
  </conditionalFormatting>
  <conditionalFormatting sqref="Q9:Q18">
    <cfRule type="expression" dxfId="391" priority="44" stopIfTrue="1">
      <formula>IF($AH9&lt;4,TRUE,)</formula>
    </cfRule>
  </conditionalFormatting>
  <conditionalFormatting sqref="R9:R18">
    <cfRule type="expression" dxfId="390" priority="45" stopIfTrue="1">
      <formula>IF($AH9&lt;5,TRUE,)</formula>
    </cfRule>
  </conditionalFormatting>
  <conditionalFormatting sqref="S9:S18">
    <cfRule type="expression" dxfId="389" priority="46" stopIfTrue="1">
      <formula>IF($AH9&lt;6,TRUE,)</formula>
    </cfRule>
  </conditionalFormatting>
  <conditionalFormatting sqref="T9:T18">
    <cfRule type="expression" dxfId="388" priority="47" stopIfTrue="1">
      <formula>IF($AH9&lt;7,TRUE,)</formula>
    </cfRule>
  </conditionalFormatting>
  <conditionalFormatting sqref="U9:U18">
    <cfRule type="expression" dxfId="387" priority="48" stopIfTrue="1">
      <formula>IF($AH9&lt;8,TRUE,)</formula>
    </cfRule>
  </conditionalFormatting>
  <conditionalFormatting sqref="V9:V18">
    <cfRule type="expression" dxfId="386" priority="49" stopIfTrue="1">
      <formula>IF($AH9&lt;9,TRUE,)</formula>
    </cfRule>
  </conditionalFormatting>
  <conditionalFormatting sqref="K43:K48">
    <cfRule type="iconSet" priority="14">
      <iconSet iconSet="3TrafficLights2" showValue="0" reverse="1">
        <cfvo type="percent" val="0"/>
        <cfvo type="num" val="3"/>
        <cfvo type="num" val="7"/>
      </iconSet>
    </cfRule>
  </conditionalFormatting>
  <conditionalFormatting sqref="C42">
    <cfRule type="iconSet" priority="5">
      <iconSet iconSet="3TrafficLights2" showValue="0" reverse="1">
        <cfvo type="percent" val="0"/>
        <cfvo type="num" val="4"/>
        <cfvo type="num" val="7"/>
      </iconSet>
    </cfRule>
  </conditionalFormatting>
  <conditionalFormatting sqref="C28">
    <cfRule type="iconSet" priority="4">
      <iconSet iconSet="3TrafficLights2" showValue="0" reverse="1">
        <cfvo type="percent" val="0"/>
        <cfvo type="num" val="4"/>
        <cfvo type="num" val="7"/>
      </iconSet>
    </cfRule>
  </conditionalFormatting>
  <conditionalFormatting sqref="M9:M18">
    <cfRule type="iconSet" priority="3">
      <iconSet iconSet="3TrafficLights2" showValue="0" reverse="1">
        <cfvo type="percent" val="0"/>
        <cfvo type="num" val="4"/>
        <cfvo type="num" val="7"/>
      </iconSet>
    </cfRule>
  </conditionalFormatting>
  <conditionalFormatting sqref="D27:U27">
    <cfRule type="expression" dxfId="385" priority="5379">
      <formula>IF(D$27="EQC",TRUE)</formula>
    </cfRule>
  </conditionalFormatting>
  <conditionalFormatting sqref="AD32:AD36 L29:L35">
    <cfRule type="iconSet" priority="5398">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K277"/>
  <sheetViews>
    <sheetView zoomScale="110" zoomScaleNormal="110" workbookViewId="0">
      <pane xSplit="1" ySplit="5" topLeftCell="B176" activePane="bottomRight" state="frozen"/>
      <selection pane="topRight" activeCell="C1" sqref="C1"/>
      <selection pane="bottomLeft" activeCell="A5" sqref="A5"/>
      <selection pane="bottomRight" activeCell="A76" sqref="A76"/>
    </sheetView>
  </sheetViews>
  <sheetFormatPr defaultColWidth="9"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6" t="s">
        <v>0</v>
      </c>
    </row>
    <row r="3" spans="1:11" s="915" customFormat="1" ht="15.75" customHeight="1">
      <c r="A3" s="965"/>
      <c r="B3" s="1036" t="str">
        <f>IF(C.4Media="air","AQ",IF(C.4Media="water","WQ",IF(C.4Media="land","LQ","CP")))</f>
        <v>AQ</v>
      </c>
      <c r="C3" s="967" t="str">
        <f>C.4Program</f>
        <v>Environmental Solutions AQ Planning Section</v>
      </c>
      <c r="D3" s="965"/>
      <c r="E3" s="914"/>
      <c r="F3" s="913"/>
      <c r="G3" s="913"/>
      <c r="H3" s="913"/>
      <c r="I3" s="913"/>
      <c r="J3" s="913"/>
      <c r="K3" s="1206"/>
    </row>
    <row r="4" spans="1:11" ht="19.5" customHeight="1">
      <c r="A4" s="914"/>
      <c r="B4" s="1207" t="str">
        <f>C.2Divisions</f>
        <v>202-0060(3), 200</v>
      </c>
      <c r="C4" s="1207"/>
      <c r="D4" s="966"/>
      <c r="E4" s="914"/>
      <c r="F4" s="913"/>
      <c r="G4" s="913"/>
      <c r="H4" s="913"/>
      <c r="I4" s="913"/>
      <c r="J4" s="913"/>
      <c r="K4" s="1206"/>
    </row>
    <row r="5" spans="1:11" ht="19.5" hidden="1" customHeight="1">
      <c r="A5" s="914"/>
      <c r="B5" s="1044" t="s">
        <v>0</v>
      </c>
      <c r="C5" s="968" t="str">
        <f ca="1">CELL("filename")</f>
        <v>http://deqsps/programs/rulemaking/aq/sippm25/docs/1-Planning/[CONSIDERATIONS.xlsx]2Basics</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v>
      </c>
      <c r="D7" s="898"/>
      <c r="E7" s="919"/>
    </row>
    <row r="8" spans="1:11" ht="15" customHeight="1" collapsed="1">
      <c r="A8" s="922" t="s">
        <v>449</v>
      </c>
      <c r="B8" s="1037">
        <f>AVERAGEIF(B31:B175,"&gt;0")</f>
        <v>3.3695652173913042</v>
      </c>
      <c r="C8" s="923" t="str">
        <f>LOWER(C.2PermTemp)</f>
        <v>permanent</v>
      </c>
      <c r="D8" s="912"/>
      <c r="E8" s="919"/>
    </row>
    <row r="9" spans="1:11" ht="15" customHeight="1">
      <c r="A9" s="924" t="s">
        <v>451</v>
      </c>
      <c r="B9" s="1045"/>
      <c r="C9" s="926" t="str">
        <f>C.2Divisions</f>
        <v>202-0060(3), 200</v>
      </c>
      <c r="D9" s="925"/>
      <c r="E9" s="919"/>
    </row>
    <row r="10" spans="1:11" ht="15" customHeight="1">
      <c r="A10" s="924" t="s">
        <v>463</v>
      </c>
      <c r="B10" s="1045"/>
      <c r="C10" s="926"/>
      <c r="D10" s="925"/>
      <c r="E10" s="919"/>
    </row>
    <row r="11" spans="1:11" ht="15" customHeight="1">
      <c r="A11" s="918" t="s">
        <v>384</v>
      </c>
      <c r="B11" s="1046">
        <f>'2Basics'!X10</f>
        <v>0</v>
      </c>
      <c r="C11" s="926" t="str">
        <f>'2Basics'!H10</f>
        <v>does not apply</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0</v>
      </c>
      <c r="C17" s="926" t="str">
        <f>'2Basics'!H16</f>
        <v>does not apply</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Keep PM2.5 pollution below harmful levels and maintain a federally approved State Implementation Plan to protect air quality.  We also want to ensure there are no adverse air quality effects in neighboring states.</v>
      </c>
      <c r="D19" s="925"/>
      <c r="E19" s="919"/>
    </row>
    <row r="20" spans="1:5" s="915" customFormat="1" ht="15" hidden="1" customHeight="1" outlineLevel="1">
      <c r="A20" s="957" t="s">
        <v>466</v>
      </c>
      <c r="B20" s="1046"/>
      <c r="C20" s="959">
        <f>C.2IdealLong</f>
        <v>0</v>
      </c>
      <c r="D20" s="925"/>
      <c r="E20" s="919"/>
    </row>
    <row r="21" spans="1:5" s="915" customFormat="1" ht="15" hidden="1" customHeight="1" outlineLevel="1">
      <c r="A21" s="957" t="s">
        <v>471</v>
      </c>
      <c r="B21" s="1046"/>
      <c r="C21" s="959" t="str">
        <f>C.2Reality</f>
        <v>Incorporate the annual NAAQS for PM2.5 into Oregon's State Implementation Plan by Dec. 14, 2015.   And, comply with the interstate transport provision in the CAA demonstrating Oregon does not have adverse air quality effects in neighboring states.</v>
      </c>
      <c r="D21" s="925"/>
      <c r="E21" s="919"/>
    </row>
    <row r="22" spans="1:5" s="915" customFormat="1" ht="15" hidden="1" customHeight="1" outlineLevel="1">
      <c r="A22" s="957" t="s">
        <v>467</v>
      </c>
      <c r="B22" s="1046"/>
      <c r="C22" s="959" t="str">
        <f>C.2Reality</f>
        <v>Incorporate the annual NAAQS for PM2.5 into Oregon's State Implementation Plan by Dec. 14, 2015.   And, comply with the interstate transport provision in the CAA demonstrating Oregon does not have adverse air quality effects in neighboring states.</v>
      </c>
      <c r="D22" s="925"/>
      <c r="E22" s="919"/>
    </row>
    <row r="23" spans="1:5" s="915" customFormat="1" ht="15" hidden="1" customHeight="1" outlineLevel="1">
      <c r="A23" s="957" t="s">
        <v>468</v>
      </c>
      <c r="B23" s="1046"/>
      <c r="C23" s="959" t="str">
        <f>C.2Consequences</f>
        <v>If we do nothing, DEQ's SIP would become delinquent and DEQ could be sued and lose delegation of the AQ program.   The US Supreme Court recently ruled that all states have to submit an interstate transport SIP for new/revised NAAQS.</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Because the rules are necessary to comply with the CAA, DEQ is not considering other options.</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We need to address the interstate transport component to this rulemaking (2012 PM 2.5) and for previous rulemakings (2008 Pb, 2010 NO2 and 2010 SO2)</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We can use previous similar rulemakings as a model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4</v>
      </c>
      <c r="C38" s="942" t="str">
        <f>C.3ComplexityBlurb</f>
        <v>low/medium, minor opposition</v>
      </c>
      <c r="D38" s="900"/>
      <c r="E38" s="919"/>
    </row>
    <row r="39" spans="1:10">
      <c r="A39" s="930" t="s">
        <v>228</v>
      </c>
      <c r="B39" s="1037"/>
      <c r="C39" s="902"/>
      <c r="D39" s="900"/>
      <c r="E39" s="919"/>
    </row>
    <row r="40" spans="1:10" ht="28.5">
      <c r="A40" s="931" t="s">
        <v>120</v>
      </c>
      <c r="B40" s="1037">
        <f>'3Stakeholders'!AB8</f>
        <v>3</v>
      </c>
      <c r="C40" s="932" t="str">
        <f>'3Stakeholders'!AA8</f>
        <v>affects  under 100 currently regulated</v>
      </c>
      <c r="D40" s="901"/>
      <c r="E40" s="919"/>
    </row>
    <row r="41" spans="1:10">
      <c r="A41" s="931" t="s">
        <v>108</v>
      </c>
      <c r="B41" s="1037">
        <f>'3Stakeholders'!AB9</f>
        <v>3</v>
      </c>
      <c r="C41" s="933" t="str">
        <f>'3Stakeholders'!AA9</f>
        <v>affects  under 100 currently regulated</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2</v>
      </c>
      <c r="C47" s="932" t="str">
        <f>'3Stakeholders'!Y20</f>
        <v>minor interest</v>
      </c>
      <c r="D47" s="901"/>
      <c r="E47" s="919"/>
    </row>
    <row r="48" spans="1:10" ht="15.75" customHeight="1">
      <c r="A48" s="931" t="s">
        <v>335</v>
      </c>
      <c r="B48" s="1037">
        <f>'3Stakeholders'!X21</f>
        <v>2</v>
      </c>
      <c r="C48" s="932" t="str">
        <f>'3Stakeholders'!Y21</f>
        <v>minor interest</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2</v>
      </c>
      <c r="C51" s="932" t="str">
        <f>'3Stakeholders'!Y24</f>
        <v>minor interest</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2</v>
      </c>
      <c r="C54" s="932" t="str">
        <f>'3Stakeholders'!Y27</f>
        <v>minor interest</v>
      </c>
      <c r="D54" s="901"/>
      <c r="E54" s="919"/>
    </row>
    <row r="55" spans="1:5">
      <c r="A55" s="931" t="s">
        <v>342</v>
      </c>
      <c r="B55" s="1037">
        <f>'3Stakeholders'!X28</f>
        <v>2</v>
      </c>
      <c r="C55" s="932" t="str">
        <f>'3Stakeholders'!Y28</f>
        <v>minor interest</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Portland area</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3</v>
      </c>
      <c r="C70" s="997" t="str">
        <f>C.4SeverityStmt</f>
        <v>low to medium</v>
      </c>
      <c r="D70" s="902"/>
      <c r="E70" s="919"/>
    </row>
    <row r="71" spans="1:5" s="915" customFormat="1" ht="15.75" customHeight="1">
      <c r="A71" s="999" t="str">
        <f>'4Program'!D9</f>
        <v>Loss of delegation</v>
      </c>
      <c r="B71" s="1038">
        <f>'4Program'!Z9</f>
        <v>7</v>
      </c>
      <c r="C71" s="997" t="str">
        <f>IF(B71=0,"does not apply","true")</f>
        <v>true</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7</v>
      </c>
      <c r="C74" s="997" t="str">
        <f t="shared" si="0"/>
        <v>true</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Potential of being issue a findng of failure to submit from EPA.</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7</v>
      </c>
      <c r="C89" s="935" t="str">
        <f>IF('5Environmental'!X9=FALSE,"does not apply",LOWER('5Environmental'!X9))</f>
        <v>true</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1</v>
      </c>
      <c r="C102" s="932" t="str">
        <f>C.6RatingBlurb</f>
        <v>definitely not complex</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2014-Q3 to 2015-Q4</v>
      </c>
      <c r="D104" s="904"/>
      <c r="E104" s="919"/>
    </row>
    <row r="105" spans="1:10" s="915" customFormat="1" ht="15" customHeight="1">
      <c r="A105" s="946" t="s">
        <v>54</v>
      </c>
      <c r="B105" s="1041">
        <f>'6Timing'!Z11</f>
        <v>0</v>
      </c>
      <c r="C105" s="988" t="str">
        <f>C.6SACStart.YrQtr</f>
        <v>2014-Q3</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7</v>
      </c>
      <c r="C107" s="923" t="str">
        <f>'6Timing'!AD13</f>
        <v>2014-Q4 to 2015-Q1</v>
      </c>
      <c r="D107" s="904"/>
      <c r="E107" s="919"/>
    </row>
    <row r="108" spans="1:10" ht="15" customHeight="1">
      <c r="A108" s="946" t="s">
        <v>460</v>
      </c>
      <c r="B108" s="1041">
        <f>'6Timing'!Z14</f>
        <v>0</v>
      </c>
      <c r="C108" s="923" t="str">
        <f>C.6SEQC.YrQtr</f>
        <v>2015-Q3</v>
      </c>
      <c r="D108" s="904"/>
      <c r="E108" s="919"/>
    </row>
    <row r="109" spans="1:10">
      <c r="A109" s="946" t="s">
        <v>55</v>
      </c>
      <c r="B109" s="1041">
        <f>'6Timing'!Z15</f>
        <v>0</v>
      </c>
      <c r="C109" s="1016" t="str">
        <f>C.6SEffective.YrQtr</f>
        <v>2015-Q4</v>
      </c>
    </row>
    <row r="110" spans="1:10" ht="15.75" hidden="1" customHeight="1" outlineLevel="1">
      <c r="A110" s="943" t="s">
        <v>497</v>
      </c>
      <c r="B110" s="1045"/>
      <c r="C110" s="1014" t="str">
        <f>C.6Rational</f>
        <v xml:space="preserve"> States need to adopt federal standards within 3 years. This update is due to EPA by Dec. 14, 2015.</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453</v>
      </c>
      <c r="B113" s="1046">
        <f>C.5SeverityRating</f>
        <v>1</v>
      </c>
      <c r="C113" s="932" t="str">
        <f>'7Financial'!Y7</f>
        <v>low</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7</v>
      </c>
      <c r="C116" s="932" t="str">
        <f>IF('7Financial'!X12=FALSE,"does not apply",LOWER('7Financial'!X12))</f>
        <v>true</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Timecenter: 43003  Rulemaking: AQ Infrastructure SIP - PM2.5 - Mgr 15</v>
      </c>
      <c r="D122" s="904"/>
      <c r="E122" s="919"/>
    </row>
    <row r="123" spans="1:5" ht="15.75" customHeight="1">
      <c r="A123" s="947" t="s">
        <v>329</v>
      </c>
      <c r="B123" s="1041"/>
      <c r="C123" s="942" t="str">
        <f>'7Financial'!E6</f>
        <v>Contingent on any effects to PSD, permitting or LRAPA</v>
      </c>
      <c r="D123" s="904"/>
      <c r="E123" s="919"/>
    </row>
    <row r="124" spans="1:5" ht="15.75" customHeight="1">
      <c r="A124" s="934" t="s">
        <v>113</v>
      </c>
      <c r="B124" s="1051">
        <f>C.7FiscalImpactRating</f>
        <v>6</v>
      </c>
      <c r="C124" s="935" t="s">
        <v>518</v>
      </c>
      <c r="D124" s="904"/>
      <c r="E124" s="919"/>
    </row>
    <row r="125" spans="1:5" ht="15.75" customHeight="1">
      <c r="A125" s="947" t="s">
        <v>334</v>
      </c>
      <c r="B125" s="1051">
        <f>'7Financial'!X25</f>
        <v>6</v>
      </c>
      <c r="C125" s="1056" t="str">
        <f>'7Financial'!Y25</f>
        <v>unknown at this time</v>
      </c>
      <c r="D125" s="950"/>
      <c r="E125" s="919"/>
    </row>
    <row r="126" spans="1:5" ht="15.75" customHeight="1">
      <c r="A126" s="947" t="s">
        <v>346</v>
      </c>
      <c r="B126" s="1051">
        <f>'7Financial'!X26</f>
        <v>6</v>
      </c>
      <c r="C126" s="1056" t="str">
        <f>'7Financial'!Y26</f>
        <v>unknown at this time</v>
      </c>
      <c r="D126" s="950"/>
      <c r="E126" s="919"/>
    </row>
    <row r="127" spans="1:5" ht="15.75" customHeight="1">
      <c r="A127" s="947" t="s">
        <v>335</v>
      </c>
      <c r="B127" s="1051">
        <f>'7Financial'!X27</f>
        <v>6</v>
      </c>
      <c r="C127" s="1056" t="str">
        <f>'7Financial'!Y27</f>
        <v>unknown at this time</v>
      </c>
      <c r="D127" s="950"/>
      <c r="E127" s="919"/>
    </row>
    <row r="128" spans="1:5" ht="15.75" customHeight="1">
      <c r="A128" s="947" t="s">
        <v>341</v>
      </c>
      <c r="B128" s="1051">
        <f>'7Financial'!X28</f>
        <v>6</v>
      </c>
      <c r="C128" s="1056" t="str">
        <f>'7Financial'!Y28</f>
        <v>unknown at this time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453</v>
      </c>
      <c r="B146" s="1051">
        <f>C.8SeverityRating</f>
        <v>3</v>
      </c>
      <c r="C146" s="942" t="str">
        <f>'8Legal'!Y14</f>
        <v>low to medium</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ORS 468 and 468A</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 110</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NA</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t="str">
        <f>C.9Description</f>
        <v xml:space="preserve">Develop Interstate Transport Submittals for 2012 PM 2.5, along with the 2008 Pb,  2010 NO2, and 2010 SO2 NAAQS </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Prevent DEQ from being listed as delinquent</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Contingent on any effects to PSD, permitting or LRAPA</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 xml:space="preserve"> </v>
      </c>
      <c r="C198" s="902"/>
      <c r="D198" s="898"/>
      <c r="E198" s="919"/>
    </row>
    <row r="199" spans="1:5" s="915" customFormat="1" hidden="1" outlineLevel="1">
      <c r="A199" s="1059" t="s">
        <v>530</v>
      </c>
      <c r="B199" s="1040" t="str">
        <f>C.5Proposal</f>
        <v xml:space="preserve"> </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cfvo type="percentile" val="50"/>
        <cfvo type="max"/>
        <color rgb="FF77CB79"/>
        <color rgb="FFFFEB84"/>
        <color rgb="FFF53D39"/>
      </colorScale>
    </cfRule>
  </conditionalFormatting>
  <conditionalFormatting sqref="B6:B176">
    <cfRule type="colorScale" priority="28">
      <colorScale>
        <cfvo type="min"/>
        <cfvo type="percentile" val="50"/>
        <cfvo type="max"/>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I20"/>
  <sheetViews>
    <sheetView showGridLines="0" topLeftCell="A13" workbookViewId="0">
      <selection activeCell="D6" sqref="D6"/>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2" t="s">
        <v>404</v>
      </c>
      <c r="E2" s="1212"/>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1"/>
      <c r="E4" s="1211"/>
      <c r="F4" s="1211"/>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96</v>
      </c>
      <c r="E6" s="838" t="s">
        <v>68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8" t="s">
        <v>489</v>
      </c>
      <c r="E15" s="1218"/>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8"/>
      <c r="E16" s="1209"/>
      <c r="F16" s="1210"/>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3"/>
      <c r="E18" s="1214"/>
      <c r="F18" s="1215"/>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6">
        <f ca="1">TODAY()</f>
        <v>41960</v>
      </c>
      <c r="F19" s="1216"/>
      <c r="G19" s="1217"/>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U134"/>
  <sheetViews>
    <sheetView showGridLines="0" zoomScaleNormal="100" workbookViewId="0">
      <selection activeCell="D5" sqref="D5:T5"/>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72" t="s">
        <v>1077</v>
      </c>
      <c r="G2" s="1272"/>
      <c r="H2" s="1272"/>
      <c r="I2" s="1272"/>
      <c r="J2" s="1272"/>
      <c r="K2" s="1272"/>
      <c r="L2" s="1272"/>
      <c r="M2" s="1272"/>
      <c r="N2" s="1272"/>
      <c r="O2" s="1272"/>
      <c r="P2" s="1272"/>
      <c r="Q2" s="1272"/>
      <c r="R2" s="1272"/>
      <c r="S2" s="1272"/>
      <c r="T2" s="1272"/>
      <c r="U2" s="200"/>
      <c r="V2" s="559"/>
      <c r="W2" s="1240"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40"/>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71" t="s">
        <v>1026</v>
      </c>
      <c r="B4" s="559"/>
      <c r="C4" s="388" t="s">
        <v>0</v>
      </c>
      <c r="D4" s="1266" t="s">
        <v>214</v>
      </c>
      <c r="E4" s="1266"/>
      <c r="F4" s="1266"/>
      <c r="G4" s="1266"/>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87.75" customHeight="1">
      <c r="A5" s="1271"/>
      <c r="B5" s="559"/>
      <c r="C5" s="279"/>
      <c r="D5" s="1258" t="s">
        <v>1083</v>
      </c>
      <c r="E5" s="1259"/>
      <c r="F5" s="1259"/>
      <c r="G5" s="1259"/>
      <c r="H5" s="1259"/>
      <c r="I5" s="1259"/>
      <c r="J5" s="1259"/>
      <c r="K5" s="1259"/>
      <c r="L5" s="1259"/>
      <c r="M5" s="1259"/>
      <c r="N5" s="1259"/>
      <c r="O5" s="1259"/>
      <c r="P5" s="1259"/>
      <c r="Q5" s="1259"/>
      <c r="R5" s="1259"/>
      <c r="S5" s="1259"/>
      <c r="T5" s="1260"/>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71"/>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3" t="s">
        <v>375</v>
      </c>
      <c r="G7" s="1244"/>
      <c r="H7" s="1250" t="s">
        <v>210</v>
      </c>
      <c r="I7" s="1251"/>
      <c r="J7" s="1252"/>
      <c r="K7" s="1268" t="s">
        <v>1066</v>
      </c>
      <c r="L7" s="1269"/>
      <c r="M7" s="1269"/>
      <c r="N7" s="1269"/>
      <c r="O7" s="1269"/>
      <c r="P7" s="1269"/>
      <c r="Q7" s="1269"/>
      <c r="R7" s="1269"/>
      <c r="S7" s="1269"/>
      <c r="T7" s="1270"/>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49" t="s">
        <v>423</v>
      </c>
      <c r="E8" s="1249"/>
      <c r="F8" s="1249"/>
      <c r="G8" s="1249"/>
      <c r="H8" s="1249"/>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7" t="s">
        <v>371</v>
      </c>
      <c r="F9" s="1267"/>
      <c r="G9" s="1267"/>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3" t="s">
        <v>384</v>
      </c>
      <c r="F10" s="1253"/>
      <c r="G10" s="1254"/>
      <c r="H10" s="1246" t="s">
        <v>4</v>
      </c>
      <c r="I10" s="1246"/>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5" t="s">
        <v>385</v>
      </c>
      <c r="F11" s="1255"/>
      <c r="G11" s="1256"/>
      <c r="H11" s="1245" t="s">
        <v>4</v>
      </c>
      <c r="I11" s="1245"/>
      <c r="J11" s="225"/>
      <c r="K11" s="438">
        <v>1</v>
      </c>
      <c r="L11" s="439">
        <v>2</v>
      </c>
      <c r="M11" s="440">
        <v>3</v>
      </c>
      <c r="N11" s="441">
        <v>4</v>
      </c>
      <c r="O11" s="442">
        <v>5</v>
      </c>
      <c r="P11" s="443">
        <v>6</v>
      </c>
      <c r="Q11" s="444">
        <v>7</v>
      </c>
      <c r="R11" s="445">
        <v>8</v>
      </c>
      <c r="S11" s="446">
        <v>9</v>
      </c>
      <c r="T11" s="447">
        <v>10</v>
      </c>
      <c r="U11" s="292"/>
      <c r="V11" s="559"/>
      <c r="W11" s="313" t="s">
        <v>644</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5" t="s">
        <v>386</v>
      </c>
      <c r="F12" s="1255"/>
      <c r="G12" s="1256"/>
      <c r="H12" s="1245" t="s">
        <v>4</v>
      </c>
      <c r="I12" s="1245"/>
      <c r="J12" s="225"/>
      <c r="K12" s="448">
        <v>1</v>
      </c>
      <c r="L12" s="449">
        <v>2</v>
      </c>
      <c r="M12" s="450">
        <v>3</v>
      </c>
      <c r="N12" s="451">
        <v>4</v>
      </c>
      <c r="O12" s="452">
        <v>5</v>
      </c>
      <c r="P12" s="453">
        <v>6</v>
      </c>
      <c r="Q12" s="454">
        <v>7</v>
      </c>
      <c r="R12" s="455">
        <v>8</v>
      </c>
      <c r="S12" s="456">
        <v>9</v>
      </c>
      <c r="T12" s="457">
        <v>10</v>
      </c>
      <c r="U12" s="292"/>
      <c r="V12" s="559"/>
      <c r="W12" s="313" t="s">
        <v>644</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5" t="s">
        <v>390</v>
      </c>
      <c r="F13" s="1255"/>
      <c r="G13" s="1256"/>
      <c r="H13" s="1245" t="s">
        <v>4</v>
      </c>
      <c r="I13" s="1245"/>
      <c r="J13" s="225"/>
      <c r="K13" s="438">
        <v>1</v>
      </c>
      <c r="L13" s="439">
        <v>2</v>
      </c>
      <c r="M13" s="440">
        <v>3</v>
      </c>
      <c r="N13" s="441">
        <v>4</v>
      </c>
      <c r="O13" s="442">
        <v>5</v>
      </c>
      <c r="P13" s="443">
        <v>6</v>
      </c>
      <c r="Q13" s="444">
        <v>7</v>
      </c>
      <c r="R13" s="445">
        <v>8</v>
      </c>
      <c r="S13" s="446">
        <v>9</v>
      </c>
      <c r="T13" s="447">
        <v>10</v>
      </c>
      <c r="U13" s="292"/>
      <c r="V13" s="559"/>
      <c r="W13" s="313" t="s">
        <v>644</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5" t="s">
        <v>389</v>
      </c>
      <c r="F14" s="1255"/>
      <c r="G14" s="1256"/>
      <c r="H14" s="1245" t="s">
        <v>8</v>
      </c>
      <c r="I14" s="1245"/>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5" t="s">
        <v>388</v>
      </c>
      <c r="F15" s="1255"/>
      <c r="G15" s="1256"/>
      <c r="H15" s="1245" t="s">
        <v>8</v>
      </c>
      <c r="I15" s="1245"/>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5" t="s">
        <v>387</v>
      </c>
      <c r="F16" s="1255"/>
      <c r="G16" s="1256"/>
      <c r="H16" s="1245" t="s">
        <v>4</v>
      </c>
      <c r="I16" s="1245"/>
      <c r="J16" s="225"/>
      <c r="K16" s="438">
        <v>1</v>
      </c>
      <c r="L16" s="439">
        <v>2</v>
      </c>
      <c r="M16" s="440">
        <v>3</v>
      </c>
      <c r="N16" s="441">
        <v>4</v>
      </c>
      <c r="O16" s="442">
        <v>5</v>
      </c>
      <c r="P16" s="443">
        <v>6</v>
      </c>
      <c r="Q16" s="444">
        <v>7</v>
      </c>
      <c r="R16" s="445">
        <v>8</v>
      </c>
      <c r="S16" s="446">
        <v>9</v>
      </c>
      <c r="T16" s="447">
        <v>10</v>
      </c>
      <c r="U16" s="292"/>
      <c r="V16" s="559"/>
      <c r="W16" s="313" t="s">
        <v>644</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5" t="s">
        <v>452</v>
      </c>
      <c r="F17" s="1255"/>
      <c r="G17" s="1256"/>
      <c r="H17" s="1245" t="s">
        <v>4</v>
      </c>
      <c r="I17" s="1245"/>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41" t="s">
        <v>107</v>
      </c>
      <c r="H20" s="1241"/>
      <c r="I20" s="1241"/>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2" t="s">
        <v>376</v>
      </c>
      <c r="E21" s="1222"/>
      <c r="F21" s="1222"/>
      <c r="G21" s="1222"/>
      <c r="H21" s="1222"/>
      <c r="I21" s="1222"/>
      <c r="J21" s="1222"/>
      <c r="K21" s="1222"/>
      <c r="L21" s="1222"/>
      <c r="M21" s="1222"/>
      <c r="N21" s="1222"/>
      <c r="O21" s="1222"/>
      <c r="P21" s="1222"/>
      <c r="Q21" s="1222"/>
      <c r="R21" s="1222"/>
      <c r="S21" s="1222"/>
      <c r="T21" s="1222"/>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47.25" customHeight="1">
      <c r="A22" s="599"/>
      <c r="B22" s="559"/>
      <c r="C22" s="279"/>
      <c r="D22" s="116" t="s">
        <v>196</v>
      </c>
      <c r="E22" s="1223" t="s">
        <v>1078</v>
      </c>
      <c r="F22" s="1224"/>
      <c r="G22" s="1224"/>
      <c r="H22" s="1224"/>
      <c r="I22" s="1224"/>
      <c r="J22" s="1224"/>
      <c r="K22" s="1224"/>
      <c r="L22" s="1224"/>
      <c r="M22" s="1224"/>
      <c r="N22" s="1224"/>
      <c r="O22" s="1224"/>
      <c r="P22" s="1224"/>
      <c r="Q22" s="1224"/>
      <c r="R22" s="1224"/>
      <c r="S22" s="1224"/>
      <c r="T22" s="1225"/>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23"/>
      <c r="F23" s="1224"/>
      <c r="G23" s="1224"/>
      <c r="H23" s="1224"/>
      <c r="I23" s="1224"/>
      <c r="J23" s="1224"/>
      <c r="K23" s="1224"/>
      <c r="L23" s="1224"/>
      <c r="M23" s="1224"/>
      <c r="N23" s="1224"/>
      <c r="O23" s="1224"/>
      <c r="P23" s="1224"/>
      <c r="Q23" s="1224"/>
      <c r="R23" s="1224"/>
      <c r="S23" s="1224"/>
      <c r="T23" s="1225"/>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2" t="s">
        <v>377</v>
      </c>
      <c r="E24" s="1222"/>
      <c r="F24" s="1222"/>
      <c r="G24" s="1222"/>
      <c r="H24" s="1222"/>
      <c r="I24" s="1222"/>
      <c r="J24" s="1222"/>
      <c r="K24" s="1222"/>
      <c r="L24" s="1222"/>
      <c r="M24" s="1222"/>
      <c r="N24" s="1222"/>
      <c r="O24" s="1222"/>
      <c r="P24" s="1222"/>
      <c r="Q24" s="1222"/>
      <c r="R24" s="1222"/>
      <c r="S24" s="1222"/>
      <c r="T24" s="1222"/>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58.5" customHeight="1">
      <c r="A25" s="599"/>
      <c r="B25" s="559"/>
      <c r="C25" s="279"/>
      <c r="D25" s="116" t="s">
        <v>196</v>
      </c>
      <c r="E25" s="1261" t="s">
        <v>1079</v>
      </c>
      <c r="F25" s="1262"/>
      <c r="G25" s="1262"/>
      <c r="H25" s="1262"/>
      <c r="I25" s="1262"/>
      <c r="J25" s="1262"/>
      <c r="K25" s="1262"/>
      <c r="L25" s="1262"/>
      <c r="M25" s="1262"/>
      <c r="N25" s="1262"/>
      <c r="O25" s="1262"/>
      <c r="P25" s="1262"/>
      <c r="Q25" s="1262"/>
      <c r="R25" s="1262"/>
      <c r="S25" s="1262"/>
      <c r="T25" s="1263"/>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61"/>
      <c r="F26" s="1262"/>
      <c r="G26" s="1262"/>
      <c r="H26" s="1262"/>
      <c r="I26" s="1262"/>
      <c r="J26" s="1262"/>
      <c r="K26" s="1262"/>
      <c r="L26" s="1262"/>
      <c r="M26" s="1262"/>
      <c r="N26" s="1262"/>
      <c r="O26" s="1262"/>
      <c r="P26" s="1262"/>
      <c r="Q26" s="1262"/>
      <c r="R26" s="1262"/>
      <c r="S26" s="1262"/>
      <c r="T26" s="1263"/>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2" t="s">
        <v>378</v>
      </c>
      <c r="E27" s="1222"/>
      <c r="F27" s="1222"/>
      <c r="G27" s="1222"/>
      <c r="H27" s="1222"/>
      <c r="I27" s="1222"/>
      <c r="J27" s="1222"/>
      <c r="K27" s="1222"/>
      <c r="L27" s="1222"/>
      <c r="M27" s="1222"/>
      <c r="N27" s="1222"/>
      <c r="O27" s="1222"/>
      <c r="P27" s="1222"/>
      <c r="Q27" s="1222"/>
      <c r="R27" s="1222"/>
      <c r="S27" s="1222"/>
      <c r="T27" s="1222"/>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52.5" customHeight="1">
      <c r="A28" s="599"/>
      <c r="B28" s="559"/>
      <c r="C28" s="279"/>
      <c r="D28" s="116" t="s">
        <v>196</v>
      </c>
      <c r="E28" s="1261" t="s">
        <v>1080</v>
      </c>
      <c r="F28" s="1262"/>
      <c r="G28" s="1262"/>
      <c r="H28" s="1262"/>
      <c r="I28" s="1262"/>
      <c r="J28" s="1262"/>
      <c r="K28" s="1262"/>
      <c r="L28" s="1262"/>
      <c r="M28" s="1262"/>
      <c r="N28" s="1262"/>
      <c r="O28" s="1262"/>
      <c r="P28" s="1262"/>
      <c r="Q28" s="1262"/>
      <c r="R28" s="1262"/>
      <c r="S28" s="1262"/>
      <c r="T28" s="1263"/>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61" t="s">
        <v>470</v>
      </c>
      <c r="F29" s="1262"/>
      <c r="G29" s="1262"/>
      <c r="H29" s="1262"/>
      <c r="I29" s="1262"/>
      <c r="J29" s="1262"/>
      <c r="K29" s="1262"/>
      <c r="L29" s="1262"/>
      <c r="M29" s="1262"/>
      <c r="N29" s="1262"/>
      <c r="O29" s="1262"/>
      <c r="P29" s="1262"/>
      <c r="Q29" s="1262"/>
      <c r="R29" s="1262"/>
      <c r="S29" s="1262"/>
      <c r="T29" s="1263"/>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2" t="s">
        <v>392</v>
      </c>
      <c r="E30" s="1222"/>
      <c r="F30" s="1222"/>
      <c r="G30" s="1222"/>
      <c r="H30" s="1222"/>
      <c r="I30" s="1222"/>
      <c r="J30" s="1222"/>
      <c r="K30" s="1222"/>
      <c r="L30" s="1222"/>
      <c r="M30" s="1222"/>
      <c r="N30" s="1222"/>
      <c r="O30" s="1222"/>
      <c r="P30" s="1222"/>
      <c r="Q30" s="1222"/>
      <c r="R30" s="1222"/>
      <c r="S30" s="1222"/>
      <c r="T30" s="1222"/>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35.25" customHeight="1">
      <c r="A31" s="599"/>
      <c r="B31" s="559"/>
      <c r="C31" s="279"/>
      <c r="D31" s="116" t="s">
        <v>196</v>
      </c>
      <c r="E31" s="1223" t="s">
        <v>1071</v>
      </c>
      <c r="F31" s="1224"/>
      <c r="G31" s="1224"/>
      <c r="H31" s="1224"/>
      <c r="I31" s="1224"/>
      <c r="J31" s="1224"/>
      <c r="K31" s="1224"/>
      <c r="L31" s="1224"/>
      <c r="M31" s="1224"/>
      <c r="N31" s="1224"/>
      <c r="O31" s="1224"/>
      <c r="P31" s="1224"/>
      <c r="Q31" s="1224"/>
      <c r="R31" s="1224"/>
      <c r="S31" s="1224"/>
      <c r="T31" s="1225"/>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23" t="s">
        <v>470</v>
      </c>
      <c r="F32" s="1224"/>
      <c r="G32" s="1224"/>
      <c r="H32" s="1224"/>
      <c r="I32" s="1224"/>
      <c r="J32" s="1224"/>
      <c r="K32" s="1224"/>
      <c r="L32" s="1224"/>
      <c r="M32" s="1224"/>
      <c r="N32" s="1224"/>
      <c r="O32" s="1224"/>
      <c r="P32" s="1224"/>
      <c r="Q32" s="1224"/>
      <c r="R32" s="1224"/>
      <c r="S32" s="1224"/>
      <c r="T32" s="1225"/>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2" t="s">
        <v>393</v>
      </c>
      <c r="E33" s="1222"/>
      <c r="F33" s="1222"/>
      <c r="G33" s="1222"/>
      <c r="H33" s="1222"/>
      <c r="I33" s="1222"/>
      <c r="J33" s="1222"/>
      <c r="K33" s="1222"/>
      <c r="L33" s="1222"/>
      <c r="M33" s="1222"/>
      <c r="N33" s="1222"/>
      <c r="O33" s="1222"/>
      <c r="P33" s="1222"/>
      <c r="Q33" s="1222"/>
      <c r="R33" s="1222"/>
      <c r="S33" s="1222"/>
      <c r="T33" s="1222"/>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41.25" customHeight="1">
      <c r="A34" s="599"/>
      <c r="B34" s="559"/>
      <c r="C34" s="279"/>
      <c r="D34" s="116" t="s">
        <v>196</v>
      </c>
      <c r="E34" s="1227" t="s">
        <v>1081</v>
      </c>
      <c r="F34" s="1228"/>
      <c r="G34" s="1228"/>
      <c r="H34" s="1228"/>
      <c r="I34" s="1228"/>
      <c r="J34" s="1228"/>
      <c r="K34" s="1228"/>
      <c r="L34" s="1228"/>
      <c r="M34" s="1228"/>
      <c r="N34" s="1228"/>
      <c r="O34" s="1228"/>
      <c r="P34" s="1228"/>
      <c r="Q34" s="1228"/>
      <c r="R34" s="1228"/>
      <c r="S34" s="1228"/>
      <c r="T34" s="1229"/>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27" t="s">
        <v>470</v>
      </c>
      <c r="F35" s="1228"/>
      <c r="G35" s="1228"/>
      <c r="H35" s="1228"/>
      <c r="I35" s="1228"/>
      <c r="J35" s="1228"/>
      <c r="K35" s="1228"/>
      <c r="L35" s="1228"/>
      <c r="M35" s="1228"/>
      <c r="N35" s="1228"/>
      <c r="O35" s="1228"/>
      <c r="P35" s="1228"/>
      <c r="Q35" s="1228"/>
      <c r="R35" s="1228"/>
      <c r="S35" s="1228"/>
      <c r="T35" s="1229"/>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6" t="s">
        <v>411</v>
      </c>
      <c r="E36" s="1226"/>
      <c r="F36" s="1226"/>
      <c r="G36" s="1226"/>
      <c r="H36" s="1226"/>
      <c r="I36" s="1226"/>
      <c r="J36" s="1226"/>
      <c r="K36" s="1226"/>
      <c r="L36" s="1226"/>
      <c r="M36" s="1226"/>
      <c r="N36" s="1226"/>
      <c r="O36" s="1226"/>
      <c r="P36" s="1226"/>
      <c r="Q36" s="1226"/>
      <c r="R36" s="1226"/>
      <c r="S36" s="1226"/>
      <c r="T36" s="1226"/>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27" t="s">
        <v>1073</v>
      </c>
      <c r="F37" s="1228"/>
      <c r="G37" s="1228"/>
      <c r="H37" s="1228"/>
      <c r="I37" s="1228"/>
      <c r="J37" s="1228"/>
      <c r="K37" s="1228"/>
      <c r="L37" s="1228"/>
      <c r="M37" s="1228"/>
      <c r="N37" s="1228"/>
      <c r="O37" s="1228"/>
      <c r="P37" s="1228"/>
      <c r="Q37" s="1228"/>
      <c r="R37" s="1228"/>
      <c r="S37" s="1228"/>
      <c r="T37" s="1229"/>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7" t="s">
        <v>470</v>
      </c>
      <c r="F38" s="1228"/>
      <c r="G38" s="1228"/>
      <c r="H38" s="1228"/>
      <c r="I38" s="1228"/>
      <c r="J38" s="1228"/>
      <c r="K38" s="1228"/>
      <c r="L38" s="1228"/>
      <c r="M38" s="1228"/>
      <c r="N38" s="1228"/>
      <c r="O38" s="1228"/>
      <c r="P38" s="1228"/>
      <c r="Q38" s="1228"/>
      <c r="R38" s="1228"/>
      <c r="S38" s="1228"/>
      <c r="T38" s="1229"/>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5" t="s">
        <v>397</v>
      </c>
      <c r="H39" s="1275"/>
      <c r="I39" s="1275"/>
      <c r="J39" s="1275"/>
      <c r="K39" s="1275"/>
      <c r="L39" s="1275"/>
      <c r="M39" s="1275"/>
      <c r="N39" s="1275"/>
      <c r="O39" s="1275"/>
      <c r="P39" s="1275"/>
      <c r="Q39" s="1275"/>
      <c r="R39" s="1275"/>
      <c r="S39" s="1275"/>
      <c r="T39" s="1275"/>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2" t="s">
        <v>226</v>
      </c>
      <c r="E43" s="1242"/>
      <c r="F43" s="1242"/>
      <c r="G43" s="1242"/>
      <c r="H43" s="1242"/>
      <c r="I43" s="1242"/>
      <c r="J43" s="1242"/>
      <c r="K43" s="1242"/>
      <c r="L43" s="1242"/>
      <c r="M43" s="1242"/>
      <c r="N43" s="1242"/>
      <c r="O43" s="1242"/>
      <c r="P43" s="1242"/>
      <c r="Q43" s="1242"/>
      <c r="R43" s="1242"/>
      <c r="S43" s="1242"/>
      <c r="T43" s="1242"/>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7" t="s">
        <v>118</v>
      </c>
      <c r="E44" s="1247"/>
      <c r="F44" s="1247"/>
      <c r="G44" s="472"/>
      <c r="H44" s="1248" t="s">
        <v>119</v>
      </c>
      <c r="I44" s="1248"/>
      <c r="J44" s="1248"/>
      <c r="K44" s="1248"/>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6" t="s">
        <v>0</v>
      </c>
      <c r="E45" s="1236"/>
      <c r="F45" s="1236"/>
      <c r="G45" s="1236"/>
      <c r="H45" s="1236" t="s">
        <v>0</v>
      </c>
      <c r="I45" s="1236"/>
      <c r="J45" s="1236"/>
      <c r="K45" s="1236"/>
      <c r="L45" s="1236"/>
      <c r="M45" s="1236"/>
      <c r="N45" s="1236"/>
      <c r="O45" s="1236"/>
      <c r="P45" s="1236"/>
      <c r="Q45" s="1236"/>
      <c r="R45" s="1236"/>
      <c r="S45" s="1236"/>
      <c r="T45" s="1236"/>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6" t="s">
        <v>0</v>
      </c>
      <c r="E46" s="1236"/>
      <c r="F46" s="1236"/>
      <c r="G46" s="1236"/>
      <c r="H46" s="1236" t="s">
        <v>0</v>
      </c>
      <c r="I46" s="1236"/>
      <c r="J46" s="1236"/>
      <c r="K46" s="1236"/>
      <c r="L46" s="1236"/>
      <c r="M46" s="1236"/>
      <c r="N46" s="1236"/>
      <c r="O46" s="1236"/>
      <c r="P46" s="1236"/>
      <c r="Q46" s="1236"/>
      <c r="R46" s="1236"/>
      <c r="S46" s="1236"/>
      <c r="T46" s="1236"/>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6" t="s">
        <v>0</v>
      </c>
      <c r="E47" s="1236"/>
      <c r="F47" s="1236"/>
      <c r="G47" s="1236"/>
      <c r="H47" s="1236" t="s">
        <v>0</v>
      </c>
      <c r="I47" s="1236"/>
      <c r="J47" s="1236"/>
      <c r="K47" s="1236"/>
      <c r="L47" s="1236"/>
      <c r="M47" s="1236"/>
      <c r="N47" s="1236"/>
      <c r="O47" s="1236"/>
      <c r="P47" s="1236"/>
      <c r="Q47" s="1236"/>
      <c r="R47" s="1236"/>
      <c r="S47" s="1236"/>
      <c r="T47" s="1236"/>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30" t="s">
        <v>374</v>
      </c>
      <c r="E49" s="1230"/>
      <c r="F49" s="1230"/>
      <c r="G49" s="1230"/>
      <c r="H49" s="1230"/>
      <c r="I49" s="1230"/>
      <c r="J49" s="1230"/>
      <c r="K49" s="1230"/>
      <c r="L49" s="1230"/>
      <c r="M49" s="1230"/>
      <c r="N49" s="1230"/>
      <c r="O49" s="1230"/>
      <c r="P49" s="1230"/>
      <c r="Q49" s="1230"/>
      <c r="R49" s="1230"/>
      <c r="S49" s="1230"/>
      <c r="T49" s="1230"/>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5" t="s">
        <v>396</v>
      </c>
      <c r="G50" s="1265"/>
      <c r="H50" s="1265"/>
      <c r="I50" s="1265"/>
      <c r="J50" s="1265"/>
      <c r="K50" s="1265"/>
      <c r="L50" s="1265"/>
      <c r="M50" s="1265"/>
      <c r="N50" s="1265"/>
      <c r="O50" s="1265"/>
      <c r="P50" s="1265"/>
      <c r="Q50" s="1265"/>
      <c r="R50" s="1265"/>
      <c r="S50" s="1265"/>
      <c r="T50" s="1265"/>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64" t="s">
        <v>130</v>
      </c>
      <c r="E52" s="1264"/>
      <c r="F52" s="1233"/>
      <c r="G52" s="1233"/>
      <c r="H52" s="1234"/>
      <c r="I52" s="1234"/>
      <c r="J52" s="1235"/>
      <c r="K52" s="1235"/>
      <c r="L52" s="1235"/>
      <c r="M52" s="1235"/>
      <c r="N52" s="1235"/>
      <c r="O52" s="1235"/>
      <c r="P52" s="1235"/>
      <c r="Q52" s="1235"/>
      <c r="R52" s="1235"/>
      <c r="S52" s="1235"/>
      <c r="T52" s="1235"/>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64" t="s">
        <v>131</v>
      </c>
      <c r="E53" s="1264"/>
      <c r="F53" s="1233"/>
      <c r="G53" s="1233"/>
      <c r="H53" s="1234"/>
      <c r="I53" s="1234"/>
      <c r="J53" s="1235"/>
      <c r="K53" s="1235"/>
      <c r="L53" s="1235"/>
      <c r="M53" s="1235"/>
      <c r="N53" s="1235"/>
      <c r="O53" s="1235"/>
      <c r="P53" s="1235"/>
      <c r="Q53" s="1235"/>
      <c r="R53" s="1235"/>
      <c r="S53" s="1235"/>
      <c r="T53" s="1235"/>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7" t="s">
        <v>126</v>
      </c>
      <c r="E55" s="1238"/>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9" t="str">
        <f>Y57</f>
        <v>Asbestos License</v>
      </c>
      <c r="E57" s="1239"/>
      <c r="F57" s="1233"/>
      <c r="G57" s="1233"/>
      <c r="H57" s="1234"/>
      <c r="I57" s="1234"/>
      <c r="J57" s="1235"/>
      <c r="K57" s="1235"/>
      <c r="L57" s="1235"/>
      <c r="M57" s="1235"/>
      <c r="N57" s="1235"/>
      <c r="O57" s="1235"/>
      <c r="P57" s="1235"/>
      <c r="Q57" s="1235"/>
      <c r="R57" s="1235"/>
      <c r="S57" s="1235"/>
      <c r="T57" s="1235"/>
      <c r="U57" s="362"/>
      <c r="V57" s="559" t="s">
        <v>0</v>
      </c>
      <c r="W57" s="501"/>
      <c r="X57" s="551">
        <v>1</v>
      </c>
      <c r="Y57" s="550" t="str">
        <f>IF($D$55=C.PermitType0,"",IF($D$55=C.PermitType1,DDLs!C66,IF($D$55=C.PermitType2,DDLs!D66,IF($D$55=C.PermitType3,DDLs!E66,DDLs!F66))))</f>
        <v>Asbestos License</v>
      </c>
      <c r="Z57" s="1219"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9" t="str">
        <f t="shared" ref="D58:D63" si="1">Y58</f>
        <v>Air Contaminant Discharge Permit</v>
      </c>
      <c r="E58" s="1239"/>
      <c r="F58" s="1233"/>
      <c r="G58" s="1233"/>
      <c r="H58" s="1234"/>
      <c r="I58" s="1234"/>
      <c r="J58" s="1235"/>
      <c r="K58" s="1235"/>
      <c r="L58" s="1235"/>
      <c r="M58" s="1235"/>
      <c r="N58" s="1235"/>
      <c r="O58" s="1235"/>
      <c r="P58" s="1235"/>
      <c r="Q58" s="1235"/>
      <c r="R58" s="1235"/>
      <c r="S58" s="1235"/>
      <c r="T58" s="1235"/>
      <c r="U58" s="362"/>
      <c r="V58" s="559" t="s">
        <v>0</v>
      </c>
      <c r="W58" s="501"/>
      <c r="X58" s="551">
        <v>1</v>
      </c>
      <c r="Y58" s="550" t="str">
        <f>IF($D$55=C.PermitType0,"",IF($D$55=C.PermitType1,DDLs!C67,IF($D$55=C.PermitType2,DDLs!D67,IF($D$55=C.PermitType3,DDLs!E67,DDLs!F67))))</f>
        <v>Air Contaminant Discharge Permit</v>
      </c>
      <c r="Z58" s="1220"/>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9" t="str">
        <f t="shared" si="1"/>
        <v>Air Quality Registrations</v>
      </c>
      <c r="E59" s="1239"/>
      <c r="F59" s="1233"/>
      <c r="G59" s="1233"/>
      <c r="H59" s="1234"/>
      <c r="I59" s="1234"/>
      <c r="J59" s="1235"/>
      <c r="K59" s="1235"/>
      <c r="L59" s="1235"/>
      <c r="M59" s="1235"/>
      <c r="N59" s="1235"/>
      <c r="O59" s="1235"/>
      <c r="P59" s="1235"/>
      <c r="Q59" s="1235"/>
      <c r="R59" s="1235"/>
      <c r="S59" s="1235"/>
      <c r="T59" s="1235"/>
      <c r="U59" s="362"/>
      <c r="V59" s="559"/>
      <c r="W59" s="501"/>
      <c r="X59" s="551">
        <v>1</v>
      </c>
      <c r="Y59" s="550" t="str">
        <f>IF($D$55=C.PermitType0,"",IF($D$55=C.PermitType1,DDLs!C68,IF($D$55=C.PermitType2,DDLs!D68,IF($D$55=C.PermitType3,DDLs!E68,DDLs!F68))))</f>
        <v>Air Quality Registrations</v>
      </c>
      <c r="Z59" s="1220"/>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9" t="str">
        <f t="shared" si="1"/>
        <v>Open Burning Letter Permit</v>
      </c>
      <c r="E60" s="1239"/>
      <c r="F60" s="1233"/>
      <c r="G60" s="1233"/>
      <c r="H60" s="1234"/>
      <c r="I60" s="1234"/>
      <c r="J60" s="1235"/>
      <c r="K60" s="1235"/>
      <c r="L60" s="1235"/>
      <c r="M60" s="1235"/>
      <c r="N60" s="1235"/>
      <c r="O60" s="1235"/>
      <c r="P60" s="1235"/>
      <c r="Q60" s="1235"/>
      <c r="R60" s="1235"/>
      <c r="S60" s="1235"/>
      <c r="T60" s="1235"/>
      <c r="U60" s="362"/>
      <c r="V60" s="559" t="s">
        <v>0</v>
      </c>
      <c r="W60" s="501"/>
      <c r="X60" s="551">
        <v>1</v>
      </c>
      <c r="Y60" s="550" t="str">
        <f>IF($D$55=C.PermitType0,"",IF($D$55=C.PermitType1,DDLs!C69,IF($D$55=C.PermitType2,DDLs!D69,IF($D$55=C.PermitType3,DDLs!E69,DDLs!F69))))</f>
        <v>Open Burning Letter Permit</v>
      </c>
      <c r="Z60" s="1220"/>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9" t="str">
        <f t="shared" si="1"/>
        <v>Tanker Certification</v>
      </c>
      <c r="E61" s="1239"/>
      <c r="F61" s="1233"/>
      <c r="G61" s="1233"/>
      <c r="H61" s="1234"/>
      <c r="I61" s="1234"/>
      <c r="J61" s="1235"/>
      <c r="K61" s="1235"/>
      <c r="L61" s="1235"/>
      <c r="M61" s="1235"/>
      <c r="N61" s="1235"/>
      <c r="O61" s="1235"/>
      <c r="P61" s="1235"/>
      <c r="Q61" s="1235"/>
      <c r="R61" s="1235"/>
      <c r="S61" s="1235"/>
      <c r="T61" s="1235"/>
      <c r="U61" s="362"/>
      <c r="V61" s="559" t="s">
        <v>0</v>
      </c>
      <c r="W61" s="501"/>
      <c r="X61" s="551">
        <v>1</v>
      </c>
      <c r="Y61" s="550" t="str">
        <f>IF($D$55=C.PermitType0,"",IF($D$55=C.PermitType1,DDLs!C70,IF($D$55=C.PermitType2,DDLs!D70,IF($D$55=C.PermitType3,DDLs!E70,DDLs!F70))))</f>
        <v>Tanker Certification</v>
      </c>
      <c r="Z61" s="1220"/>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9" t="str">
        <f t="shared" si="1"/>
        <v>Title V permit</v>
      </c>
      <c r="E62" s="1239"/>
      <c r="F62" s="1233"/>
      <c r="G62" s="1233"/>
      <c r="H62" s="1234"/>
      <c r="I62" s="1234"/>
      <c r="J62" s="1235"/>
      <c r="K62" s="1235"/>
      <c r="L62" s="1235"/>
      <c r="M62" s="1235"/>
      <c r="N62" s="1235"/>
      <c r="O62" s="1235"/>
      <c r="P62" s="1235"/>
      <c r="Q62" s="1235"/>
      <c r="R62" s="1235"/>
      <c r="S62" s="1235"/>
      <c r="T62" s="1235"/>
      <c r="U62" s="362"/>
      <c r="V62" s="559"/>
      <c r="W62" s="501"/>
      <c r="X62" s="551">
        <v>1</v>
      </c>
      <c r="Y62" s="550" t="str">
        <f>IF($D$55=C.PermitType0,"",IF($D$55=C.PermitType1,DDLs!C71,IF($D$55=C.PermitType2,DDLs!D71,IF($D$55=C.PermitType3,DDLs!E71,DDLs!F71))))</f>
        <v>Title V permit</v>
      </c>
      <c r="Z62" s="1220"/>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9" t="str">
        <f t="shared" si="1"/>
        <v>Vehicle Emissions Certification</v>
      </c>
      <c r="E63" s="1239"/>
      <c r="F63" s="1233"/>
      <c r="G63" s="1233"/>
      <c r="H63" s="1234"/>
      <c r="I63" s="1234"/>
      <c r="J63" s="1235"/>
      <c r="K63" s="1235"/>
      <c r="L63" s="1235"/>
      <c r="M63" s="1235"/>
      <c r="N63" s="1235"/>
      <c r="O63" s="1235"/>
      <c r="P63" s="1235"/>
      <c r="Q63" s="1235"/>
      <c r="R63" s="1235"/>
      <c r="S63" s="1235"/>
      <c r="T63" s="1235"/>
      <c r="U63" s="362"/>
      <c r="V63" s="559" t="s">
        <v>0</v>
      </c>
      <c r="W63" s="501"/>
      <c r="X63" s="551">
        <v>1</v>
      </c>
      <c r="Y63" s="550" t="str">
        <f>IF($D$55=C.PermitType0,"",IF($D$55=C.PermitType1,DDLs!C72,IF($D$55=C.PermitType2,DDLs!D72,IF($D$55=C.PermitType3,DDLs!E72,DDLs!F72))))</f>
        <v>Vehicle Emissions Certification</v>
      </c>
      <c r="Z63" s="1220"/>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31" t="s">
        <v>448</v>
      </c>
      <c r="E64" s="1231"/>
      <c r="F64" s="1233"/>
      <c r="G64" s="1233"/>
      <c r="H64" s="1234"/>
      <c r="I64" s="1234"/>
      <c r="J64" s="1235"/>
      <c r="K64" s="1235"/>
      <c r="L64" s="1235"/>
      <c r="M64" s="1235"/>
      <c r="N64" s="1235"/>
      <c r="O64" s="1235"/>
      <c r="P64" s="1235"/>
      <c r="Q64" s="1235"/>
      <c r="R64" s="1235"/>
      <c r="S64" s="1235"/>
      <c r="T64" s="1235"/>
      <c r="U64" s="362"/>
      <c r="V64" s="559" t="s">
        <v>0</v>
      </c>
      <c r="W64" s="501"/>
      <c r="X64" s="551">
        <v>1</v>
      </c>
      <c r="Y64" s="550" t="str">
        <f>IF($D$55=C.PermitType0,"",IF($D$55=C.PermitType1,DDLs!C73,IF($D$55=C.PermitType2,DDLs!D73,IF($D$55=C.PermitType3,DDLs!E73,DDLs!F73))))</f>
        <v>NESHAP</v>
      </c>
      <c r="Z64" s="1220"/>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31" t="s">
        <v>448</v>
      </c>
      <c r="E65" s="1231"/>
      <c r="F65" s="1233"/>
      <c r="G65" s="1233"/>
      <c r="H65" s="1234"/>
      <c r="I65" s="1234"/>
      <c r="J65" s="1235"/>
      <c r="K65" s="1235"/>
      <c r="L65" s="1235"/>
      <c r="M65" s="1235"/>
      <c r="N65" s="1235"/>
      <c r="O65" s="1235"/>
      <c r="P65" s="1235"/>
      <c r="Q65" s="1235"/>
      <c r="R65" s="1235"/>
      <c r="S65" s="1235"/>
      <c r="T65" s="1235"/>
      <c r="U65" s="362"/>
      <c r="V65" s="559"/>
      <c r="W65" s="501"/>
      <c r="X65" s="551">
        <v>1</v>
      </c>
      <c r="Y65" s="550" t="str">
        <f>IF($D$55=C.PermitType0,"",IF($D$55=C.PermitType1,DDLs!C74,IF($D$55=C.PermitType2,DDLs!D74,IF($D$55=C.PermitType3,DDLs!E74,DDLs!F74))))</f>
        <v>NSPS</v>
      </c>
      <c r="Z65" s="1220"/>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2" t="s">
        <v>448</v>
      </c>
      <c r="E66" s="1232"/>
      <c r="F66" s="1233"/>
      <c r="G66" s="1233"/>
      <c r="H66" s="1234"/>
      <c r="I66" s="1234"/>
      <c r="J66" s="1235"/>
      <c r="K66" s="1235"/>
      <c r="L66" s="1235"/>
      <c r="M66" s="1235"/>
      <c r="N66" s="1235"/>
      <c r="O66" s="1235"/>
      <c r="P66" s="1235"/>
      <c r="Q66" s="1235"/>
      <c r="R66" s="1235"/>
      <c r="S66" s="1235"/>
      <c r="T66" s="1235"/>
      <c r="U66" s="362"/>
      <c r="V66" s="559" t="s">
        <v>0</v>
      </c>
      <c r="W66" s="501"/>
      <c r="X66" s="551">
        <v>1</v>
      </c>
      <c r="Y66" s="550" t="str">
        <f>IF($D$55=C.PermitType0,"",IF($D$55=C.PermitType1,DDLs!C75,IF($D$55=C.PermitType2,DDLs!D75,IF($D$55=C.PermitType3,DDLs!E75,DDLs!F75))))</f>
        <v>Custom entry</v>
      </c>
      <c r="Z66" s="1221"/>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7" t="s">
        <v>198</v>
      </c>
      <c r="E68" s="1257"/>
      <c r="F68" s="1257"/>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8" t="s">
        <v>0</v>
      </c>
      <c r="E69" s="1259"/>
      <c r="F69" s="1259"/>
      <c r="G69" s="1259"/>
      <c r="H69" s="1259"/>
      <c r="I69" s="1259"/>
      <c r="J69" s="1259"/>
      <c r="K69" s="1259"/>
      <c r="L69" s="1259"/>
      <c r="M69" s="1259"/>
      <c r="N69" s="1259"/>
      <c r="O69" s="1259"/>
      <c r="P69" s="1259"/>
      <c r="Q69" s="1259"/>
      <c r="R69" s="1259"/>
      <c r="S69" s="1259"/>
      <c r="T69" s="1260"/>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7" t="s">
        <v>22</v>
      </c>
      <c r="E70" s="1257"/>
      <c r="F70" s="1257"/>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3"/>
      <c r="E71" s="1214"/>
      <c r="F71" s="1214"/>
      <c r="G71" s="1214"/>
      <c r="H71" s="1214"/>
      <c r="I71" s="1214"/>
      <c r="J71" s="1214"/>
      <c r="K71" s="1214"/>
      <c r="L71" s="1214"/>
      <c r="M71" s="1214"/>
      <c r="N71" s="1214"/>
      <c r="O71" s="1214"/>
      <c r="P71" s="1214"/>
      <c r="Q71" s="1214"/>
      <c r="R71" s="1214"/>
      <c r="S71" s="1214"/>
      <c r="T71" s="1215"/>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73">
        <f ca="1">TODAY()</f>
        <v>41960</v>
      </c>
      <c r="I72" s="1273"/>
      <c r="J72" s="1273"/>
      <c r="K72" s="1273"/>
      <c r="L72" s="1273"/>
      <c r="M72" s="1273"/>
      <c r="N72" s="1273"/>
      <c r="O72" s="1273"/>
      <c r="P72" s="1273"/>
      <c r="Q72" s="1273"/>
      <c r="R72" s="1273"/>
      <c r="S72" s="1273"/>
      <c r="T72" s="1273"/>
      <c r="U72" s="1274"/>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84" priority="27" stopIfTrue="1">
      <formula>IF($X10&lt;10,TRUE,)</formula>
    </cfRule>
  </conditionalFormatting>
  <conditionalFormatting sqref="K10:K20">
    <cfRule type="expression" dxfId="383" priority="31" stopIfTrue="1">
      <formula>IF($X10&lt;1,TRUE,)</formula>
    </cfRule>
  </conditionalFormatting>
  <conditionalFormatting sqref="T27">
    <cfRule type="expression" dxfId="382" priority="10" stopIfTrue="1">
      <formula>IF(AND(#REF!="H",$Y27&lt;10),TRUE,)</formula>
    </cfRule>
  </conditionalFormatting>
  <conditionalFormatting sqref="K27">
    <cfRule type="expression" dxfId="381" priority="9" stopIfTrue="1">
      <formula>IF(AND(#REF!="H",$Y27&lt;1),TRUE,)</formula>
    </cfRule>
  </conditionalFormatting>
  <conditionalFormatting sqref="L27">
    <cfRule type="expression" dxfId="380" priority="8" stopIfTrue="1">
      <formula>IF(AND(#REF!="H",$Y27&lt;2),TRUE,)</formula>
    </cfRule>
  </conditionalFormatting>
  <conditionalFormatting sqref="N27">
    <cfRule type="expression" dxfId="379" priority="7" stopIfTrue="1">
      <formula>IF(AND(#REF!="H",$Y27&lt;4),TRUE,)</formula>
    </cfRule>
  </conditionalFormatting>
  <conditionalFormatting sqref="O27">
    <cfRule type="expression" dxfId="378" priority="6" stopIfTrue="1">
      <formula>IF(AND(#REF!="H",$Y27&lt;5),TRUE,)</formula>
    </cfRule>
  </conditionalFormatting>
  <conditionalFormatting sqref="P27">
    <cfRule type="expression" dxfId="377" priority="5" stopIfTrue="1">
      <formula>IF(AND(#REF!="H",$Y27&lt;6),TRUE,)</formula>
    </cfRule>
  </conditionalFormatting>
  <conditionalFormatting sqref="Q27">
    <cfRule type="expression" dxfId="376" priority="4" stopIfTrue="1">
      <formula>IF(AND(#REF!="H",$Y27&lt;7),TRUE,)</formula>
    </cfRule>
  </conditionalFormatting>
  <conditionalFormatting sqref="R27">
    <cfRule type="expression" dxfId="375" priority="3" stopIfTrue="1">
      <formula>IF(AND(#REF!="H",$Y27&lt;8),TRUE,)</formula>
    </cfRule>
  </conditionalFormatting>
  <conditionalFormatting sqref="S27">
    <cfRule type="expression" dxfId="374" priority="2" stopIfTrue="1">
      <formula>IF(AND(#REF!="H",$Y27&lt;9),TRUE,)</formula>
    </cfRule>
  </conditionalFormatting>
  <conditionalFormatting sqref="M27">
    <cfRule type="expression" dxfId="373" priority="1" stopIfTrue="1">
      <formula>IF(AND(#REF!="H",$Y27&lt;3),TRUE,)</formula>
    </cfRule>
  </conditionalFormatting>
  <conditionalFormatting sqref="L10:L20">
    <cfRule type="expression" dxfId="372" priority="34" stopIfTrue="1">
      <formula>IF($X10&lt;2,TRUE,)</formula>
    </cfRule>
  </conditionalFormatting>
  <conditionalFormatting sqref="M10:M20">
    <cfRule type="expression" dxfId="371" priority="37" stopIfTrue="1">
      <formula>IF(X10&lt;3,TRUE,)</formula>
    </cfRule>
  </conditionalFormatting>
  <conditionalFormatting sqref="N10:N20">
    <cfRule type="expression" dxfId="370" priority="40" stopIfTrue="1">
      <formula>IF($X10&lt;4,TRUE,)</formula>
    </cfRule>
  </conditionalFormatting>
  <conditionalFormatting sqref="O10:O20">
    <cfRule type="expression" dxfId="369" priority="43" stopIfTrue="1">
      <formula>IF($X10&lt;5,TRUE,)</formula>
    </cfRule>
  </conditionalFormatting>
  <conditionalFormatting sqref="P10:P20">
    <cfRule type="expression" dxfId="368" priority="46" stopIfTrue="1">
      <formula>IF($X10&lt;6,TRUE,)</formula>
    </cfRule>
  </conditionalFormatting>
  <conditionalFormatting sqref="Q10:Q20">
    <cfRule type="expression" dxfId="367" priority="49" stopIfTrue="1">
      <formula>IF($X10&lt;7,TRUE,)</formula>
    </cfRule>
  </conditionalFormatting>
  <conditionalFormatting sqref="R10:R20">
    <cfRule type="expression" dxfId="366" priority="52" stopIfTrue="1">
      <formula>IF($X10&lt;8,TRUE,)</formula>
    </cfRule>
  </conditionalFormatting>
  <conditionalFormatting sqref="S10:S20">
    <cfRule type="expression" dxfId="365"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0066" r:id="rId5" name="Option Button 18">
              <controlPr defaultSize="0" autoFill="0" autoLine="0" autoPict="0">
                <anchor moveWithCells="1">
                  <from>
                    <xdr:col>5</xdr:col>
                    <xdr:colOff>0</xdr:colOff>
                    <xdr:row>101</xdr:row>
                    <xdr:rowOff>0</xdr:rowOff>
                  </from>
                  <to>
                    <xdr:col>5</xdr:col>
                    <xdr:colOff>0</xdr:colOff>
                    <xdr:row>101</xdr:row>
                    <xdr:rowOff>85725</xdr:rowOff>
                  </to>
                </anchor>
              </controlPr>
            </control>
          </mc:Choice>
        </mc:AlternateContent>
        <mc:AlternateContent xmlns:mc="http://schemas.openxmlformats.org/markup-compatibility/2006">
          <mc:Choice Requires="x14">
            <control shapeId="130069" r:id="rId6" name="Option Button 21">
              <controlPr defaultSize="0" autoFill="0" autoLine="0" autoPict="0">
                <anchor moveWithCells="1">
                  <from>
                    <xdr:col>5</xdr:col>
                    <xdr:colOff>0</xdr:colOff>
                    <xdr:row>101</xdr:row>
                    <xdr:rowOff>0</xdr:rowOff>
                  </from>
                  <to>
                    <xdr:col>5</xdr:col>
                    <xdr:colOff>0</xdr:colOff>
                    <xdr:row>103</xdr:row>
                    <xdr:rowOff>0</xdr:rowOff>
                  </to>
                </anchor>
              </controlPr>
            </control>
          </mc:Choice>
        </mc:AlternateContent>
        <mc:AlternateContent xmlns:mc="http://schemas.openxmlformats.org/markup-compatibility/2006">
          <mc:Choice Requires="x14">
            <control shapeId="130072" r:id="rId7" name="Option Button 24">
              <controlPr defaultSize="0" autoFill="0" autoLine="0" autoPict="0">
                <anchor moveWithCells="1">
                  <from>
                    <xdr:col>5</xdr:col>
                    <xdr:colOff>0</xdr:colOff>
                    <xdr:row>101</xdr:row>
                    <xdr:rowOff>0</xdr:rowOff>
                  </from>
                  <to>
                    <xdr:col>5</xdr:col>
                    <xdr:colOff>0</xdr:colOff>
                    <xdr:row>101</xdr:row>
                    <xdr:rowOff>76200</xdr:rowOff>
                  </to>
                </anchor>
              </controlPr>
            </control>
          </mc:Choice>
        </mc:AlternateContent>
        <mc:AlternateContent xmlns:mc="http://schemas.openxmlformats.org/markup-compatibility/2006">
          <mc:Choice Requires="x14">
            <control shapeId="130075" r:id="rId8" name="Option Button 27">
              <controlPr defaultSize="0" autoFill="0" autoLine="0" autoPict="0">
                <anchor moveWithCells="1">
                  <from>
                    <xdr:col>5</xdr:col>
                    <xdr:colOff>0</xdr:colOff>
                    <xdr:row>101</xdr:row>
                    <xdr:rowOff>0</xdr:rowOff>
                  </from>
                  <to>
                    <xdr:col>5</xdr:col>
                    <xdr:colOff>0</xdr:colOff>
                    <xdr:row>102</xdr:row>
                    <xdr:rowOff>57150</xdr:rowOff>
                  </to>
                </anchor>
              </controlPr>
            </control>
          </mc:Choice>
        </mc:AlternateContent>
        <mc:AlternateContent xmlns:mc="http://schemas.openxmlformats.org/markup-compatibility/2006">
          <mc:Choice Requires="x14">
            <control shapeId="130078" r:id="rId9" name="Option Button 30">
              <controlPr defaultSize="0" autoFill="0" autoLine="0" autoPict="0">
                <anchor moveWithCells="1">
                  <from>
                    <xdr:col>5</xdr:col>
                    <xdr:colOff>0</xdr:colOff>
                    <xdr:row>101</xdr:row>
                    <xdr:rowOff>0</xdr:rowOff>
                  </from>
                  <to>
                    <xdr:col>5</xdr:col>
                    <xdr:colOff>0</xdr:colOff>
                    <xdr:row>102</xdr:row>
                    <xdr:rowOff>76200</xdr:rowOff>
                  </to>
                </anchor>
              </controlPr>
            </control>
          </mc:Choice>
        </mc:AlternateContent>
        <mc:AlternateContent xmlns:mc="http://schemas.openxmlformats.org/markup-compatibility/2006">
          <mc:Choice Requires="x14">
            <control shapeId="130081" r:id="rId10" name="Option Button 33">
              <controlPr defaultSize="0" autoFill="0" autoLine="0" autoPict="0">
                <anchor moveWithCells="1">
                  <from>
                    <xdr:col>5</xdr:col>
                    <xdr:colOff>0</xdr:colOff>
                    <xdr:row>101</xdr:row>
                    <xdr:rowOff>0</xdr:rowOff>
                  </from>
                  <to>
                    <xdr:col>5</xdr:col>
                    <xdr:colOff>0</xdr:colOff>
                    <xdr:row>103</xdr:row>
                    <xdr:rowOff>9525</xdr:rowOff>
                  </to>
                </anchor>
              </controlPr>
            </control>
          </mc:Choice>
        </mc:AlternateContent>
        <mc:AlternateContent xmlns:mc="http://schemas.openxmlformats.org/markup-compatibility/2006">
          <mc:Choice Requires="x14">
            <control shapeId="130091" r:id="rId11" name="Group Box 43">
              <controlPr defaultSize="0" autoFill="0" autoPict="0">
                <anchor moveWithCells="1">
                  <from>
                    <xdr:col>5</xdr:col>
                    <xdr:colOff>9525</xdr:colOff>
                    <xdr:row>51</xdr:row>
                    <xdr:rowOff>9525</xdr:rowOff>
                  </from>
                  <to>
                    <xdr:col>20</xdr:col>
                    <xdr:colOff>0</xdr:colOff>
                    <xdr:row>51</xdr:row>
                    <xdr:rowOff>238125</xdr:rowOff>
                  </to>
                </anchor>
              </controlPr>
            </control>
          </mc:Choice>
        </mc:AlternateContent>
        <mc:AlternateContent xmlns:mc="http://schemas.openxmlformats.org/markup-compatibility/2006">
          <mc:Choice Requires="x14">
            <control shapeId="130114" r:id="rId12" name="Group Box 66">
              <controlPr defaultSize="0" autoFill="0" autoPict="0">
                <anchor moveWithCells="1">
                  <from>
                    <xdr:col>5</xdr:col>
                    <xdr:colOff>0</xdr:colOff>
                    <xdr:row>52</xdr:row>
                    <xdr:rowOff>28575</xdr:rowOff>
                  </from>
                  <to>
                    <xdr:col>20</xdr:col>
                    <xdr:colOff>0</xdr:colOff>
                    <xdr:row>52</xdr:row>
                    <xdr:rowOff>247650</xdr:rowOff>
                  </to>
                </anchor>
              </controlPr>
            </control>
          </mc:Choice>
        </mc:AlternateContent>
        <mc:AlternateContent xmlns:mc="http://schemas.openxmlformats.org/markup-compatibility/2006">
          <mc:Choice Requires="x14">
            <control shapeId="130122" r:id="rId13" name="Group Box 74">
              <controlPr defaultSize="0" autoFill="0" autoPict="0">
                <anchor moveWithCells="1">
                  <from>
                    <xdr:col>5</xdr:col>
                    <xdr:colOff>9525</xdr:colOff>
                    <xdr:row>56</xdr:row>
                    <xdr:rowOff>0</xdr:rowOff>
                  </from>
                  <to>
                    <xdr:col>20</xdr:col>
                    <xdr:colOff>0</xdr:colOff>
                    <xdr:row>56</xdr:row>
                    <xdr:rowOff>257175</xdr:rowOff>
                  </to>
                </anchor>
              </controlPr>
            </control>
          </mc:Choice>
        </mc:AlternateContent>
        <mc:AlternateContent xmlns:mc="http://schemas.openxmlformats.org/markup-compatibility/2006">
          <mc:Choice Requires="x14">
            <control shapeId="130129" r:id="rId14" name="Group Box 81">
              <controlPr defaultSize="0" autoFill="0" autoPict="0">
                <anchor moveWithCells="1">
                  <from>
                    <xdr:col>5</xdr:col>
                    <xdr:colOff>9525</xdr:colOff>
                    <xdr:row>57</xdr:row>
                    <xdr:rowOff>9525</xdr:rowOff>
                  </from>
                  <to>
                    <xdr:col>20</xdr:col>
                    <xdr:colOff>0</xdr:colOff>
                    <xdr:row>57</xdr:row>
                    <xdr:rowOff>257175</xdr:rowOff>
                  </to>
                </anchor>
              </controlPr>
            </control>
          </mc:Choice>
        </mc:AlternateContent>
        <mc:AlternateContent xmlns:mc="http://schemas.openxmlformats.org/markup-compatibility/2006">
          <mc:Choice Requires="x14">
            <control shapeId="130140" r:id="rId15" name="Group Box 92">
              <controlPr defaultSize="0" autoFill="0" autoPict="0">
                <anchor moveWithCells="1">
                  <from>
                    <xdr:col>5</xdr:col>
                    <xdr:colOff>9525</xdr:colOff>
                    <xdr:row>58</xdr:row>
                    <xdr:rowOff>9525</xdr:rowOff>
                  </from>
                  <to>
                    <xdr:col>20</xdr:col>
                    <xdr:colOff>0</xdr:colOff>
                    <xdr:row>58</xdr:row>
                    <xdr:rowOff>257175</xdr:rowOff>
                  </to>
                </anchor>
              </controlPr>
            </control>
          </mc:Choice>
        </mc:AlternateContent>
        <mc:AlternateContent xmlns:mc="http://schemas.openxmlformats.org/markup-compatibility/2006">
          <mc:Choice Requires="x14">
            <control shapeId="130142" r:id="rId16" name="Group Box 94">
              <controlPr defaultSize="0" autoFill="0" autoPict="0">
                <anchor moveWithCells="1">
                  <from>
                    <xdr:col>5</xdr:col>
                    <xdr:colOff>9525</xdr:colOff>
                    <xdr:row>59</xdr:row>
                    <xdr:rowOff>19050</xdr:rowOff>
                  </from>
                  <to>
                    <xdr:col>20</xdr:col>
                    <xdr:colOff>0</xdr:colOff>
                    <xdr:row>59</xdr:row>
                    <xdr:rowOff>257175</xdr:rowOff>
                  </to>
                </anchor>
              </controlPr>
            </control>
          </mc:Choice>
        </mc:AlternateContent>
        <mc:AlternateContent xmlns:mc="http://schemas.openxmlformats.org/markup-compatibility/2006">
          <mc:Choice Requires="x14">
            <control shapeId="130143" r:id="rId17" name="Group Box 95">
              <controlPr defaultSize="0" autoFill="0" autoPict="0">
                <anchor moveWithCells="1">
                  <from>
                    <xdr:col>5</xdr:col>
                    <xdr:colOff>9525</xdr:colOff>
                    <xdr:row>60</xdr:row>
                    <xdr:rowOff>9525</xdr:rowOff>
                  </from>
                  <to>
                    <xdr:col>20</xdr:col>
                    <xdr:colOff>0</xdr:colOff>
                    <xdr:row>60</xdr:row>
                    <xdr:rowOff>257175</xdr:rowOff>
                  </to>
                </anchor>
              </controlPr>
            </control>
          </mc:Choice>
        </mc:AlternateContent>
        <mc:AlternateContent xmlns:mc="http://schemas.openxmlformats.org/markup-compatibility/2006">
          <mc:Choice Requires="x14">
            <control shapeId="130144" r:id="rId18" name="Group Box 96">
              <controlPr defaultSize="0" autoFill="0" autoPict="0">
                <anchor moveWithCells="1">
                  <from>
                    <xdr:col>5</xdr:col>
                    <xdr:colOff>9525</xdr:colOff>
                    <xdr:row>61</xdr:row>
                    <xdr:rowOff>9525</xdr:rowOff>
                  </from>
                  <to>
                    <xdr:col>20</xdr:col>
                    <xdr:colOff>0</xdr:colOff>
                    <xdr:row>61</xdr:row>
                    <xdr:rowOff>257175</xdr:rowOff>
                  </to>
                </anchor>
              </controlPr>
            </control>
          </mc:Choice>
        </mc:AlternateContent>
        <mc:AlternateContent xmlns:mc="http://schemas.openxmlformats.org/markup-compatibility/2006">
          <mc:Choice Requires="x14">
            <control shapeId="130145" r:id="rId19" name="Group Box 97">
              <controlPr defaultSize="0" autoFill="0" autoPict="0">
                <anchor moveWithCells="1">
                  <from>
                    <xdr:col>5</xdr:col>
                    <xdr:colOff>9525</xdr:colOff>
                    <xdr:row>62</xdr:row>
                    <xdr:rowOff>9525</xdr:rowOff>
                  </from>
                  <to>
                    <xdr:col>20</xdr:col>
                    <xdr:colOff>0</xdr:colOff>
                    <xdr:row>62</xdr:row>
                    <xdr:rowOff>257175</xdr:rowOff>
                  </to>
                </anchor>
              </controlPr>
            </control>
          </mc:Choice>
        </mc:AlternateContent>
        <mc:AlternateContent xmlns:mc="http://schemas.openxmlformats.org/markup-compatibility/2006">
          <mc:Choice Requires="x14">
            <control shapeId="130146" r:id="rId20" name="Group Box 98">
              <controlPr defaultSize="0" autoFill="0" autoPict="0">
                <anchor moveWithCells="1">
                  <from>
                    <xdr:col>5</xdr:col>
                    <xdr:colOff>9525</xdr:colOff>
                    <xdr:row>63</xdr:row>
                    <xdr:rowOff>9525</xdr:rowOff>
                  </from>
                  <to>
                    <xdr:col>20</xdr:col>
                    <xdr:colOff>0</xdr:colOff>
                    <xdr:row>63</xdr:row>
                    <xdr:rowOff>257175</xdr:rowOff>
                  </to>
                </anchor>
              </controlPr>
            </control>
          </mc:Choice>
        </mc:AlternateContent>
        <mc:AlternateContent xmlns:mc="http://schemas.openxmlformats.org/markup-compatibility/2006">
          <mc:Choice Requires="x14">
            <control shapeId="130147" r:id="rId21" name="Group Box 99">
              <controlPr defaultSize="0" autoFill="0" autoPict="0">
                <anchor moveWithCells="1">
                  <from>
                    <xdr:col>5</xdr:col>
                    <xdr:colOff>9525</xdr:colOff>
                    <xdr:row>64</xdr:row>
                    <xdr:rowOff>9525</xdr:rowOff>
                  </from>
                  <to>
                    <xdr:col>20</xdr:col>
                    <xdr:colOff>0</xdr:colOff>
                    <xdr:row>64</xdr:row>
                    <xdr:rowOff>257175</xdr:rowOff>
                  </to>
                </anchor>
              </controlPr>
            </control>
          </mc:Choice>
        </mc:AlternateContent>
        <mc:AlternateContent xmlns:mc="http://schemas.openxmlformats.org/markup-compatibility/2006">
          <mc:Choice Requires="x14">
            <control shapeId="130148" r:id="rId22" name="Group Box 100">
              <controlPr defaultSize="0" autoFill="0" autoPict="0">
                <anchor moveWithCells="1">
                  <from>
                    <xdr:col>5</xdr:col>
                    <xdr:colOff>0</xdr:colOff>
                    <xdr:row>65</xdr:row>
                    <xdr:rowOff>19050</xdr:rowOff>
                  </from>
                  <to>
                    <xdr:col>20</xdr:col>
                    <xdr:colOff>0</xdr:colOff>
                    <xdr:row>66</xdr:row>
                    <xdr:rowOff>0</xdr:rowOff>
                  </to>
                </anchor>
              </controlPr>
            </control>
          </mc:Choice>
        </mc:AlternateContent>
        <mc:AlternateContent xmlns:mc="http://schemas.openxmlformats.org/markup-compatibility/2006">
          <mc:Choice Requires="x14">
            <control shapeId="130149" r:id="rId23" name="Option Button 101">
              <controlPr defaultSize="0" autoFill="0" autoLine="0" autoPict="0">
                <anchor moveWithCells="1">
                  <from>
                    <xdr:col>5</xdr:col>
                    <xdr:colOff>228600</xdr:colOff>
                    <xdr:row>51</xdr:row>
                    <xdr:rowOff>38100</xdr:rowOff>
                  </from>
                  <to>
                    <xdr:col>6</xdr:col>
                    <xdr:colOff>190500</xdr:colOff>
                    <xdr:row>51</xdr:row>
                    <xdr:rowOff>228600</xdr:rowOff>
                  </to>
                </anchor>
              </controlPr>
            </control>
          </mc:Choice>
        </mc:AlternateContent>
        <mc:AlternateContent xmlns:mc="http://schemas.openxmlformats.org/markup-compatibility/2006">
          <mc:Choice Requires="x14">
            <control shapeId="130151" r:id="rId24" name="Option Button 103">
              <controlPr defaultSize="0" autoFill="0" autoLine="0" autoPict="0">
                <anchor moveWithCells="1">
                  <from>
                    <xdr:col>7</xdr:col>
                    <xdr:colOff>66675</xdr:colOff>
                    <xdr:row>51</xdr:row>
                    <xdr:rowOff>38100</xdr:rowOff>
                  </from>
                  <to>
                    <xdr:col>7</xdr:col>
                    <xdr:colOff>457200</xdr:colOff>
                    <xdr:row>51</xdr:row>
                    <xdr:rowOff>228600</xdr:rowOff>
                  </to>
                </anchor>
              </controlPr>
            </control>
          </mc:Choice>
        </mc:AlternateContent>
        <mc:AlternateContent xmlns:mc="http://schemas.openxmlformats.org/markup-compatibility/2006">
          <mc:Choice Requires="x14">
            <control shapeId="130152" r:id="rId25" name="Option Button 104">
              <controlPr defaultSize="0" autoFill="0" autoLine="0" autoPict="0">
                <anchor moveWithCells="1">
                  <from>
                    <xdr:col>8</xdr:col>
                    <xdr:colOff>219075</xdr:colOff>
                    <xdr:row>51</xdr:row>
                    <xdr:rowOff>28575</xdr:rowOff>
                  </from>
                  <to>
                    <xdr:col>8</xdr:col>
                    <xdr:colOff>638175</xdr:colOff>
                    <xdr:row>51</xdr:row>
                    <xdr:rowOff>228600</xdr:rowOff>
                  </to>
                </anchor>
              </controlPr>
            </control>
          </mc:Choice>
        </mc:AlternateContent>
        <mc:AlternateContent xmlns:mc="http://schemas.openxmlformats.org/markup-compatibility/2006">
          <mc:Choice Requires="x14">
            <control shapeId="130153" r:id="rId26" name="Option Button 105">
              <controlPr defaultSize="0" autoFill="0" autoLine="0" autoPict="0">
                <anchor moveWithCells="1">
                  <from>
                    <xdr:col>10</xdr:col>
                    <xdr:colOff>0</xdr:colOff>
                    <xdr:row>51</xdr:row>
                    <xdr:rowOff>28575</xdr:rowOff>
                  </from>
                  <to>
                    <xdr:col>12</xdr:col>
                    <xdr:colOff>19050</xdr:colOff>
                    <xdr:row>51</xdr:row>
                    <xdr:rowOff>228600</xdr:rowOff>
                  </to>
                </anchor>
              </controlPr>
            </control>
          </mc:Choice>
        </mc:AlternateContent>
        <mc:AlternateContent xmlns:mc="http://schemas.openxmlformats.org/markup-compatibility/2006">
          <mc:Choice Requires="x14">
            <control shapeId="130155" r:id="rId27" name="Option Button 107">
              <controlPr defaultSize="0" autoFill="0" autoLine="0" autoPict="0">
                <anchor moveWithCells="1">
                  <from>
                    <xdr:col>15</xdr:col>
                    <xdr:colOff>104775</xdr:colOff>
                    <xdr:row>51</xdr:row>
                    <xdr:rowOff>38100</xdr:rowOff>
                  </from>
                  <to>
                    <xdr:col>18</xdr:col>
                    <xdr:colOff>38100</xdr:colOff>
                    <xdr:row>51</xdr:row>
                    <xdr:rowOff>219075</xdr:rowOff>
                  </to>
                </anchor>
              </controlPr>
            </control>
          </mc:Choice>
        </mc:AlternateContent>
        <mc:AlternateContent xmlns:mc="http://schemas.openxmlformats.org/markup-compatibility/2006">
          <mc:Choice Requires="x14">
            <control shapeId="130156" r:id="rId28" name="Option Button 108">
              <controlPr defaultSize="0" autoFill="0" autoLine="0" autoPict="0">
                <anchor moveWithCells="1">
                  <from>
                    <xdr:col>5</xdr:col>
                    <xdr:colOff>228600</xdr:colOff>
                    <xdr:row>52</xdr:row>
                    <xdr:rowOff>47625</xdr:rowOff>
                  </from>
                  <to>
                    <xdr:col>6</xdr:col>
                    <xdr:colOff>200025</xdr:colOff>
                    <xdr:row>52</xdr:row>
                    <xdr:rowOff>228600</xdr:rowOff>
                  </to>
                </anchor>
              </controlPr>
            </control>
          </mc:Choice>
        </mc:AlternateContent>
        <mc:AlternateContent xmlns:mc="http://schemas.openxmlformats.org/markup-compatibility/2006">
          <mc:Choice Requires="x14">
            <control shapeId="130157" r:id="rId29" name="Option Button 109">
              <controlPr defaultSize="0" autoFill="0" autoLine="0" autoPict="0">
                <anchor moveWithCells="1">
                  <from>
                    <xdr:col>7</xdr:col>
                    <xdr:colOff>66675</xdr:colOff>
                    <xdr:row>52</xdr:row>
                    <xdr:rowOff>28575</xdr:rowOff>
                  </from>
                  <to>
                    <xdr:col>7</xdr:col>
                    <xdr:colOff>352425</xdr:colOff>
                    <xdr:row>52</xdr:row>
                    <xdr:rowOff>228600</xdr:rowOff>
                  </to>
                </anchor>
              </controlPr>
            </control>
          </mc:Choice>
        </mc:AlternateContent>
        <mc:AlternateContent xmlns:mc="http://schemas.openxmlformats.org/markup-compatibility/2006">
          <mc:Choice Requires="x14">
            <control shapeId="130158" r:id="rId30" name="Option Button 110">
              <controlPr defaultSize="0" autoFill="0" autoLine="0" autoPict="0">
                <anchor moveWithCells="1">
                  <from>
                    <xdr:col>8</xdr:col>
                    <xdr:colOff>228600</xdr:colOff>
                    <xdr:row>52</xdr:row>
                    <xdr:rowOff>47625</xdr:rowOff>
                  </from>
                  <to>
                    <xdr:col>8</xdr:col>
                    <xdr:colOff>561975</xdr:colOff>
                    <xdr:row>52</xdr:row>
                    <xdr:rowOff>228600</xdr:rowOff>
                  </to>
                </anchor>
              </controlPr>
            </control>
          </mc:Choice>
        </mc:AlternateContent>
        <mc:AlternateContent xmlns:mc="http://schemas.openxmlformats.org/markup-compatibility/2006">
          <mc:Choice Requires="x14">
            <control shapeId="130159" r:id="rId31" name="Option Button 111">
              <controlPr defaultSize="0" autoFill="0" autoLine="0" autoPict="0">
                <anchor moveWithCells="1">
                  <from>
                    <xdr:col>10</xdr:col>
                    <xdr:colOff>0</xdr:colOff>
                    <xdr:row>52</xdr:row>
                    <xdr:rowOff>28575</xdr:rowOff>
                  </from>
                  <to>
                    <xdr:col>12</xdr:col>
                    <xdr:colOff>85725</xdr:colOff>
                    <xdr:row>52</xdr:row>
                    <xdr:rowOff>228600</xdr:rowOff>
                  </to>
                </anchor>
              </controlPr>
            </control>
          </mc:Choice>
        </mc:AlternateContent>
        <mc:AlternateContent xmlns:mc="http://schemas.openxmlformats.org/markup-compatibility/2006">
          <mc:Choice Requires="x14">
            <control shapeId="130160" r:id="rId32" name="Option Button 112">
              <controlPr defaultSize="0" autoFill="0" autoLine="0" autoPict="0">
                <anchor moveWithCells="1">
                  <from>
                    <xdr:col>15</xdr:col>
                    <xdr:colOff>104775</xdr:colOff>
                    <xdr:row>52</xdr:row>
                    <xdr:rowOff>47625</xdr:rowOff>
                  </from>
                  <to>
                    <xdr:col>18</xdr:col>
                    <xdr:colOff>38100</xdr:colOff>
                    <xdr:row>52</xdr:row>
                    <xdr:rowOff>219075</xdr:rowOff>
                  </to>
                </anchor>
              </controlPr>
            </control>
          </mc:Choice>
        </mc:AlternateContent>
        <mc:AlternateContent xmlns:mc="http://schemas.openxmlformats.org/markup-compatibility/2006">
          <mc:Choice Requires="x14">
            <control shapeId="130162" r:id="rId33" name="Option Button 114">
              <controlPr defaultSize="0" autoFill="0" autoLine="0" autoPict="0">
                <anchor moveWithCells="1">
                  <from>
                    <xdr:col>5</xdr:col>
                    <xdr:colOff>247650</xdr:colOff>
                    <xdr:row>56</xdr:row>
                    <xdr:rowOff>57150</xdr:rowOff>
                  </from>
                  <to>
                    <xdr:col>6</xdr:col>
                    <xdr:colOff>200025</xdr:colOff>
                    <xdr:row>56</xdr:row>
                    <xdr:rowOff>228600</xdr:rowOff>
                  </to>
                </anchor>
              </controlPr>
            </control>
          </mc:Choice>
        </mc:AlternateContent>
        <mc:AlternateContent xmlns:mc="http://schemas.openxmlformats.org/markup-compatibility/2006">
          <mc:Choice Requires="x14">
            <control shapeId="130163" r:id="rId34" name="Option Button 115">
              <controlPr defaultSize="0" autoFill="0" autoLine="0" autoPict="0">
                <anchor moveWithCells="1">
                  <from>
                    <xdr:col>7</xdr:col>
                    <xdr:colOff>66675</xdr:colOff>
                    <xdr:row>56</xdr:row>
                    <xdr:rowOff>28575</xdr:rowOff>
                  </from>
                  <to>
                    <xdr:col>7</xdr:col>
                    <xdr:colOff>466725</xdr:colOff>
                    <xdr:row>56</xdr:row>
                    <xdr:rowOff>238125</xdr:rowOff>
                  </to>
                </anchor>
              </controlPr>
            </control>
          </mc:Choice>
        </mc:AlternateContent>
        <mc:AlternateContent xmlns:mc="http://schemas.openxmlformats.org/markup-compatibility/2006">
          <mc:Choice Requires="x14">
            <control shapeId="130164" r:id="rId35" name="Option Button 116">
              <controlPr defaultSize="0" autoFill="0" autoLine="0" autoPict="0">
                <anchor moveWithCells="1">
                  <from>
                    <xdr:col>8</xdr:col>
                    <xdr:colOff>238125</xdr:colOff>
                    <xdr:row>56</xdr:row>
                    <xdr:rowOff>38100</xdr:rowOff>
                  </from>
                  <to>
                    <xdr:col>8</xdr:col>
                    <xdr:colOff>542925</xdr:colOff>
                    <xdr:row>56</xdr:row>
                    <xdr:rowOff>238125</xdr:rowOff>
                  </to>
                </anchor>
              </controlPr>
            </control>
          </mc:Choice>
        </mc:AlternateContent>
        <mc:AlternateContent xmlns:mc="http://schemas.openxmlformats.org/markup-compatibility/2006">
          <mc:Choice Requires="x14">
            <control shapeId="130166" r:id="rId36" name="Option Button 118">
              <controlPr defaultSize="0" autoFill="0" autoLine="0" autoPict="0">
                <anchor moveWithCells="1">
                  <from>
                    <xdr:col>10</xdr:col>
                    <xdr:colOff>28575</xdr:colOff>
                    <xdr:row>56</xdr:row>
                    <xdr:rowOff>57150</xdr:rowOff>
                  </from>
                  <to>
                    <xdr:col>12</xdr:col>
                    <xdr:colOff>85725</xdr:colOff>
                    <xdr:row>56</xdr:row>
                    <xdr:rowOff>228600</xdr:rowOff>
                  </to>
                </anchor>
              </controlPr>
            </control>
          </mc:Choice>
        </mc:AlternateContent>
        <mc:AlternateContent xmlns:mc="http://schemas.openxmlformats.org/markup-compatibility/2006">
          <mc:Choice Requires="x14">
            <control shapeId="130167" r:id="rId37" name="Option Button 119">
              <controlPr defaultSize="0" autoFill="0" autoLine="0" autoPict="0">
                <anchor moveWithCells="1">
                  <from>
                    <xdr:col>16</xdr:col>
                    <xdr:colOff>0</xdr:colOff>
                    <xdr:row>56</xdr:row>
                    <xdr:rowOff>38100</xdr:rowOff>
                  </from>
                  <to>
                    <xdr:col>18</xdr:col>
                    <xdr:colOff>57150</xdr:colOff>
                    <xdr:row>56</xdr:row>
                    <xdr:rowOff>228600</xdr:rowOff>
                  </to>
                </anchor>
              </controlPr>
            </control>
          </mc:Choice>
        </mc:AlternateContent>
        <mc:AlternateContent xmlns:mc="http://schemas.openxmlformats.org/markup-compatibility/2006">
          <mc:Choice Requires="x14">
            <control shapeId="130168" r:id="rId38" name="Option Button 120">
              <controlPr defaultSize="0" autoFill="0" autoLine="0" autoPict="0">
                <anchor moveWithCells="1">
                  <from>
                    <xdr:col>5</xdr:col>
                    <xdr:colOff>247650</xdr:colOff>
                    <xdr:row>57</xdr:row>
                    <xdr:rowOff>47625</xdr:rowOff>
                  </from>
                  <to>
                    <xdr:col>6</xdr:col>
                    <xdr:colOff>200025</xdr:colOff>
                    <xdr:row>57</xdr:row>
                    <xdr:rowOff>238125</xdr:rowOff>
                  </to>
                </anchor>
              </controlPr>
            </control>
          </mc:Choice>
        </mc:AlternateContent>
        <mc:AlternateContent xmlns:mc="http://schemas.openxmlformats.org/markup-compatibility/2006">
          <mc:Choice Requires="x14">
            <control shapeId="130169" r:id="rId39" name="Option Button 121">
              <controlPr defaultSize="0" autoFill="0" autoLine="0" autoPict="0">
                <anchor moveWithCells="1">
                  <from>
                    <xdr:col>7</xdr:col>
                    <xdr:colOff>76200</xdr:colOff>
                    <xdr:row>57</xdr:row>
                    <xdr:rowOff>47625</xdr:rowOff>
                  </from>
                  <to>
                    <xdr:col>7</xdr:col>
                    <xdr:colOff>419100</xdr:colOff>
                    <xdr:row>57</xdr:row>
                    <xdr:rowOff>228600</xdr:rowOff>
                  </to>
                </anchor>
              </controlPr>
            </control>
          </mc:Choice>
        </mc:AlternateContent>
        <mc:AlternateContent xmlns:mc="http://schemas.openxmlformats.org/markup-compatibility/2006">
          <mc:Choice Requires="x14">
            <control shapeId="130170" r:id="rId40" name="Option Button 122">
              <controlPr defaultSize="0" autoFill="0" autoLine="0" autoPict="0">
                <anchor moveWithCells="1">
                  <from>
                    <xdr:col>8</xdr:col>
                    <xdr:colOff>238125</xdr:colOff>
                    <xdr:row>57</xdr:row>
                    <xdr:rowOff>38100</xdr:rowOff>
                  </from>
                  <to>
                    <xdr:col>8</xdr:col>
                    <xdr:colOff>590550</xdr:colOff>
                    <xdr:row>57</xdr:row>
                    <xdr:rowOff>228600</xdr:rowOff>
                  </to>
                </anchor>
              </controlPr>
            </control>
          </mc:Choice>
        </mc:AlternateContent>
        <mc:AlternateContent xmlns:mc="http://schemas.openxmlformats.org/markup-compatibility/2006">
          <mc:Choice Requires="x14">
            <control shapeId="130171" r:id="rId41" name="Option Button 123">
              <controlPr defaultSize="0" autoFill="0" autoLine="0" autoPict="0">
                <anchor moveWithCells="1">
                  <from>
                    <xdr:col>10</xdr:col>
                    <xdr:colOff>28575</xdr:colOff>
                    <xdr:row>57</xdr:row>
                    <xdr:rowOff>47625</xdr:rowOff>
                  </from>
                  <to>
                    <xdr:col>12</xdr:col>
                    <xdr:colOff>85725</xdr:colOff>
                    <xdr:row>57</xdr:row>
                    <xdr:rowOff>238125</xdr:rowOff>
                  </to>
                </anchor>
              </controlPr>
            </control>
          </mc:Choice>
        </mc:AlternateContent>
        <mc:AlternateContent xmlns:mc="http://schemas.openxmlformats.org/markup-compatibility/2006">
          <mc:Choice Requires="x14">
            <control shapeId="130172" r:id="rId42" name="Option Button 124">
              <controlPr defaultSize="0" autoFill="0" autoLine="0" autoPict="0">
                <anchor moveWithCells="1">
                  <from>
                    <xdr:col>16</xdr:col>
                    <xdr:colOff>0</xdr:colOff>
                    <xdr:row>57</xdr:row>
                    <xdr:rowOff>38100</xdr:rowOff>
                  </from>
                  <to>
                    <xdr:col>18</xdr:col>
                    <xdr:colOff>85725</xdr:colOff>
                    <xdr:row>57</xdr:row>
                    <xdr:rowOff>228600</xdr:rowOff>
                  </to>
                </anchor>
              </controlPr>
            </control>
          </mc:Choice>
        </mc:AlternateContent>
        <mc:AlternateContent xmlns:mc="http://schemas.openxmlformats.org/markup-compatibility/2006">
          <mc:Choice Requires="x14">
            <control shapeId="130173" r:id="rId43" name="Option Button 125">
              <controlPr defaultSize="0" autoFill="0" autoLine="0" autoPict="0">
                <anchor moveWithCells="1">
                  <from>
                    <xdr:col>5</xdr:col>
                    <xdr:colOff>247650</xdr:colOff>
                    <xdr:row>58</xdr:row>
                    <xdr:rowOff>47625</xdr:rowOff>
                  </from>
                  <to>
                    <xdr:col>6</xdr:col>
                    <xdr:colOff>200025</xdr:colOff>
                    <xdr:row>58</xdr:row>
                    <xdr:rowOff>228600</xdr:rowOff>
                  </to>
                </anchor>
              </controlPr>
            </control>
          </mc:Choice>
        </mc:AlternateContent>
        <mc:AlternateContent xmlns:mc="http://schemas.openxmlformats.org/markup-compatibility/2006">
          <mc:Choice Requires="x14">
            <control shapeId="130174" r:id="rId44" name="Option Button 126">
              <controlPr defaultSize="0" autoFill="0" autoLine="0" autoPict="0">
                <anchor moveWithCells="1">
                  <from>
                    <xdr:col>7</xdr:col>
                    <xdr:colOff>85725</xdr:colOff>
                    <xdr:row>58</xdr:row>
                    <xdr:rowOff>47625</xdr:rowOff>
                  </from>
                  <to>
                    <xdr:col>7</xdr:col>
                    <xdr:colOff>390525</xdr:colOff>
                    <xdr:row>58</xdr:row>
                    <xdr:rowOff>238125</xdr:rowOff>
                  </to>
                </anchor>
              </controlPr>
            </control>
          </mc:Choice>
        </mc:AlternateContent>
        <mc:AlternateContent xmlns:mc="http://schemas.openxmlformats.org/markup-compatibility/2006">
          <mc:Choice Requires="x14">
            <control shapeId="130175" r:id="rId45" name="Option Button 127">
              <controlPr defaultSize="0" autoFill="0" autoLine="0" autoPict="0">
                <anchor moveWithCells="1">
                  <from>
                    <xdr:col>8</xdr:col>
                    <xdr:colOff>247650</xdr:colOff>
                    <xdr:row>58</xdr:row>
                    <xdr:rowOff>38100</xdr:rowOff>
                  </from>
                  <to>
                    <xdr:col>8</xdr:col>
                    <xdr:colOff>590550</xdr:colOff>
                    <xdr:row>58</xdr:row>
                    <xdr:rowOff>238125</xdr:rowOff>
                  </to>
                </anchor>
              </controlPr>
            </control>
          </mc:Choice>
        </mc:AlternateContent>
        <mc:AlternateContent xmlns:mc="http://schemas.openxmlformats.org/markup-compatibility/2006">
          <mc:Choice Requires="x14">
            <control shapeId="130176" r:id="rId46" name="Option Button 128">
              <controlPr defaultSize="0" autoFill="0" autoLine="0" autoPict="0">
                <anchor moveWithCells="1">
                  <from>
                    <xdr:col>10</xdr:col>
                    <xdr:colOff>28575</xdr:colOff>
                    <xdr:row>58</xdr:row>
                    <xdr:rowOff>47625</xdr:rowOff>
                  </from>
                  <to>
                    <xdr:col>13</xdr:col>
                    <xdr:colOff>0</xdr:colOff>
                    <xdr:row>58</xdr:row>
                    <xdr:rowOff>228600</xdr:rowOff>
                  </to>
                </anchor>
              </controlPr>
            </control>
          </mc:Choice>
        </mc:AlternateContent>
        <mc:AlternateContent xmlns:mc="http://schemas.openxmlformats.org/markup-compatibility/2006">
          <mc:Choice Requires="x14">
            <control shapeId="130177" r:id="rId47" name="Option Button 129">
              <controlPr defaultSize="0" autoFill="0" autoLine="0" autoPict="0">
                <anchor moveWithCells="1">
                  <from>
                    <xdr:col>16</xdr:col>
                    <xdr:colOff>0</xdr:colOff>
                    <xdr:row>58</xdr:row>
                    <xdr:rowOff>47625</xdr:rowOff>
                  </from>
                  <to>
                    <xdr:col>18</xdr:col>
                    <xdr:colOff>57150</xdr:colOff>
                    <xdr:row>58</xdr:row>
                    <xdr:rowOff>219075</xdr:rowOff>
                  </to>
                </anchor>
              </controlPr>
            </control>
          </mc:Choice>
        </mc:AlternateContent>
        <mc:AlternateContent xmlns:mc="http://schemas.openxmlformats.org/markup-compatibility/2006">
          <mc:Choice Requires="x14">
            <control shapeId="130178" r:id="rId48" name="Option Button 130">
              <controlPr defaultSize="0" autoFill="0" autoLine="0" autoPict="0">
                <anchor moveWithCells="1">
                  <from>
                    <xdr:col>5</xdr:col>
                    <xdr:colOff>247650</xdr:colOff>
                    <xdr:row>59</xdr:row>
                    <xdr:rowOff>38100</xdr:rowOff>
                  </from>
                  <to>
                    <xdr:col>6</xdr:col>
                    <xdr:colOff>200025</xdr:colOff>
                    <xdr:row>59</xdr:row>
                    <xdr:rowOff>228600</xdr:rowOff>
                  </to>
                </anchor>
              </controlPr>
            </control>
          </mc:Choice>
        </mc:AlternateContent>
        <mc:AlternateContent xmlns:mc="http://schemas.openxmlformats.org/markup-compatibility/2006">
          <mc:Choice Requires="x14">
            <control shapeId="130179" r:id="rId49" name="Option Button 131">
              <controlPr defaultSize="0" autoFill="0" autoLine="0" autoPict="0">
                <anchor moveWithCells="1">
                  <from>
                    <xdr:col>7</xdr:col>
                    <xdr:colOff>85725</xdr:colOff>
                    <xdr:row>59</xdr:row>
                    <xdr:rowOff>28575</xdr:rowOff>
                  </from>
                  <to>
                    <xdr:col>7</xdr:col>
                    <xdr:colOff>390525</xdr:colOff>
                    <xdr:row>59</xdr:row>
                    <xdr:rowOff>228600</xdr:rowOff>
                  </to>
                </anchor>
              </controlPr>
            </control>
          </mc:Choice>
        </mc:AlternateContent>
        <mc:AlternateContent xmlns:mc="http://schemas.openxmlformats.org/markup-compatibility/2006">
          <mc:Choice Requires="x14">
            <control shapeId="130180" r:id="rId50" name="Option Button 132">
              <controlPr defaultSize="0" autoFill="0" autoLine="0" autoPict="0">
                <anchor moveWithCells="1">
                  <from>
                    <xdr:col>8</xdr:col>
                    <xdr:colOff>247650</xdr:colOff>
                    <xdr:row>59</xdr:row>
                    <xdr:rowOff>47625</xdr:rowOff>
                  </from>
                  <to>
                    <xdr:col>8</xdr:col>
                    <xdr:colOff>619125</xdr:colOff>
                    <xdr:row>59</xdr:row>
                    <xdr:rowOff>238125</xdr:rowOff>
                  </to>
                </anchor>
              </controlPr>
            </control>
          </mc:Choice>
        </mc:AlternateContent>
        <mc:AlternateContent xmlns:mc="http://schemas.openxmlformats.org/markup-compatibility/2006">
          <mc:Choice Requires="x14">
            <control shapeId="130181" r:id="rId51" name="Option Button 133">
              <controlPr defaultSize="0" autoFill="0" autoLine="0" autoPict="0">
                <anchor moveWithCells="1">
                  <from>
                    <xdr:col>10</xdr:col>
                    <xdr:colOff>28575</xdr:colOff>
                    <xdr:row>59</xdr:row>
                    <xdr:rowOff>47625</xdr:rowOff>
                  </from>
                  <to>
                    <xdr:col>13</xdr:col>
                    <xdr:colOff>0</xdr:colOff>
                    <xdr:row>59</xdr:row>
                    <xdr:rowOff>238125</xdr:rowOff>
                  </to>
                </anchor>
              </controlPr>
            </control>
          </mc:Choice>
        </mc:AlternateContent>
        <mc:AlternateContent xmlns:mc="http://schemas.openxmlformats.org/markup-compatibility/2006">
          <mc:Choice Requires="x14">
            <control shapeId="130182" r:id="rId52" name="Option Button 134">
              <controlPr defaultSize="0" autoFill="0" autoLine="0" autoPict="0">
                <anchor moveWithCells="1">
                  <from>
                    <xdr:col>16</xdr:col>
                    <xdr:colOff>9525</xdr:colOff>
                    <xdr:row>59</xdr:row>
                    <xdr:rowOff>38100</xdr:rowOff>
                  </from>
                  <to>
                    <xdr:col>18</xdr:col>
                    <xdr:colOff>66675</xdr:colOff>
                    <xdr:row>59</xdr:row>
                    <xdr:rowOff>228600</xdr:rowOff>
                  </to>
                </anchor>
              </controlPr>
            </control>
          </mc:Choice>
        </mc:AlternateContent>
        <mc:AlternateContent xmlns:mc="http://schemas.openxmlformats.org/markup-compatibility/2006">
          <mc:Choice Requires="x14">
            <control shapeId="130183" r:id="rId53" name="Option Button 135">
              <controlPr defaultSize="0" autoFill="0" autoLine="0" autoPict="0">
                <anchor moveWithCells="1">
                  <from>
                    <xdr:col>5</xdr:col>
                    <xdr:colOff>257175</xdr:colOff>
                    <xdr:row>60</xdr:row>
                    <xdr:rowOff>38100</xdr:rowOff>
                  </from>
                  <to>
                    <xdr:col>6</xdr:col>
                    <xdr:colOff>314325</xdr:colOff>
                    <xdr:row>60</xdr:row>
                    <xdr:rowOff>238125</xdr:rowOff>
                  </to>
                </anchor>
              </controlPr>
            </control>
          </mc:Choice>
        </mc:AlternateContent>
        <mc:AlternateContent xmlns:mc="http://schemas.openxmlformats.org/markup-compatibility/2006">
          <mc:Choice Requires="x14">
            <control shapeId="130184" r:id="rId54" name="Option Button 136">
              <controlPr defaultSize="0" autoFill="0" autoLine="0" autoPict="0">
                <anchor moveWithCells="1">
                  <from>
                    <xdr:col>7</xdr:col>
                    <xdr:colOff>95250</xdr:colOff>
                    <xdr:row>60</xdr:row>
                    <xdr:rowOff>38100</xdr:rowOff>
                  </from>
                  <to>
                    <xdr:col>7</xdr:col>
                    <xdr:colOff>457200</xdr:colOff>
                    <xdr:row>60</xdr:row>
                    <xdr:rowOff>228600</xdr:rowOff>
                  </to>
                </anchor>
              </controlPr>
            </control>
          </mc:Choice>
        </mc:AlternateContent>
        <mc:AlternateContent xmlns:mc="http://schemas.openxmlformats.org/markup-compatibility/2006">
          <mc:Choice Requires="x14">
            <control shapeId="130185" r:id="rId55" name="Option Button 137">
              <controlPr defaultSize="0" autoFill="0" autoLine="0" autoPict="0">
                <anchor moveWithCells="1">
                  <from>
                    <xdr:col>8</xdr:col>
                    <xdr:colOff>257175</xdr:colOff>
                    <xdr:row>60</xdr:row>
                    <xdr:rowOff>47625</xdr:rowOff>
                  </from>
                  <to>
                    <xdr:col>8</xdr:col>
                    <xdr:colOff>542925</xdr:colOff>
                    <xdr:row>60</xdr:row>
                    <xdr:rowOff>219075</xdr:rowOff>
                  </to>
                </anchor>
              </controlPr>
            </control>
          </mc:Choice>
        </mc:AlternateContent>
        <mc:AlternateContent xmlns:mc="http://schemas.openxmlformats.org/markup-compatibility/2006">
          <mc:Choice Requires="x14">
            <control shapeId="130186" r:id="rId56" name="Option Button 138">
              <controlPr defaultSize="0" autoFill="0" autoLine="0" autoPict="0">
                <anchor moveWithCells="1">
                  <from>
                    <xdr:col>10</xdr:col>
                    <xdr:colOff>28575</xdr:colOff>
                    <xdr:row>60</xdr:row>
                    <xdr:rowOff>19050</xdr:rowOff>
                  </from>
                  <to>
                    <xdr:col>12</xdr:col>
                    <xdr:colOff>85725</xdr:colOff>
                    <xdr:row>60</xdr:row>
                    <xdr:rowOff>238125</xdr:rowOff>
                  </to>
                </anchor>
              </controlPr>
            </control>
          </mc:Choice>
        </mc:AlternateContent>
        <mc:AlternateContent xmlns:mc="http://schemas.openxmlformats.org/markup-compatibility/2006">
          <mc:Choice Requires="x14">
            <control shapeId="130187" r:id="rId57" name="Option Button 139">
              <controlPr defaultSize="0" autoFill="0" autoLine="0" autoPict="0">
                <anchor moveWithCells="1">
                  <from>
                    <xdr:col>16</xdr:col>
                    <xdr:colOff>9525</xdr:colOff>
                    <xdr:row>60</xdr:row>
                    <xdr:rowOff>47625</xdr:rowOff>
                  </from>
                  <to>
                    <xdr:col>18</xdr:col>
                    <xdr:colOff>47625</xdr:colOff>
                    <xdr:row>60</xdr:row>
                    <xdr:rowOff>219075</xdr:rowOff>
                  </to>
                </anchor>
              </controlPr>
            </control>
          </mc:Choice>
        </mc:AlternateContent>
        <mc:AlternateContent xmlns:mc="http://schemas.openxmlformats.org/markup-compatibility/2006">
          <mc:Choice Requires="x14">
            <control shapeId="130188" r:id="rId58" name="Option Button 140">
              <controlPr defaultSize="0" autoFill="0" autoLine="0" autoPict="0">
                <anchor moveWithCells="1">
                  <from>
                    <xdr:col>5</xdr:col>
                    <xdr:colOff>257175</xdr:colOff>
                    <xdr:row>61</xdr:row>
                    <xdr:rowOff>28575</xdr:rowOff>
                  </from>
                  <to>
                    <xdr:col>6</xdr:col>
                    <xdr:colOff>314325</xdr:colOff>
                    <xdr:row>61</xdr:row>
                    <xdr:rowOff>247650</xdr:rowOff>
                  </to>
                </anchor>
              </controlPr>
            </control>
          </mc:Choice>
        </mc:AlternateContent>
        <mc:AlternateContent xmlns:mc="http://schemas.openxmlformats.org/markup-compatibility/2006">
          <mc:Choice Requires="x14">
            <control shapeId="130189" r:id="rId59" name="Option Button 141">
              <controlPr defaultSize="0" autoFill="0" autoLine="0" autoPict="0">
                <anchor moveWithCells="1">
                  <from>
                    <xdr:col>7</xdr:col>
                    <xdr:colOff>95250</xdr:colOff>
                    <xdr:row>61</xdr:row>
                    <xdr:rowOff>38100</xdr:rowOff>
                  </from>
                  <to>
                    <xdr:col>7</xdr:col>
                    <xdr:colOff>476250</xdr:colOff>
                    <xdr:row>61</xdr:row>
                    <xdr:rowOff>238125</xdr:rowOff>
                  </to>
                </anchor>
              </controlPr>
            </control>
          </mc:Choice>
        </mc:AlternateContent>
        <mc:AlternateContent xmlns:mc="http://schemas.openxmlformats.org/markup-compatibility/2006">
          <mc:Choice Requires="x14">
            <control shapeId="130190" r:id="rId60" name="Option Button 142">
              <controlPr defaultSize="0" autoFill="0" autoLine="0" autoPict="0">
                <anchor moveWithCells="1">
                  <from>
                    <xdr:col>8</xdr:col>
                    <xdr:colOff>257175</xdr:colOff>
                    <xdr:row>61</xdr:row>
                    <xdr:rowOff>38100</xdr:rowOff>
                  </from>
                  <to>
                    <xdr:col>8</xdr:col>
                    <xdr:colOff>619125</xdr:colOff>
                    <xdr:row>61</xdr:row>
                    <xdr:rowOff>228600</xdr:rowOff>
                  </to>
                </anchor>
              </controlPr>
            </control>
          </mc:Choice>
        </mc:AlternateContent>
        <mc:AlternateContent xmlns:mc="http://schemas.openxmlformats.org/markup-compatibility/2006">
          <mc:Choice Requires="x14">
            <control shapeId="130191" r:id="rId61" name="Option Button 143">
              <controlPr defaultSize="0" autoFill="0" autoLine="0" autoPict="0">
                <anchor moveWithCells="1">
                  <from>
                    <xdr:col>10</xdr:col>
                    <xdr:colOff>38100</xdr:colOff>
                    <xdr:row>61</xdr:row>
                    <xdr:rowOff>57150</xdr:rowOff>
                  </from>
                  <to>
                    <xdr:col>13</xdr:col>
                    <xdr:colOff>9525</xdr:colOff>
                    <xdr:row>61</xdr:row>
                    <xdr:rowOff>228600</xdr:rowOff>
                  </to>
                </anchor>
              </controlPr>
            </control>
          </mc:Choice>
        </mc:AlternateContent>
        <mc:AlternateContent xmlns:mc="http://schemas.openxmlformats.org/markup-compatibility/2006">
          <mc:Choice Requires="x14">
            <control shapeId="130192" r:id="rId62" name="Option Button 144">
              <controlPr defaultSize="0" autoFill="0" autoLine="0" autoPict="0">
                <anchor moveWithCells="1">
                  <from>
                    <xdr:col>16</xdr:col>
                    <xdr:colOff>0</xdr:colOff>
                    <xdr:row>61</xdr:row>
                    <xdr:rowOff>38100</xdr:rowOff>
                  </from>
                  <to>
                    <xdr:col>18</xdr:col>
                    <xdr:colOff>85725</xdr:colOff>
                    <xdr:row>61</xdr:row>
                    <xdr:rowOff>209550</xdr:rowOff>
                  </to>
                </anchor>
              </controlPr>
            </control>
          </mc:Choice>
        </mc:AlternateContent>
        <mc:AlternateContent xmlns:mc="http://schemas.openxmlformats.org/markup-compatibility/2006">
          <mc:Choice Requires="x14">
            <control shapeId="130193" r:id="rId63" name="Option Button 145">
              <controlPr defaultSize="0" autoFill="0" autoLine="0" autoPict="0">
                <anchor moveWithCells="1">
                  <from>
                    <xdr:col>5</xdr:col>
                    <xdr:colOff>257175</xdr:colOff>
                    <xdr:row>62</xdr:row>
                    <xdr:rowOff>57150</xdr:rowOff>
                  </from>
                  <to>
                    <xdr:col>6</xdr:col>
                    <xdr:colOff>276225</xdr:colOff>
                    <xdr:row>62</xdr:row>
                    <xdr:rowOff>238125</xdr:rowOff>
                  </to>
                </anchor>
              </controlPr>
            </control>
          </mc:Choice>
        </mc:AlternateContent>
        <mc:AlternateContent xmlns:mc="http://schemas.openxmlformats.org/markup-compatibility/2006">
          <mc:Choice Requires="x14">
            <control shapeId="130195" r:id="rId64" name="Option Button 147">
              <controlPr defaultSize="0" autoFill="0" autoLine="0" autoPict="0">
                <anchor moveWithCells="1">
                  <from>
                    <xdr:col>7</xdr:col>
                    <xdr:colOff>95250</xdr:colOff>
                    <xdr:row>62</xdr:row>
                    <xdr:rowOff>38100</xdr:rowOff>
                  </from>
                  <to>
                    <xdr:col>7</xdr:col>
                    <xdr:colOff>438150</xdr:colOff>
                    <xdr:row>62</xdr:row>
                    <xdr:rowOff>238125</xdr:rowOff>
                  </to>
                </anchor>
              </controlPr>
            </control>
          </mc:Choice>
        </mc:AlternateContent>
        <mc:AlternateContent xmlns:mc="http://schemas.openxmlformats.org/markup-compatibility/2006">
          <mc:Choice Requires="x14">
            <control shapeId="130197" r:id="rId65" name="Option Button 149">
              <controlPr defaultSize="0" autoFill="0" autoLine="0" autoPict="0">
                <anchor moveWithCells="1">
                  <from>
                    <xdr:col>8</xdr:col>
                    <xdr:colOff>257175</xdr:colOff>
                    <xdr:row>62</xdr:row>
                    <xdr:rowOff>47625</xdr:rowOff>
                  </from>
                  <to>
                    <xdr:col>8</xdr:col>
                    <xdr:colOff>609600</xdr:colOff>
                    <xdr:row>62</xdr:row>
                    <xdr:rowOff>238125</xdr:rowOff>
                  </to>
                </anchor>
              </controlPr>
            </control>
          </mc:Choice>
        </mc:AlternateContent>
        <mc:AlternateContent xmlns:mc="http://schemas.openxmlformats.org/markup-compatibility/2006">
          <mc:Choice Requires="x14">
            <control shapeId="130198" r:id="rId66" name="Option Button 150">
              <controlPr defaultSize="0" autoFill="0" autoLine="0" autoPict="0">
                <anchor moveWithCells="1">
                  <from>
                    <xdr:col>10</xdr:col>
                    <xdr:colOff>38100</xdr:colOff>
                    <xdr:row>62</xdr:row>
                    <xdr:rowOff>38100</xdr:rowOff>
                  </from>
                  <to>
                    <xdr:col>13</xdr:col>
                    <xdr:colOff>28575</xdr:colOff>
                    <xdr:row>62</xdr:row>
                    <xdr:rowOff>219075</xdr:rowOff>
                  </to>
                </anchor>
              </controlPr>
            </control>
          </mc:Choice>
        </mc:AlternateContent>
        <mc:AlternateContent xmlns:mc="http://schemas.openxmlformats.org/markup-compatibility/2006">
          <mc:Choice Requires="x14">
            <control shapeId="130200" r:id="rId67" name="Option Button 152">
              <controlPr defaultSize="0" autoFill="0" autoLine="0" autoPict="0">
                <anchor moveWithCells="1">
                  <from>
                    <xdr:col>16</xdr:col>
                    <xdr:colOff>0</xdr:colOff>
                    <xdr:row>62</xdr:row>
                    <xdr:rowOff>57150</xdr:rowOff>
                  </from>
                  <to>
                    <xdr:col>18</xdr:col>
                    <xdr:colOff>0</xdr:colOff>
                    <xdr:row>62</xdr:row>
                    <xdr:rowOff>219075</xdr:rowOff>
                  </to>
                </anchor>
              </controlPr>
            </control>
          </mc:Choice>
        </mc:AlternateContent>
        <mc:AlternateContent xmlns:mc="http://schemas.openxmlformats.org/markup-compatibility/2006">
          <mc:Choice Requires="x14">
            <control shapeId="130201" r:id="rId68" name="Option Button 153">
              <controlPr defaultSize="0" autoFill="0" autoLine="0" autoPict="0">
                <anchor moveWithCells="1">
                  <from>
                    <xdr:col>5</xdr:col>
                    <xdr:colOff>257175</xdr:colOff>
                    <xdr:row>63</xdr:row>
                    <xdr:rowOff>47625</xdr:rowOff>
                  </from>
                  <to>
                    <xdr:col>6</xdr:col>
                    <xdr:colOff>200025</xdr:colOff>
                    <xdr:row>63</xdr:row>
                    <xdr:rowOff>228600</xdr:rowOff>
                  </to>
                </anchor>
              </controlPr>
            </control>
          </mc:Choice>
        </mc:AlternateContent>
        <mc:AlternateContent xmlns:mc="http://schemas.openxmlformats.org/markup-compatibility/2006">
          <mc:Choice Requires="x14">
            <control shapeId="130202" r:id="rId69" name="Option Button 154">
              <controlPr defaultSize="0" autoFill="0" autoLine="0" autoPict="0">
                <anchor moveWithCells="1">
                  <from>
                    <xdr:col>7</xdr:col>
                    <xdr:colOff>104775</xdr:colOff>
                    <xdr:row>63</xdr:row>
                    <xdr:rowOff>47625</xdr:rowOff>
                  </from>
                  <to>
                    <xdr:col>7</xdr:col>
                    <xdr:colOff>428625</xdr:colOff>
                    <xdr:row>63</xdr:row>
                    <xdr:rowOff>219075</xdr:rowOff>
                  </to>
                </anchor>
              </controlPr>
            </control>
          </mc:Choice>
        </mc:AlternateContent>
        <mc:AlternateContent xmlns:mc="http://schemas.openxmlformats.org/markup-compatibility/2006">
          <mc:Choice Requires="x14">
            <control shapeId="130204" r:id="rId70" name="Option Button 156">
              <controlPr defaultSize="0" autoFill="0" autoLine="0" autoPict="0">
                <anchor moveWithCells="1">
                  <from>
                    <xdr:col>8</xdr:col>
                    <xdr:colOff>257175</xdr:colOff>
                    <xdr:row>63</xdr:row>
                    <xdr:rowOff>47625</xdr:rowOff>
                  </from>
                  <to>
                    <xdr:col>8</xdr:col>
                    <xdr:colOff>581025</xdr:colOff>
                    <xdr:row>63</xdr:row>
                    <xdr:rowOff>238125</xdr:rowOff>
                  </to>
                </anchor>
              </controlPr>
            </control>
          </mc:Choice>
        </mc:AlternateContent>
        <mc:AlternateContent xmlns:mc="http://schemas.openxmlformats.org/markup-compatibility/2006">
          <mc:Choice Requires="x14">
            <control shapeId="130205" r:id="rId71" name="Option Button 157">
              <controlPr defaultSize="0" autoFill="0" autoLine="0" autoPict="0">
                <anchor moveWithCells="1">
                  <from>
                    <xdr:col>10</xdr:col>
                    <xdr:colOff>38100</xdr:colOff>
                    <xdr:row>63</xdr:row>
                    <xdr:rowOff>47625</xdr:rowOff>
                  </from>
                  <to>
                    <xdr:col>12</xdr:col>
                    <xdr:colOff>95250</xdr:colOff>
                    <xdr:row>63</xdr:row>
                    <xdr:rowOff>228600</xdr:rowOff>
                  </to>
                </anchor>
              </controlPr>
            </control>
          </mc:Choice>
        </mc:AlternateContent>
        <mc:AlternateContent xmlns:mc="http://schemas.openxmlformats.org/markup-compatibility/2006">
          <mc:Choice Requires="x14">
            <control shapeId="130206" r:id="rId72" name="Option Button 158">
              <controlPr defaultSize="0" autoFill="0" autoLine="0" autoPict="0">
                <anchor moveWithCells="1">
                  <from>
                    <xdr:col>16</xdr:col>
                    <xdr:colOff>0</xdr:colOff>
                    <xdr:row>63</xdr:row>
                    <xdr:rowOff>47625</xdr:rowOff>
                  </from>
                  <to>
                    <xdr:col>18</xdr:col>
                    <xdr:colOff>0</xdr:colOff>
                    <xdr:row>63</xdr:row>
                    <xdr:rowOff>238125</xdr:rowOff>
                  </to>
                </anchor>
              </controlPr>
            </control>
          </mc:Choice>
        </mc:AlternateContent>
        <mc:AlternateContent xmlns:mc="http://schemas.openxmlformats.org/markup-compatibility/2006">
          <mc:Choice Requires="x14">
            <control shapeId="130207" r:id="rId73" name="Option Button 159">
              <controlPr defaultSize="0" autoFill="0" autoLine="0" autoPict="0">
                <anchor moveWithCells="1">
                  <from>
                    <xdr:col>5</xdr:col>
                    <xdr:colOff>257175</xdr:colOff>
                    <xdr:row>64</xdr:row>
                    <xdr:rowOff>47625</xdr:rowOff>
                  </from>
                  <to>
                    <xdr:col>6</xdr:col>
                    <xdr:colOff>257175</xdr:colOff>
                    <xdr:row>64</xdr:row>
                    <xdr:rowOff>209550</xdr:rowOff>
                  </to>
                </anchor>
              </controlPr>
            </control>
          </mc:Choice>
        </mc:AlternateContent>
        <mc:AlternateContent xmlns:mc="http://schemas.openxmlformats.org/markup-compatibility/2006">
          <mc:Choice Requires="x14">
            <control shapeId="130208" r:id="rId74" name="Option Button 160">
              <controlPr defaultSize="0" autoFill="0" autoLine="0" autoPict="0">
                <anchor moveWithCells="1">
                  <from>
                    <xdr:col>7</xdr:col>
                    <xdr:colOff>104775</xdr:colOff>
                    <xdr:row>64</xdr:row>
                    <xdr:rowOff>28575</xdr:rowOff>
                  </from>
                  <to>
                    <xdr:col>7</xdr:col>
                    <xdr:colOff>476250</xdr:colOff>
                    <xdr:row>64</xdr:row>
                    <xdr:rowOff>247650</xdr:rowOff>
                  </to>
                </anchor>
              </controlPr>
            </control>
          </mc:Choice>
        </mc:AlternateContent>
        <mc:AlternateContent xmlns:mc="http://schemas.openxmlformats.org/markup-compatibility/2006">
          <mc:Choice Requires="x14">
            <control shapeId="130209" r:id="rId75" name="Option Button 161">
              <controlPr defaultSize="0" autoFill="0" autoLine="0" autoPict="0">
                <anchor moveWithCells="1">
                  <from>
                    <xdr:col>8</xdr:col>
                    <xdr:colOff>257175</xdr:colOff>
                    <xdr:row>64</xdr:row>
                    <xdr:rowOff>38100</xdr:rowOff>
                  </from>
                  <to>
                    <xdr:col>8</xdr:col>
                    <xdr:colOff>590550</xdr:colOff>
                    <xdr:row>64</xdr:row>
                    <xdr:rowOff>238125</xdr:rowOff>
                  </to>
                </anchor>
              </controlPr>
            </control>
          </mc:Choice>
        </mc:AlternateContent>
        <mc:AlternateContent xmlns:mc="http://schemas.openxmlformats.org/markup-compatibility/2006">
          <mc:Choice Requires="x14">
            <control shapeId="130210" r:id="rId76" name="Option Button 162">
              <controlPr defaultSize="0" autoFill="0" autoLine="0" autoPict="0">
                <anchor moveWithCells="1">
                  <from>
                    <xdr:col>10</xdr:col>
                    <xdr:colOff>28575</xdr:colOff>
                    <xdr:row>64</xdr:row>
                    <xdr:rowOff>28575</xdr:rowOff>
                  </from>
                  <to>
                    <xdr:col>12</xdr:col>
                    <xdr:colOff>95250</xdr:colOff>
                    <xdr:row>64</xdr:row>
                    <xdr:rowOff>247650</xdr:rowOff>
                  </to>
                </anchor>
              </controlPr>
            </control>
          </mc:Choice>
        </mc:AlternateContent>
        <mc:AlternateContent xmlns:mc="http://schemas.openxmlformats.org/markup-compatibility/2006">
          <mc:Choice Requires="x14">
            <control shapeId="130211" r:id="rId77" name="Option Button 163">
              <controlPr defaultSize="0" autoFill="0" autoLine="0" autoPict="0">
                <anchor moveWithCells="1">
                  <from>
                    <xdr:col>16</xdr:col>
                    <xdr:colOff>0</xdr:colOff>
                    <xdr:row>64</xdr:row>
                    <xdr:rowOff>38100</xdr:rowOff>
                  </from>
                  <to>
                    <xdr:col>18</xdr:col>
                    <xdr:colOff>76200</xdr:colOff>
                    <xdr:row>64</xdr:row>
                    <xdr:rowOff>219075</xdr:rowOff>
                  </to>
                </anchor>
              </controlPr>
            </control>
          </mc:Choice>
        </mc:AlternateContent>
        <mc:AlternateContent xmlns:mc="http://schemas.openxmlformats.org/markup-compatibility/2006">
          <mc:Choice Requires="x14">
            <control shapeId="130212" r:id="rId78" name="Option Button 164">
              <controlPr defaultSize="0" autoFill="0" autoLine="0" autoPict="0">
                <anchor moveWithCells="1">
                  <from>
                    <xdr:col>5</xdr:col>
                    <xdr:colOff>266700</xdr:colOff>
                    <xdr:row>65</xdr:row>
                    <xdr:rowOff>47625</xdr:rowOff>
                  </from>
                  <to>
                    <xdr:col>6</xdr:col>
                    <xdr:colOff>247650</xdr:colOff>
                    <xdr:row>65</xdr:row>
                    <xdr:rowOff>238125</xdr:rowOff>
                  </to>
                </anchor>
              </controlPr>
            </control>
          </mc:Choice>
        </mc:AlternateContent>
        <mc:AlternateContent xmlns:mc="http://schemas.openxmlformats.org/markup-compatibility/2006">
          <mc:Choice Requires="x14">
            <control shapeId="130213" r:id="rId79" name="Option Button 165">
              <controlPr defaultSize="0" autoFill="0" autoLine="0" autoPict="0">
                <anchor moveWithCells="1">
                  <from>
                    <xdr:col>7</xdr:col>
                    <xdr:colOff>104775</xdr:colOff>
                    <xdr:row>65</xdr:row>
                    <xdr:rowOff>38100</xdr:rowOff>
                  </from>
                  <to>
                    <xdr:col>7</xdr:col>
                    <xdr:colOff>504825</xdr:colOff>
                    <xdr:row>65</xdr:row>
                    <xdr:rowOff>228600</xdr:rowOff>
                  </to>
                </anchor>
              </controlPr>
            </control>
          </mc:Choice>
        </mc:AlternateContent>
        <mc:AlternateContent xmlns:mc="http://schemas.openxmlformats.org/markup-compatibility/2006">
          <mc:Choice Requires="x14">
            <control shapeId="130214" r:id="rId80" name="Option Button 166">
              <controlPr defaultSize="0" autoFill="0" autoLine="0" autoPict="0">
                <anchor moveWithCells="1">
                  <from>
                    <xdr:col>8</xdr:col>
                    <xdr:colOff>257175</xdr:colOff>
                    <xdr:row>65</xdr:row>
                    <xdr:rowOff>47625</xdr:rowOff>
                  </from>
                  <to>
                    <xdr:col>8</xdr:col>
                    <xdr:colOff>657225</xdr:colOff>
                    <xdr:row>65</xdr:row>
                    <xdr:rowOff>238125</xdr:rowOff>
                  </to>
                </anchor>
              </controlPr>
            </control>
          </mc:Choice>
        </mc:AlternateContent>
        <mc:AlternateContent xmlns:mc="http://schemas.openxmlformats.org/markup-compatibility/2006">
          <mc:Choice Requires="x14">
            <control shapeId="130215" r:id="rId81" name="Option Button 167">
              <controlPr defaultSize="0" autoFill="0" autoLine="0" autoPict="0">
                <anchor moveWithCells="1">
                  <from>
                    <xdr:col>10</xdr:col>
                    <xdr:colOff>28575</xdr:colOff>
                    <xdr:row>65</xdr:row>
                    <xdr:rowOff>66675</xdr:rowOff>
                  </from>
                  <to>
                    <xdr:col>13</xdr:col>
                    <xdr:colOff>19050</xdr:colOff>
                    <xdr:row>65</xdr:row>
                    <xdr:rowOff>238125</xdr:rowOff>
                  </to>
                </anchor>
              </controlPr>
            </control>
          </mc:Choice>
        </mc:AlternateContent>
        <mc:AlternateContent xmlns:mc="http://schemas.openxmlformats.org/markup-compatibility/2006">
          <mc:Choice Requires="x14">
            <control shapeId="130218" r:id="rId82" name="Option Button 170">
              <controlPr defaultSize="0" autoFill="0" autoLine="0" autoPict="0">
                <anchor moveWithCells="1">
                  <from>
                    <xdr:col>16</xdr:col>
                    <xdr:colOff>0</xdr:colOff>
                    <xdr:row>65</xdr:row>
                    <xdr:rowOff>66675</xdr:rowOff>
                  </from>
                  <to>
                    <xdr:col>18</xdr:col>
                    <xdr:colOff>19050</xdr:colOff>
                    <xdr:row>65</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BI62"/>
  <sheetViews>
    <sheetView showGridLines="0" zoomScaleNormal="100" workbookViewId="0">
      <selection activeCell="I10" sqref="I10:K10"/>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2" t="s">
        <v>229</v>
      </c>
      <c r="E2" s="1212"/>
      <c r="F2" s="1212"/>
      <c r="G2" s="1326" t="str">
        <f>C.2Name</f>
        <v>2012 PM 2.5 Annual NAAQS Infrastructure SIP, and Interstate Transport Submittal for PM 2.5, Pb, SO2, NO2</v>
      </c>
      <c r="H2" s="1326"/>
      <c r="I2" s="1326"/>
      <c r="J2" s="1326"/>
      <c r="K2" s="1326"/>
      <c r="L2" s="1326"/>
      <c r="M2" s="1326"/>
      <c r="N2" s="1326"/>
      <c r="O2" s="1326"/>
      <c r="P2" s="1326"/>
      <c r="Q2" s="1326"/>
      <c r="R2" s="1326"/>
      <c r="S2" s="200"/>
      <c r="T2" s="563"/>
      <c r="U2" s="1240"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40"/>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82" t="s">
        <v>699</v>
      </c>
      <c r="E4" s="1282"/>
      <c r="F4" s="1282"/>
      <c r="G4" s="1282"/>
      <c r="H4" s="1282"/>
      <c r="I4" s="1282"/>
      <c r="J4" s="1282"/>
      <c r="K4" s="1282"/>
      <c r="L4" s="1282"/>
      <c r="M4" s="1282"/>
      <c r="N4" s="1282"/>
      <c r="O4" s="1282"/>
      <c r="P4" s="1282"/>
      <c r="Q4" s="1282"/>
      <c r="R4" s="1282"/>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83" t="s">
        <v>228</v>
      </c>
      <c r="E5" s="1283"/>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94" t="s">
        <v>310</v>
      </c>
      <c r="J6" s="1294"/>
      <c r="K6" s="1294"/>
      <c r="L6" s="1294"/>
      <c r="M6" s="1294"/>
      <c r="N6" s="1294"/>
      <c r="O6" s="1294"/>
      <c r="P6" s="1294"/>
      <c r="Q6" s="1294"/>
      <c r="R6" s="114"/>
      <c r="S6" s="362"/>
      <c r="T6" s="563"/>
      <c r="U6" s="552" t="s">
        <v>0</v>
      </c>
      <c r="V6" s="161"/>
      <c r="W6" s="161"/>
      <c r="X6" s="50"/>
      <c r="Y6" s="50"/>
      <c r="Z6" s="52">
        <f>COUNTIF($I$8:$I$13,"X")</f>
        <v>2</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287" t="s">
        <v>312</v>
      </c>
      <c r="J7" s="1287"/>
      <c r="K7" s="1287"/>
      <c r="L7" s="1291" t="s">
        <v>311</v>
      </c>
      <c r="M7" s="1291"/>
      <c r="N7" s="1291"/>
      <c r="O7" s="1287" t="s">
        <v>313</v>
      </c>
      <c r="P7" s="1287"/>
      <c r="Q7" s="1287"/>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308" t="str">
        <f>IF(AB6&gt;0,"thousands of ",IF(AA6&gt;0,"hundreds of ", IF(Z6&gt;0,"under one hundred ","")))</f>
        <v xml:space="preserve">under one hundred </v>
      </c>
      <c r="AA7" s="1308"/>
      <c r="AB7" s="1308"/>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8" t="s">
        <v>1067</v>
      </c>
      <c r="J8" s="1289"/>
      <c r="K8" s="1290"/>
      <c r="L8" s="1288"/>
      <c r="M8" s="1289"/>
      <c r="N8" s="1290"/>
      <c r="O8" s="1292"/>
      <c r="P8" s="1292"/>
      <c r="Q8" s="1292"/>
      <c r="R8" s="114"/>
      <c r="S8" s="205"/>
      <c r="T8" s="563"/>
      <c r="U8" s="313" t="s">
        <v>316</v>
      </c>
      <c r="V8" s="313"/>
      <c r="W8" s="167"/>
      <c r="X8" s="665">
        <v>2</v>
      </c>
      <c r="Y8" s="470">
        <f>IF($O8="X",3,IF($L8="X",2,IF($I8="X",1,"0")))</f>
        <v>1</v>
      </c>
      <c r="Z8" s="470" t="str">
        <f>IF($O8="X"," thousands",IF($L8="X"," hundreds",IF($I8="X"," under 100","")))</f>
        <v xml:space="preserve"> under 100</v>
      </c>
      <c r="AA8" s="637" t="str">
        <f>IF(X8=1,"not affected ",IF(X8=2,"affects "&amp;Z8&amp;" currently regulated","affects "&amp;Z8&amp;" previously unregulated"))</f>
        <v>affects  under 100 currently regulated</v>
      </c>
      <c r="AB8" s="638">
        <f>IF(X8=1,0,IF(X8=3,5,X8+Y8))</f>
        <v>3</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8" t="s">
        <v>1067</v>
      </c>
      <c r="J9" s="1289"/>
      <c r="K9" s="1290"/>
      <c r="L9" s="1288"/>
      <c r="M9" s="1289"/>
      <c r="N9" s="1290"/>
      <c r="O9" s="1292"/>
      <c r="P9" s="1292"/>
      <c r="Q9" s="1292"/>
      <c r="R9" s="350"/>
      <c r="S9" s="205"/>
      <c r="T9" s="563"/>
      <c r="U9" s="313" t="s">
        <v>316</v>
      </c>
      <c r="V9" s="167"/>
      <c r="W9" s="167"/>
      <c r="X9" s="665">
        <v>2</v>
      </c>
      <c r="Y9" s="470">
        <f t="shared" ref="Y9:Y13" si="0">IF($O9="X",2,IF($L9="X",1,IF($I9="X",1,"0")))</f>
        <v>1</v>
      </c>
      <c r="Z9" s="470" t="str">
        <f t="shared" ref="Z9:Z13" si="1">IF($O9="X"," thousands",IF($L9="X"," hundreds",IF($I9="X"," under 100","")))</f>
        <v xml:space="preserve"> under 100</v>
      </c>
      <c r="AA9" s="637" t="str">
        <f t="shared" ref="AA9:AA13" si="2">IF(X9=1,"not affected ",IF(X9=2,"affects "&amp;Z9&amp;" currently regulated","affects "&amp;Z9&amp;" previously unregulated"))</f>
        <v>affects  under 100 currently regulated</v>
      </c>
      <c r="AB9" s="638">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93"/>
      <c r="J10" s="1293"/>
      <c r="K10" s="1293"/>
      <c r="L10" s="1288"/>
      <c r="M10" s="1289"/>
      <c r="N10" s="1290"/>
      <c r="O10" s="1292"/>
      <c r="P10" s="1292"/>
      <c r="Q10" s="1292"/>
      <c r="R10" s="350"/>
      <c r="S10" s="205"/>
      <c r="T10" s="563"/>
      <c r="U10" s="313" t="s">
        <v>316</v>
      </c>
      <c r="V10" s="167"/>
      <c r="W10" s="167"/>
      <c r="X10" s="665">
        <v>1</v>
      </c>
      <c r="Y10" s="470" t="str">
        <f t="shared" si="0"/>
        <v>0</v>
      </c>
      <c r="Z10" s="470" t="str">
        <f t="shared" si="1"/>
        <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93"/>
      <c r="J11" s="1293"/>
      <c r="K11" s="1293"/>
      <c r="L11" s="1288"/>
      <c r="M11" s="1289"/>
      <c r="N11" s="1290"/>
      <c r="O11" s="1292"/>
      <c r="P11" s="1292"/>
      <c r="Q11" s="1292"/>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93"/>
      <c r="J12" s="1293"/>
      <c r="K12" s="1293"/>
      <c r="L12" s="1288"/>
      <c r="M12" s="1289"/>
      <c r="N12" s="1290"/>
      <c r="O12" s="1292"/>
      <c r="P12" s="1292"/>
      <c r="Q12" s="1292"/>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93"/>
      <c r="J13" s="1293"/>
      <c r="K13" s="1293"/>
      <c r="L13" s="1288"/>
      <c r="M13" s="1289"/>
      <c r="N13" s="1290"/>
      <c r="O13" s="1292"/>
      <c r="P13" s="1292"/>
      <c r="Q13" s="1292"/>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12" t="s">
        <v>238</v>
      </c>
      <c r="E14" s="1312"/>
      <c r="F14" s="1312"/>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84" t="s">
        <v>217</v>
      </c>
      <c r="E16" s="1285"/>
      <c r="F16" s="1286"/>
      <c r="G16" s="1286"/>
      <c r="H16" s="1309"/>
      <c r="I16" s="1309"/>
      <c r="J16" s="1309"/>
      <c r="K16" s="1309"/>
      <c r="L16" s="1309"/>
      <c r="M16" s="1309"/>
      <c r="N16" s="1309"/>
      <c r="O16" s="1309"/>
      <c r="P16" s="1309"/>
      <c r="Q16" s="1309"/>
      <c r="R16" s="1309"/>
      <c r="S16" s="212"/>
      <c r="T16" s="563"/>
      <c r="U16" s="399"/>
      <c r="W16" s="159"/>
      <c r="X16" s="144">
        <v>2</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low/medium, minor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1" t="s">
        <v>343</v>
      </c>
      <c r="E18" s="1301"/>
      <c r="F18" s="1301"/>
      <c r="G18" s="1301"/>
      <c r="H18" s="1301"/>
      <c r="I18" s="1301"/>
      <c r="J18" s="1301"/>
      <c r="K18" s="1301"/>
      <c r="L18" s="1301"/>
      <c r="M18" s="1301"/>
      <c r="N18" s="1301"/>
      <c r="O18" s="1301"/>
      <c r="P18" s="1301"/>
      <c r="Q18" s="1301"/>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7" t="s">
        <v>194</v>
      </c>
      <c r="G19" s="1307"/>
      <c r="H19" s="1303" t="s">
        <v>7</v>
      </c>
      <c r="I19" s="1303"/>
      <c r="J19" s="1303"/>
      <c r="K19" s="1303"/>
      <c r="L19" s="1303"/>
      <c r="M19" s="1303"/>
      <c r="N19" s="1303"/>
      <c r="O19" s="1303"/>
      <c r="P19" s="1303"/>
      <c r="Q19" s="1303"/>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8" t="s">
        <v>334</v>
      </c>
      <c r="E20" s="1279"/>
      <c r="F20" s="1302" t="s">
        <v>200</v>
      </c>
      <c r="G20" s="1302"/>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2</v>
      </c>
      <c r="Y20" s="888" t="str">
        <f>F20</f>
        <v>minor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8" t="s">
        <v>335</v>
      </c>
      <c r="E21" s="1279"/>
      <c r="F21" s="1302" t="s">
        <v>200</v>
      </c>
      <c r="G21" s="1302"/>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2</v>
      </c>
      <c r="Y21" s="888" t="str">
        <f t="shared" ref="Y21:Y30" si="5">F21</f>
        <v>minor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8" t="s">
        <v>336</v>
      </c>
      <c r="E22" s="1279"/>
      <c r="F22" s="1302" t="s">
        <v>200</v>
      </c>
      <c r="G22" s="1302"/>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8" t="s">
        <v>337</v>
      </c>
      <c r="E23" s="1279"/>
      <c r="F23" s="1302" t="s">
        <v>200</v>
      </c>
      <c r="G23" s="1302"/>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8" t="s">
        <v>338</v>
      </c>
      <c r="E24" s="1279"/>
      <c r="F24" s="1302" t="s">
        <v>200</v>
      </c>
      <c r="G24" s="1302"/>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2</v>
      </c>
      <c r="Y24" s="888"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8" t="s">
        <v>339</v>
      </c>
      <c r="E25" s="1279"/>
      <c r="F25" s="1302" t="s">
        <v>202</v>
      </c>
      <c r="G25" s="1302"/>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8" t="s">
        <v>340</v>
      </c>
      <c r="E26" s="1279"/>
      <c r="F26" s="1302" t="s">
        <v>200</v>
      </c>
      <c r="G26" s="1302"/>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8" t="s">
        <v>341</v>
      </c>
      <c r="E27" s="1279"/>
      <c r="F27" s="1302" t="s">
        <v>200</v>
      </c>
      <c r="G27" s="1302"/>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2</v>
      </c>
      <c r="Y27" s="888"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8" t="s">
        <v>342</v>
      </c>
      <c r="E28" s="1279"/>
      <c r="F28" s="1302" t="s">
        <v>200</v>
      </c>
      <c r="G28" s="1302"/>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2</v>
      </c>
      <c r="Y28" s="888" t="str">
        <f t="shared" si="5"/>
        <v>minor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6" t="s">
        <v>213</v>
      </c>
      <c r="E29" s="1277"/>
      <c r="F29" s="1302" t="s">
        <v>4</v>
      </c>
      <c r="G29" s="1302"/>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6" t="s">
        <v>213</v>
      </c>
      <c r="E30" s="1277"/>
      <c r="F30" s="1302" t="s">
        <v>4</v>
      </c>
      <c r="G30" s="1302"/>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2.2222222222222223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13" t="s">
        <v>0</v>
      </c>
      <c r="E35" s="1314"/>
      <c r="F35" s="1314"/>
      <c r="G35" s="1314"/>
      <c r="H35" s="1314"/>
      <c r="I35" s="1314"/>
      <c r="J35" s="1314"/>
      <c r="K35" s="1314"/>
      <c r="L35" s="1314"/>
      <c r="M35" s="1314"/>
      <c r="N35" s="1314"/>
      <c r="O35" s="1314"/>
      <c r="P35" s="1314"/>
      <c r="Q35" s="1314"/>
      <c r="R35" s="1315"/>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311" t="s">
        <v>437</v>
      </c>
      <c r="G36" s="1311"/>
      <c r="H36" s="1311"/>
      <c r="I36" s="1311"/>
      <c r="J36" s="1311"/>
      <c r="K36" s="1311"/>
      <c r="L36" s="1311"/>
      <c r="M36" s="1311"/>
      <c r="N36" s="1311"/>
      <c r="O36" s="1311"/>
      <c r="P36" s="1311"/>
      <c r="Q36" s="1311"/>
      <c r="R36" s="1311"/>
      <c r="S36" s="346"/>
      <c r="T36" s="563"/>
      <c r="U36"/>
      <c r="V36" s="167"/>
      <c r="W36" s="167"/>
      <c r="X36" s="797" t="str">
        <f>C.3InterestDialog&amp;" "&amp;X41&amp;Z41</f>
        <v xml:space="preserve">Interest in this proposal is low/medium. DEQ does not plan to appoint an advisory committee.  </v>
      </c>
      <c r="Y36" s="977" t="b">
        <f>IF(X37&gt;1,TRUE,FALSE)</f>
        <v>0</v>
      </c>
      <c r="Z36" s="978" t="str">
        <f>X41&amp;Z41</f>
        <v xml:space="preserve">DEQ does not plan to appoint an advisory committee.  </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7" t="s">
        <v>441</v>
      </c>
      <c r="K37" s="1327"/>
      <c r="L37" s="1327"/>
      <c r="M37" s="1327"/>
      <c r="N37" s="1327"/>
      <c r="O37" s="1327"/>
      <c r="P37" s="1327"/>
      <c r="Q37" s="1327"/>
      <c r="R37" s="1327"/>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7" t="s">
        <v>328</v>
      </c>
      <c r="K38" s="1327"/>
      <c r="L38" s="1327"/>
      <c r="M38" s="1327"/>
      <c r="N38" s="1327"/>
      <c r="O38" s="1327"/>
      <c r="P38" s="1327"/>
      <c r="Q38" s="1327"/>
      <c r="R38" s="1327"/>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8" t="s">
        <v>442</v>
      </c>
      <c r="K39" s="1328"/>
      <c r="L39" s="1328"/>
      <c r="M39" s="1328"/>
      <c r="N39" s="1328"/>
      <c r="O39" s="1328"/>
      <c r="P39" s="1328"/>
      <c r="Q39" s="1328"/>
      <c r="R39" s="1328"/>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10" t="s">
        <v>213</v>
      </c>
      <c r="K40" s="1310"/>
      <c r="L40" s="1310"/>
      <c r="M40" s="1310"/>
      <c r="N40" s="1310"/>
      <c r="O40" s="1310"/>
      <c r="P40" s="1310"/>
      <c r="Q40" s="1310"/>
      <c r="R40" s="1310"/>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4" t="str">
        <f>" "&amp;AA37&amp;AB37&amp;AA38&amp;AB38&amp;AA39&amp;AB39&amp;AA40&amp;AB40&amp;""</f>
        <v xml:space="preserve">  </v>
      </c>
      <c r="AA41" s="1305"/>
      <c r="AB41" s="1306"/>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8" t="s">
        <v>0</v>
      </c>
      <c r="E44" s="1299"/>
      <c r="F44" s="1299"/>
      <c r="G44" s="1299"/>
      <c r="H44" s="1299"/>
      <c r="I44" s="1299"/>
      <c r="J44" s="1299"/>
      <c r="K44" s="1299"/>
      <c r="L44" s="1299"/>
      <c r="M44" s="1299"/>
      <c r="N44" s="1299"/>
      <c r="O44" s="1299"/>
      <c r="P44" s="1299"/>
      <c r="Q44" s="1299"/>
      <c r="R44" s="1300"/>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8" t="s">
        <v>0</v>
      </c>
      <c r="E46" s="1299"/>
      <c r="F46" s="1299"/>
      <c r="G46" s="1299"/>
      <c r="H46" s="1299"/>
      <c r="I46" s="1299"/>
      <c r="J46" s="1299"/>
      <c r="K46" s="1299"/>
      <c r="L46" s="1299"/>
      <c r="M46" s="1299"/>
      <c r="N46" s="1299"/>
      <c r="O46" s="1299"/>
      <c r="P46" s="1299"/>
      <c r="Q46" s="1299"/>
      <c r="R46" s="1300"/>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295"/>
      <c r="Y48" s="1296"/>
      <c r="Z48" s="1296"/>
      <c r="AA48" s="1296"/>
      <c r="AB48" s="1297"/>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24" t="s">
        <v>413</v>
      </c>
      <c r="E50" s="1324"/>
      <c r="F50" s="1324"/>
      <c r="G50" s="1281" t="s">
        <v>237</v>
      </c>
      <c r="H50" s="1281"/>
      <c r="I50" s="1281"/>
      <c r="J50" s="1281"/>
      <c r="K50" s="1281"/>
      <c r="L50" s="1281"/>
      <c r="M50" s="1281"/>
      <c r="N50" s="1281"/>
      <c r="O50" s="1281"/>
      <c r="P50" s="1281"/>
      <c r="Q50" s="1281"/>
      <c r="R50" s="1281"/>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1</v>
      </c>
      <c r="Y51" s="987" t="str">
        <f>IF(AND(X51=TRUE,X52=TRUE),"Regions &amp; Portland area",IF(X51=TRUE,"Portland area",IF(X52=TRUE,"Regional","none")))</f>
        <v>Portland area</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316" t="s">
        <v>323</v>
      </c>
      <c r="H54" s="1316"/>
      <c r="I54" s="1316"/>
      <c r="J54" s="1316"/>
      <c r="K54" s="1316"/>
      <c r="L54" s="1316"/>
      <c r="M54" s="1316"/>
      <c r="N54" s="1316"/>
      <c r="O54" s="1316"/>
      <c r="P54" s="1316"/>
      <c r="Q54" s="1316"/>
      <c r="R54" s="1316"/>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7"/>
      <c r="H55" s="1317"/>
      <c r="I55" s="1317"/>
      <c r="J55" s="1317"/>
      <c r="K55" s="1317"/>
      <c r="L55" s="1317"/>
      <c r="M55" s="1317"/>
      <c r="N55" s="1317"/>
      <c r="O55" s="1317"/>
      <c r="P55" s="1317"/>
      <c r="Q55" s="1317"/>
      <c r="R55" s="1317"/>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5"/>
      <c r="E56" s="1325"/>
      <c r="F56" s="1325"/>
      <c r="G56" s="1325"/>
      <c r="H56" s="1325"/>
      <c r="I56" s="1325"/>
      <c r="J56" s="1325"/>
      <c r="K56" s="1325"/>
      <c r="L56" s="1325"/>
      <c r="M56" s="1325"/>
      <c r="N56" s="1325"/>
      <c r="O56" s="1325"/>
      <c r="P56" s="1325"/>
      <c r="Q56" s="1325"/>
      <c r="R56" s="1325"/>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7" t="s">
        <v>198</v>
      </c>
      <c r="E57" s="1257"/>
      <c r="F57" s="1257"/>
      <c r="G57" s="1257"/>
      <c r="H57" s="1257"/>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21"/>
      <c r="E58" s="1322"/>
      <c r="F58" s="1322"/>
      <c r="G58" s="1322"/>
      <c r="H58" s="1322"/>
      <c r="I58" s="1322"/>
      <c r="J58" s="1322"/>
      <c r="K58" s="1322"/>
      <c r="L58" s="1322"/>
      <c r="M58" s="1322"/>
      <c r="N58" s="1322"/>
      <c r="O58" s="1322"/>
      <c r="P58" s="1322"/>
      <c r="Q58" s="1322"/>
      <c r="R58" s="1323"/>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8" t="s">
        <v>1062</v>
      </c>
      <c r="E60" s="1319"/>
      <c r="F60" s="1319"/>
      <c r="G60" s="1319"/>
      <c r="H60" s="1319"/>
      <c r="I60" s="1319"/>
      <c r="J60" s="1319"/>
      <c r="K60" s="1319"/>
      <c r="L60" s="1319"/>
      <c r="M60" s="1319"/>
      <c r="N60" s="1319"/>
      <c r="O60" s="1319"/>
      <c r="P60" s="1319"/>
      <c r="Q60" s="1319"/>
      <c r="R60" s="1320"/>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80">
        <f ca="1">TODAY()</f>
        <v>41960</v>
      </c>
      <c r="G61" s="1280"/>
      <c r="H61" s="1280"/>
      <c r="I61" s="1280"/>
      <c r="J61" s="1280"/>
      <c r="K61" s="1280"/>
      <c r="L61" s="1280"/>
      <c r="M61" s="1280"/>
      <c r="N61" s="1280"/>
      <c r="O61" s="1280"/>
      <c r="P61" s="1280"/>
      <c r="Q61" s="1280"/>
      <c r="R61" s="1280"/>
      <c r="S61" s="1280"/>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64" priority="90" stopIfTrue="1">
      <formula>IF($X20&lt;10,TRUE,)</formula>
    </cfRule>
  </conditionalFormatting>
  <conditionalFormatting sqref="Q58 Q60">
    <cfRule type="expression" dxfId="363" priority="5041" stopIfTrue="1">
      <formula>IF(AND(#REF!="H",$X57&lt;10),TRUE,)</formula>
    </cfRule>
  </conditionalFormatting>
  <conditionalFormatting sqref="H58 H60">
    <cfRule type="expression" dxfId="362" priority="5042" stopIfTrue="1">
      <formula>IF(AND(#REF!="H",$X57&lt;1),TRUE,)</formula>
    </cfRule>
  </conditionalFormatting>
  <conditionalFormatting sqref="I58 I60">
    <cfRule type="expression" dxfId="361" priority="5043" stopIfTrue="1">
      <formula>IF(AND(#REF!="H",$X57&lt;2),TRUE,)</formula>
    </cfRule>
  </conditionalFormatting>
  <conditionalFormatting sqref="K58 K60">
    <cfRule type="expression" dxfId="360" priority="5044" stopIfTrue="1">
      <formula>IF(AND(#REF!="H",$X57&lt;4),TRUE,)</formula>
    </cfRule>
  </conditionalFormatting>
  <conditionalFormatting sqref="L58 L60">
    <cfRule type="expression" dxfId="359" priority="5045" stopIfTrue="1">
      <formula>IF(AND(#REF!="H",$X57&lt;5),TRUE,)</formula>
    </cfRule>
  </conditionalFormatting>
  <conditionalFormatting sqref="M58 M60">
    <cfRule type="expression" dxfId="358" priority="5046" stopIfTrue="1">
      <formula>IF(AND(#REF!="H",$X57&lt;6),TRUE,)</formula>
    </cfRule>
  </conditionalFormatting>
  <conditionalFormatting sqref="N58 N60">
    <cfRule type="expression" dxfId="357" priority="5047" stopIfTrue="1">
      <formula>IF(AND(#REF!="H",$X57&lt;7),TRUE,)</formula>
    </cfRule>
  </conditionalFormatting>
  <conditionalFormatting sqref="O58 O60">
    <cfRule type="expression" dxfId="356" priority="5048" stopIfTrue="1">
      <formula>IF(AND(#REF!="H",$X57&lt;8),TRUE,)</formula>
    </cfRule>
  </conditionalFormatting>
  <conditionalFormatting sqref="P58 P60">
    <cfRule type="expression" dxfId="355" priority="5049" stopIfTrue="1">
      <formula>IF(AND(#REF!="H",$X57&lt;9),TRUE,)</formula>
    </cfRule>
  </conditionalFormatting>
  <conditionalFormatting sqref="J58 J60">
    <cfRule type="expression" dxfId="354" priority="5050" stopIfTrue="1">
      <formula>IF(AND(#REF!="H",$X57&lt;3),TRUE,)</formula>
    </cfRule>
  </conditionalFormatting>
  <conditionalFormatting sqref="H20:H26 H29:H33">
    <cfRule type="expression" dxfId="353" priority="4960" stopIfTrue="1">
      <formula>IF($X20&lt;1,TRUE,)</formula>
    </cfRule>
  </conditionalFormatting>
  <conditionalFormatting sqref="I20:I26 I29:I33">
    <cfRule type="expression" dxfId="352" priority="4964" stopIfTrue="1">
      <formula>IF($X20&lt;2,TRUE,)</formula>
    </cfRule>
  </conditionalFormatting>
  <conditionalFormatting sqref="J20:J26 J29:J33">
    <cfRule type="expression" dxfId="351" priority="4967" stopIfTrue="1">
      <formula>IF($X20&lt;3,TRUE,)</formula>
    </cfRule>
  </conditionalFormatting>
  <conditionalFormatting sqref="K20:K26 K29:K33">
    <cfRule type="expression" dxfId="350" priority="4970" stopIfTrue="1">
      <formula>IF($X20&lt;4,TRUE,)</formula>
    </cfRule>
  </conditionalFormatting>
  <conditionalFormatting sqref="L20:L26 L29:L33">
    <cfRule type="expression" dxfId="349" priority="4973" stopIfTrue="1">
      <formula>IF($X20&lt;5,TRUE,)</formula>
    </cfRule>
  </conditionalFormatting>
  <conditionalFormatting sqref="M29:S33 AD20:LR33 M20:S26">
    <cfRule type="expression" dxfId="348" priority="4976" stopIfTrue="1">
      <formula>IF($X20&lt;6,TRUE,)</formula>
    </cfRule>
  </conditionalFormatting>
  <conditionalFormatting sqref="N20:N26 N29:N33">
    <cfRule type="expression" dxfId="347" priority="4980" stopIfTrue="1">
      <formula>IF($X20&lt;7,TRUE,)</formula>
    </cfRule>
  </conditionalFormatting>
  <conditionalFormatting sqref="O20:O26 O29:O33">
    <cfRule type="expression" dxfId="346" priority="4984" stopIfTrue="1">
      <formula>IF($X20&lt;8,TRUE,)</formula>
    </cfRule>
  </conditionalFormatting>
  <conditionalFormatting sqref="P20:P26 P29:P33">
    <cfRule type="expression" dxfId="345" priority="4987" stopIfTrue="1">
      <formula>IF($X20&lt;9,TRUE,)</formula>
    </cfRule>
  </conditionalFormatting>
  <conditionalFormatting sqref="Q57">
    <cfRule type="expression" dxfId="344" priority="5109" stopIfTrue="1">
      <formula>IF(AND(#REF!="H",$X50&lt;10),TRUE,)</formula>
    </cfRule>
  </conditionalFormatting>
  <conditionalFormatting sqref="I57">
    <cfRule type="expression" dxfId="343" priority="5111" stopIfTrue="1">
      <formula>IF(AND(#REF!="H",$X50&lt;2),TRUE,)</formula>
    </cfRule>
  </conditionalFormatting>
  <conditionalFormatting sqref="K57">
    <cfRule type="expression" dxfId="342" priority="5112" stopIfTrue="1">
      <formula>IF(AND(#REF!="H",$X50&lt;4),TRUE,)</formula>
    </cfRule>
  </conditionalFormatting>
  <conditionalFormatting sqref="L57">
    <cfRule type="expression" dxfId="341" priority="5113" stopIfTrue="1">
      <formula>IF(AND(#REF!="H",$X50&lt;5),TRUE,)</formula>
    </cfRule>
  </conditionalFormatting>
  <conditionalFormatting sqref="M57">
    <cfRule type="expression" dxfId="340" priority="5114" stopIfTrue="1">
      <formula>IF(AND(#REF!="H",$X50&lt;6),TRUE,)</formula>
    </cfRule>
  </conditionalFormatting>
  <conditionalFormatting sqref="N57">
    <cfRule type="expression" dxfId="339" priority="5115" stopIfTrue="1">
      <formula>IF(AND(#REF!="H",$X50&lt;7),TRUE,)</formula>
    </cfRule>
  </conditionalFormatting>
  <conditionalFormatting sqref="O57">
    <cfRule type="expression" dxfId="338" priority="5116" stopIfTrue="1">
      <formula>IF(AND(#REF!="H",$X50&lt;8),TRUE,)</formula>
    </cfRule>
  </conditionalFormatting>
  <conditionalFormatting sqref="P57">
    <cfRule type="expression" dxfId="337" priority="5117" stopIfTrue="1">
      <formula>IF(AND(#REF!="H",$X50&lt;9),TRUE,)</formula>
    </cfRule>
  </conditionalFormatting>
  <conditionalFormatting sqref="J57">
    <cfRule type="expression" dxfId="336" priority="5118" stopIfTrue="1">
      <formula>IF(AND(#REF!="H",$X50&lt;3),TRUE,)</formula>
    </cfRule>
  </conditionalFormatting>
  <conditionalFormatting sqref="Q59">
    <cfRule type="expression" dxfId="335" priority="5121" stopIfTrue="1">
      <formula>IF(AND(#REF!="H",#REF!&lt;10),TRUE,)</formula>
    </cfRule>
  </conditionalFormatting>
  <conditionalFormatting sqref="H59">
    <cfRule type="expression" dxfId="334" priority="5124" stopIfTrue="1">
      <formula>IF(AND(#REF!="H",#REF!&lt;1),TRUE,)</formula>
    </cfRule>
  </conditionalFormatting>
  <conditionalFormatting sqref="I59">
    <cfRule type="expression" dxfId="333" priority="5127" stopIfTrue="1">
      <formula>IF(AND(#REF!="H",#REF!&lt;2),TRUE,)</formula>
    </cfRule>
  </conditionalFormatting>
  <conditionalFormatting sqref="K59">
    <cfRule type="expression" dxfId="332" priority="5130" stopIfTrue="1">
      <formula>IF(AND(#REF!="H",#REF!&lt;4),TRUE,)</formula>
    </cfRule>
  </conditionalFormatting>
  <conditionalFormatting sqref="L59">
    <cfRule type="expression" dxfId="331" priority="5133" stopIfTrue="1">
      <formula>IF(AND(#REF!="H",#REF!&lt;5),TRUE,)</formula>
    </cfRule>
  </conditionalFormatting>
  <conditionalFormatting sqref="M59">
    <cfRule type="expression" dxfId="330" priority="5136" stopIfTrue="1">
      <formula>IF(AND(#REF!="H",#REF!&lt;6),TRUE,)</formula>
    </cfRule>
  </conditionalFormatting>
  <conditionalFormatting sqref="N59">
    <cfRule type="expression" dxfId="329" priority="5139" stopIfTrue="1">
      <formula>IF(AND(#REF!="H",#REF!&lt;7),TRUE,)</formula>
    </cfRule>
  </conditionalFormatting>
  <conditionalFormatting sqref="O59">
    <cfRule type="expression" dxfId="328" priority="5142" stopIfTrue="1">
      <formula>IF(AND(#REF!="H",#REF!&lt;8),TRUE,)</formula>
    </cfRule>
  </conditionalFormatting>
  <conditionalFormatting sqref="P59">
    <cfRule type="expression" dxfId="327" priority="5145" stopIfTrue="1">
      <formula>IF(AND(#REF!="H",#REF!&lt;9),TRUE,)</formula>
    </cfRule>
  </conditionalFormatting>
  <conditionalFormatting sqref="J59">
    <cfRule type="expression" dxfId="326" priority="5148" stopIfTrue="1">
      <formula>IF(AND(#REF!="H",#REF!&lt;3),TRUE,)</formula>
    </cfRule>
  </conditionalFormatting>
  <conditionalFormatting sqref="Q28">
    <cfRule type="expression" dxfId="325" priority="34" stopIfTrue="1">
      <formula>IF($X28&lt;10,TRUE,)</formula>
    </cfRule>
  </conditionalFormatting>
  <conditionalFormatting sqref="H28">
    <cfRule type="expression" dxfId="324" priority="35" stopIfTrue="1">
      <formula>IF($X28&lt;1,TRUE,)</formula>
    </cfRule>
  </conditionalFormatting>
  <conditionalFormatting sqref="I28">
    <cfRule type="expression" dxfId="323" priority="36" stopIfTrue="1">
      <formula>IF($X28&lt;2,TRUE,)</formula>
    </cfRule>
  </conditionalFormatting>
  <conditionalFormatting sqref="J28">
    <cfRule type="expression" dxfId="322" priority="37" stopIfTrue="1">
      <formula>IF($X28&lt;3,TRUE,)</formula>
    </cfRule>
  </conditionalFormatting>
  <conditionalFormatting sqref="K28">
    <cfRule type="expression" dxfId="321" priority="38" stopIfTrue="1">
      <formula>IF($X28&lt;4,TRUE,)</formula>
    </cfRule>
  </conditionalFormatting>
  <conditionalFormatting sqref="L28">
    <cfRule type="expression" dxfId="320" priority="39" stopIfTrue="1">
      <formula>IF($X28&lt;5,TRUE,)</formula>
    </cfRule>
  </conditionalFormatting>
  <conditionalFormatting sqref="M28:S28">
    <cfRule type="expression" dxfId="319" priority="40" stopIfTrue="1">
      <formula>IF($X28&lt;6,TRUE,)</formula>
    </cfRule>
  </conditionalFormatting>
  <conditionalFormatting sqref="N28">
    <cfRule type="expression" dxfId="318" priority="41" stopIfTrue="1">
      <formula>IF($X28&lt;7,TRUE,)</formula>
    </cfRule>
  </conditionalFormatting>
  <conditionalFormatting sqref="O28">
    <cfRule type="expression" dxfId="317" priority="42" stopIfTrue="1">
      <formula>IF($X28&lt;8,TRUE,)</formula>
    </cfRule>
  </conditionalFormatting>
  <conditionalFormatting sqref="P28">
    <cfRule type="expression" dxfId="316" priority="43" stopIfTrue="1">
      <formula>IF($X28&lt;9,TRUE,)</formula>
    </cfRule>
  </conditionalFormatting>
  <conditionalFormatting sqref="Q27">
    <cfRule type="expression" dxfId="315" priority="23" stopIfTrue="1">
      <formula>IF($X27&lt;10,TRUE,)</formula>
    </cfRule>
  </conditionalFormatting>
  <conditionalFormatting sqref="H27">
    <cfRule type="expression" dxfId="314" priority="24" stopIfTrue="1">
      <formula>IF($X27&lt;1,TRUE,)</formula>
    </cfRule>
  </conditionalFormatting>
  <conditionalFormatting sqref="I27">
    <cfRule type="expression" dxfId="313" priority="25" stopIfTrue="1">
      <formula>IF($X27&lt;2,TRUE,)</formula>
    </cfRule>
  </conditionalFormatting>
  <conditionalFormatting sqref="J27">
    <cfRule type="expression" dxfId="312" priority="26" stopIfTrue="1">
      <formula>IF($X27&lt;3,TRUE,)</formula>
    </cfRule>
  </conditionalFormatting>
  <conditionalFormatting sqref="K27">
    <cfRule type="expression" dxfId="311" priority="27" stopIfTrue="1">
      <formula>IF($X27&lt;4,TRUE,)</formula>
    </cfRule>
  </conditionalFormatting>
  <conditionalFormatting sqref="L27">
    <cfRule type="expression" dxfId="310" priority="28" stopIfTrue="1">
      <formula>IF($X27&lt;5,TRUE,)</formula>
    </cfRule>
  </conditionalFormatting>
  <conditionalFormatting sqref="M27:S27">
    <cfRule type="expression" dxfId="309" priority="29" stopIfTrue="1">
      <formula>IF($X27&lt;6,TRUE,)</formula>
    </cfRule>
  </conditionalFormatting>
  <conditionalFormatting sqref="N27">
    <cfRule type="expression" dxfId="308" priority="30" stopIfTrue="1">
      <formula>IF($X27&lt;7,TRUE,)</formula>
    </cfRule>
  </conditionalFormatting>
  <conditionalFormatting sqref="O27">
    <cfRule type="expression" dxfId="307" priority="31" stopIfTrue="1">
      <formula>IF($X27&lt;8,TRUE,)</formula>
    </cfRule>
  </conditionalFormatting>
  <conditionalFormatting sqref="P27">
    <cfRule type="expression" dxfId="306" priority="32" stopIfTrue="1">
      <formula>IF($X27&lt;9,TRUE,)</formula>
    </cfRule>
  </conditionalFormatting>
  <conditionalFormatting sqref="I8:Q13">
    <cfRule type="expression" dxfId="305" priority="22">
      <formula>IF($X$8=1,TRUE)</formula>
    </cfRule>
  </conditionalFormatting>
  <conditionalFormatting sqref="Q60">
    <cfRule type="expression" dxfId="304" priority="10" stopIfTrue="1">
      <formula>IF(AND(#REF!="H",$X59&lt;10),TRUE,)</formula>
    </cfRule>
  </conditionalFormatting>
  <conditionalFormatting sqref="H60">
    <cfRule type="expression" dxfId="303" priority="9" stopIfTrue="1">
      <formula>IF(AND(#REF!="H",$X59&lt;1),TRUE,)</formula>
    </cfRule>
  </conditionalFormatting>
  <conditionalFormatting sqref="I60">
    <cfRule type="expression" dxfId="302" priority="8" stopIfTrue="1">
      <formula>IF(AND(#REF!="H",$X59&lt;2),TRUE,)</formula>
    </cfRule>
  </conditionalFormatting>
  <conditionalFormatting sqref="K60">
    <cfRule type="expression" dxfId="301" priority="7" stopIfTrue="1">
      <formula>IF(AND(#REF!="H",$X59&lt;4),TRUE,)</formula>
    </cfRule>
  </conditionalFormatting>
  <conditionalFormatting sqref="L60">
    <cfRule type="expression" dxfId="300" priority="6" stopIfTrue="1">
      <formula>IF(AND(#REF!="H",$X59&lt;5),TRUE,)</formula>
    </cfRule>
  </conditionalFormatting>
  <conditionalFormatting sqref="M60">
    <cfRule type="expression" dxfId="299" priority="5" stopIfTrue="1">
      <formula>IF(AND(#REF!="H",$X59&lt;6),TRUE,)</formula>
    </cfRule>
  </conditionalFormatting>
  <conditionalFormatting sqref="N60">
    <cfRule type="expression" dxfId="298" priority="4" stopIfTrue="1">
      <formula>IF(AND(#REF!="H",$X59&lt;7),TRUE,)</formula>
    </cfRule>
  </conditionalFormatting>
  <conditionalFormatting sqref="O60">
    <cfRule type="expression" dxfId="297" priority="3" stopIfTrue="1">
      <formula>IF(AND(#REF!="H",$X59&lt;8),TRUE,)</formula>
    </cfRule>
  </conditionalFormatting>
  <conditionalFormatting sqref="P60">
    <cfRule type="expression" dxfId="296" priority="2" stopIfTrue="1">
      <formula>IF(AND(#REF!="H",$X59&lt;9),TRUE,)</formula>
    </cfRule>
  </conditionalFormatting>
  <conditionalFormatting sqref="J60">
    <cfRule type="expression" dxfId="295"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32103" r:id="rId6" name="Group Box 7">
              <controlPr defaultSize="0" autoFill="0" autoPict="0" altText="">
                <anchor moveWithCells="1">
                  <from>
                    <xdr:col>3</xdr:col>
                    <xdr:colOff>9525</xdr:colOff>
                    <xdr:row>15</xdr:row>
                    <xdr:rowOff>0</xdr:rowOff>
                  </from>
                  <to>
                    <xdr:col>17</xdr:col>
                    <xdr:colOff>190500</xdr:colOff>
                    <xdr:row>16</xdr:row>
                    <xdr:rowOff>0</xdr:rowOff>
                  </to>
                </anchor>
              </controlPr>
            </control>
          </mc:Choice>
        </mc:AlternateContent>
        <mc:AlternateContent xmlns:mc="http://schemas.openxmlformats.org/markup-compatibility/2006">
          <mc:Choice Requires="x14">
            <control shapeId="132104" r:id="rId7" name="Option Button 8">
              <controlPr defaultSize="0" autoFill="0" autoLine="0" autoPict="0">
                <anchor moveWithCells="1">
                  <from>
                    <xdr:col>3</xdr:col>
                    <xdr:colOff>466725</xdr:colOff>
                    <xdr:row>15</xdr:row>
                    <xdr:rowOff>28575</xdr:rowOff>
                  </from>
                  <to>
                    <xdr:col>3</xdr:col>
                    <xdr:colOff>1143000</xdr:colOff>
                    <xdr:row>15</xdr:row>
                    <xdr:rowOff>219075</xdr:rowOff>
                  </to>
                </anchor>
              </controlPr>
            </control>
          </mc:Choice>
        </mc:AlternateContent>
        <mc:AlternateContent xmlns:mc="http://schemas.openxmlformats.org/markup-compatibility/2006">
          <mc:Choice Requires="x14">
            <control shapeId="132105" r:id="rId8" name="Option Button 9">
              <controlPr defaultSize="0" autoFill="0" autoLine="0" autoPict="0">
                <anchor moveWithCells="1">
                  <from>
                    <xdr:col>4</xdr:col>
                    <xdr:colOff>352425</xdr:colOff>
                    <xdr:row>15</xdr:row>
                    <xdr:rowOff>28575</xdr:rowOff>
                  </from>
                  <to>
                    <xdr:col>4</xdr:col>
                    <xdr:colOff>666750</xdr:colOff>
                    <xdr:row>15</xdr:row>
                    <xdr:rowOff>209550</xdr:rowOff>
                  </to>
                </anchor>
              </controlPr>
            </control>
          </mc:Choice>
        </mc:AlternateContent>
        <mc:AlternateContent xmlns:mc="http://schemas.openxmlformats.org/markup-compatibility/2006">
          <mc:Choice Requires="x14">
            <control shapeId="132106" r:id="rId9" name="Option Button 10">
              <controlPr defaultSize="0" autoFill="0" autoLine="0" autoPict="0">
                <anchor moveWithCells="1">
                  <from>
                    <xdr:col>5</xdr:col>
                    <xdr:colOff>304800</xdr:colOff>
                    <xdr:row>15</xdr:row>
                    <xdr:rowOff>28575</xdr:rowOff>
                  </from>
                  <to>
                    <xdr:col>5</xdr:col>
                    <xdr:colOff>923925</xdr:colOff>
                    <xdr:row>15</xdr:row>
                    <xdr:rowOff>219075</xdr:rowOff>
                  </to>
                </anchor>
              </controlPr>
            </control>
          </mc:Choice>
        </mc:AlternateContent>
        <mc:AlternateContent xmlns:mc="http://schemas.openxmlformats.org/markup-compatibility/2006">
          <mc:Choice Requires="x14">
            <control shapeId="132107" r:id="rId10" name="Option Button 11">
              <controlPr defaultSize="0" autoFill="0" autoLine="0" autoPict="0">
                <anchor moveWithCells="1">
                  <from>
                    <xdr:col>6</xdr:col>
                    <xdr:colOff>495300</xdr:colOff>
                    <xdr:row>15</xdr:row>
                    <xdr:rowOff>19050</xdr:rowOff>
                  </from>
                  <to>
                    <xdr:col>6</xdr:col>
                    <xdr:colOff>819150</xdr:colOff>
                    <xdr:row>15</xdr:row>
                    <xdr:rowOff>219075</xdr:rowOff>
                  </to>
                </anchor>
              </controlPr>
            </control>
          </mc:Choice>
        </mc:AlternateContent>
        <mc:AlternateContent xmlns:mc="http://schemas.openxmlformats.org/markup-compatibility/2006">
          <mc:Choice Requires="x14">
            <control shapeId="132108" r:id="rId11" name="Option Button 12">
              <controlPr defaultSize="0" autoFill="0" autoLine="0" autoPict="0">
                <anchor moveWithCells="1">
                  <from>
                    <xdr:col>10</xdr:col>
                    <xdr:colOff>57150</xdr:colOff>
                    <xdr:row>15</xdr:row>
                    <xdr:rowOff>19050</xdr:rowOff>
                  </from>
                  <to>
                    <xdr:col>16</xdr:col>
                    <xdr:colOff>47625</xdr:colOff>
                    <xdr:row>15</xdr:row>
                    <xdr:rowOff>219075</xdr:rowOff>
                  </to>
                </anchor>
              </controlPr>
            </control>
          </mc:Choice>
        </mc:AlternateContent>
        <mc:AlternateContent xmlns:mc="http://schemas.openxmlformats.org/markup-compatibility/2006">
          <mc:Choice Requires="x14">
            <control shapeId="132121" r:id="rId12" name="Group Box 25">
              <controlPr defaultSize="0" autoFill="0" autoPict="0">
                <anchor moveWithCells="1">
                  <from>
                    <xdr:col>4</xdr:col>
                    <xdr:colOff>9525</xdr:colOff>
                    <xdr:row>7</xdr:row>
                    <xdr:rowOff>0</xdr:rowOff>
                  </from>
                  <to>
                    <xdr:col>6</xdr:col>
                    <xdr:colOff>1095375</xdr:colOff>
                    <xdr:row>7</xdr:row>
                    <xdr:rowOff>266700</xdr:rowOff>
                  </to>
                </anchor>
              </controlPr>
            </control>
          </mc:Choice>
        </mc:AlternateContent>
        <mc:AlternateContent xmlns:mc="http://schemas.openxmlformats.org/markup-compatibility/2006">
          <mc:Choice Requires="x14">
            <control shapeId="132123" r:id="rId13" name="Group Box 27">
              <controlPr defaultSize="0" autoFill="0" autoPict="0">
                <anchor moveWithCells="1">
                  <from>
                    <xdr:col>4</xdr:col>
                    <xdr:colOff>9525</xdr:colOff>
                    <xdr:row>10</xdr:row>
                    <xdr:rowOff>9525</xdr:rowOff>
                  </from>
                  <to>
                    <xdr:col>6</xdr:col>
                    <xdr:colOff>1095375</xdr:colOff>
                    <xdr:row>10</xdr:row>
                    <xdr:rowOff>257175</xdr:rowOff>
                  </to>
                </anchor>
              </controlPr>
            </control>
          </mc:Choice>
        </mc:AlternateContent>
        <mc:AlternateContent xmlns:mc="http://schemas.openxmlformats.org/markup-compatibility/2006">
          <mc:Choice Requires="x14">
            <control shapeId="132126" r:id="rId14" name="Group Box 30">
              <controlPr defaultSize="0" autoFill="0" autoPict="0">
                <anchor moveWithCells="1">
                  <from>
                    <xdr:col>4</xdr:col>
                    <xdr:colOff>9525</xdr:colOff>
                    <xdr:row>9</xdr:row>
                    <xdr:rowOff>9525</xdr:rowOff>
                  </from>
                  <to>
                    <xdr:col>6</xdr:col>
                    <xdr:colOff>1095375</xdr:colOff>
                    <xdr:row>9</xdr:row>
                    <xdr:rowOff>257175</xdr:rowOff>
                  </to>
                </anchor>
              </controlPr>
            </control>
          </mc:Choice>
        </mc:AlternateContent>
        <mc:AlternateContent xmlns:mc="http://schemas.openxmlformats.org/markup-compatibility/2006">
          <mc:Choice Requires="x14">
            <control shapeId="132127" r:id="rId15" name="Group Box 31">
              <controlPr defaultSize="0" autoFill="0" autoPict="0">
                <anchor moveWithCells="1">
                  <from>
                    <xdr:col>4</xdr:col>
                    <xdr:colOff>9525</xdr:colOff>
                    <xdr:row>11</xdr:row>
                    <xdr:rowOff>19050</xdr:rowOff>
                  </from>
                  <to>
                    <xdr:col>6</xdr:col>
                    <xdr:colOff>1095375</xdr:colOff>
                    <xdr:row>11</xdr:row>
                    <xdr:rowOff>266700</xdr:rowOff>
                  </to>
                </anchor>
              </controlPr>
            </control>
          </mc:Choice>
        </mc:AlternateContent>
        <mc:AlternateContent xmlns:mc="http://schemas.openxmlformats.org/markup-compatibility/2006">
          <mc:Choice Requires="x14">
            <control shapeId="132128" r:id="rId16" name="Group Box 32">
              <controlPr defaultSize="0" autoFill="0" autoPict="0">
                <anchor moveWithCells="1">
                  <from>
                    <xdr:col>4</xdr:col>
                    <xdr:colOff>9525</xdr:colOff>
                    <xdr:row>12</xdr:row>
                    <xdr:rowOff>19050</xdr:rowOff>
                  </from>
                  <to>
                    <xdr:col>6</xdr:col>
                    <xdr:colOff>1095375</xdr:colOff>
                    <xdr:row>12</xdr:row>
                    <xdr:rowOff>266700</xdr:rowOff>
                  </to>
                </anchor>
              </controlPr>
            </control>
          </mc:Choice>
        </mc:AlternateContent>
        <mc:AlternateContent xmlns:mc="http://schemas.openxmlformats.org/markup-compatibility/2006">
          <mc:Choice Requires="x14">
            <control shapeId="132129" r:id="rId17" name="Group Box 33">
              <controlPr defaultSize="0" autoFill="0" autoPict="0">
                <anchor moveWithCells="1">
                  <from>
                    <xdr:col>4</xdr:col>
                    <xdr:colOff>9525</xdr:colOff>
                    <xdr:row>8</xdr:row>
                    <xdr:rowOff>19050</xdr:rowOff>
                  </from>
                  <to>
                    <xdr:col>6</xdr:col>
                    <xdr:colOff>1095375</xdr:colOff>
                    <xdr:row>8</xdr:row>
                    <xdr:rowOff>266700</xdr:rowOff>
                  </to>
                </anchor>
              </controlPr>
            </control>
          </mc:Choice>
        </mc:AlternateContent>
        <mc:AlternateContent xmlns:mc="http://schemas.openxmlformats.org/markup-compatibility/2006">
          <mc:Choice Requires="x14">
            <control shapeId="132130" r:id="rId18" name="Option Button 34">
              <controlPr defaultSize="0" autoFill="0" autoLine="0" autoPict="0">
                <anchor moveWithCells="1">
                  <from>
                    <xdr:col>4</xdr:col>
                    <xdr:colOff>438150</xdr:colOff>
                    <xdr:row>7</xdr:row>
                    <xdr:rowOff>0</xdr:rowOff>
                  </from>
                  <to>
                    <xdr:col>4</xdr:col>
                    <xdr:colOff>742950</xdr:colOff>
                    <xdr:row>7</xdr:row>
                    <xdr:rowOff>266700</xdr:rowOff>
                  </to>
                </anchor>
              </controlPr>
            </control>
          </mc:Choice>
        </mc:AlternateContent>
        <mc:AlternateContent xmlns:mc="http://schemas.openxmlformats.org/markup-compatibility/2006">
          <mc:Choice Requires="x14">
            <control shapeId="132131" r:id="rId19" name="Option Button 35">
              <controlPr defaultSize="0" autoFill="0" autoLine="0" autoPict="0">
                <anchor moveWithCells="1">
                  <from>
                    <xdr:col>5</xdr:col>
                    <xdr:colOff>466725</xdr:colOff>
                    <xdr:row>7</xdr:row>
                    <xdr:rowOff>0</xdr:rowOff>
                  </from>
                  <to>
                    <xdr:col>5</xdr:col>
                    <xdr:colOff>771525</xdr:colOff>
                    <xdr:row>7</xdr:row>
                    <xdr:rowOff>266700</xdr:rowOff>
                  </to>
                </anchor>
              </controlPr>
            </control>
          </mc:Choice>
        </mc:AlternateContent>
        <mc:AlternateContent xmlns:mc="http://schemas.openxmlformats.org/markup-compatibility/2006">
          <mc:Choice Requires="x14">
            <control shapeId="132132" r:id="rId20" name="Option Button 36">
              <controlPr defaultSize="0" autoFill="0" autoLine="0" autoPict="0">
                <anchor moveWithCells="1">
                  <from>
                    <xdr:col>6</xdr:col>
                    <xdr:colOff>419100</xdr:colOff>
                    <xdr:row>7</xdr:row>
                    <xdr:rowOff>0</xdr:rowOff>
                  </from>
                  <to>
                    <xdr:col>6</xdr:col>
                    <xdr:colOff>723900</xdr:colOff>
                    <xdr:row>7</xdr:row>
                    <xdr:rowOff>266700</xdr:rowOff>
                  </to>
                </anchor>
              </controlPr>
            </control>
          </mc:Choice>
        </mc:AlternateContent>
        <mc:AlternateContent xmlns:mc="http://schemas.openxmlformats.org/markup-compatibility/2006">
          <mc:Choice Requires="x14">
            <control shapeId="132165" r:id="rId21" name="Option Button 69">
              <controlPr defaultSize="0" autoFill="0" autoLine="0" autoPict="0">
                <anchor moveWithCells="1">
                  <from>
                    <xdr:col>4</xdr:col>
                    <xdr:colOff>438150</xdr:colOff>
                    <xdr:row>8</xdr:row>
                    <xdr:rowOff>47625</xdr:rowOff>
                  </from>
                  <to>
                    <xdr:col>4</xdr:col>
                    <xdr:colOff>742950</xdr:colOff>
                    <xdr:row>8</xdr:row>
                    <xdr:rowOff>247650</xdr:rowOff>
                  </to>
                </anchor>
              </controlPr>
            </control>
          </mc:Choice>
        </mc:AlternateContent>
        <mc:AlternateContent xmlns:mc="http://schemas.openxmlformats.org/markup-compatibility/2006">
          <mc:Choice Requires="x14">
            <control shapeId="132166" r:id="rId22" name="Option Button 70">
              <controlPr defaultSize="0" autoFill="0" autoLine="0" autoPict="0">
                <anchor moveWithCells="1">
                  <from>
                    <xdr:col>5</xdr:col>
                    <xdr:colOff>466725</xdr:colOff>
                    <xdr:row>8</xdr:row>
                    <xdr:rowOff>38100</xdr:rowOff>
                  </from>
                  <to>
                    <xdr:col>5</xdr:col>
                    <xdr:colOff>771525</xdr:colOff>
                    <xdr:row>8</xdr:row>
                    <xdr:rowOff>247650</xdr:rowOff>
                  </to>
                </anchor>
              </controlPr>
            </control>
          </mc:Choice>
        </mc:AlternateContent>
        <mc:AlternateContent xmlns:mc="http://schemas.openxmlformats.org/markup-compatibility/2006">
          <mc:Choice Requires="x14">
            <control shapeId="132167" r:id="rId23" name="Option Button 71">
              <controlPr defaultSize="0" autoFill="0" autoLine="0" autoPict="0">
                <anchor moveWithCells="1">
                  <from>
                    <xdr:col>6</xdr:col>
                    <xdr:colOff>419100</xdr:colOff>
                    <xdr:row>8</xdr:row>
                    <xdr:rowOff>28575</xdr:rowOff>
                  </from>
                  <to>
                    <xdr:col>6</xdr:col>
                    <xdr:colOff>723900</xdr:colOff>
                    <xdr:row>8</xdr:row>
                    <xdr:rowOff>247650</xdr:rowOff>
                  </to>
                </anchor>
              </controlPr>
            </control>
          </mc:Choice>
        </mc:AlternateContent>
        <mc:AlternateContent xmlns:mc="http://schemas.openxmlformats.org/markup-compatibility/2006">
          <mc:Choice Requires="x14">
            <control shapeId="132168" r:id="rId24" name="Option Button 72">
              <controlPr defaultSize="0" autoFill="0" autoLine="0" autoPict="0">
                <anchor moveWithCells="1">
                  <from>
                    <xdr:col>4</xdr:col>
                    <xdr:colOff>438150</xdr:colOff>
                    <xdr:row>9</xdr:row>
                    <xdr:rowOff>19050</xdr:rowOff>
                  </from>
                  <to>
                    <xdr:col>4</xdr:col>
                    <xdr:colOff>895350</xdr:colOff>
                    <xdr:row>9</xdr:row>
                    <xdr:rowOff>238125</xdr:rowOff>
                  </to>
                </anchor>
              </controlPr>
            </control>
          </mc:Choice>
        </mc:AlternateContent>
        <mc:AlternateContent xmlns:mc="http://schemas.openxmlformats.org/markup-compatibility/2006">
          <mc:Choice Requires="x14">
            <control shapeId="132169" r:id="rId25" name="Option Button 73">
              <controlPr defaultSize="0" autoFill="0" autoLine="0" autoPict="0">
                <anchor moveWithCells="1">
                  <from>
                    <xdr:col>5</xdr:col>
                    <xdr:colOff>466725</xdr:colOff>
                    <xdr:row>9</xdr:row>
                    <xdr:rowOff>9525</xdr:rowOff>
                  </from>
                  <to>
                    <xdr:col>5</xdr:col>
                    <xdr:colOff>819150</xdr:colOff>
                    <xdr:row>9</xdr:row>
                    <xdr:rowOff>247650</xdr:rowOff>
                  </to>
                </anchor>
              </controlPr>
            </control>
          </mc:Choice>
        </mc:AlternateContent>
        <mc:AlternateContent xmlns:mc="http://schemas.openxmlformats.org/markup-compatibility/2006">
          <mc:Choice Requires="x14">
            <control shapeId="132170" r:id="rId26" name="Option Button 74">
              <controlPr defaultSize="0" autoFill="0" autoLine="0" autoPict="0">
                <anchor moveWithCells="1">
                  <from>
                    <xdr:col>6</xdr:col>
                    <xdr:colOff>419100</xdr:colOff>
                    <xdr:row>9</xdr:row>
                    <xdr:rowOff>19050</xdr:rowOff>
                  </from>
                  <to>
                    <xdr:col>6</xdr:col>
                    <xdr:colOff>723900</xdr:colOff>
                    <xdr:row>9</xdr:row>
                    <xdr:rowOff>238125</xdr:rowOff>
                  </to>
                </anchor>
              </controlPr>
            </control>
          </mc:Choice>
        </mc:AlternateContent>
        <mc:AlternateContent xmlns:mc="http://schemas.openxmlformats.org/markup-compatibility/2006">
          <mc:Choice Requires="x14">
            <control shapeId="132171" r:id="rId27" name="Option Button 75">
              <controlPr defaultSize="0" autoFill="0" autoLine="0" autoPict="0">
                <anchor moveWithCells="1">
                  <from>
                    <xdr:col>4</xdr:col>
                    <xdr:colOff>438150</xdr:colOff>
                    <xdr:row>10</xdr:row>
                    <xdr:rowOff>28575</xdr:rowOff>
                  </from>
                  <to>
                    <xdr:col>4</xdr:col>
                    <xdr:colOff>781050</xdr:colOff>
                    <xdr:row>10</xdr:row>
                    <xdr:rowOff>247650</xdr:rowOff>
                  </to>
                </anchor>
              </controlPr>
            </control>
          </mc:Choice>
        </mc:AlternateContent>
        <mc:AlternateContent xmlns:mc="http://schemas.openxmlformats.org/markup-compatibility/2006">
          <mc:Choice Requires="x14">
            <control shapeId="132172" r:id="rId28" name="Option Button 76">
              <controlPr defaultSize="0" autoFill="0" autoLine="0" autoPict="0">
                <anchor moveWithCells="1">
                  <from>
                    <xdr:col>5</xdr:col>
                    <xdr:colOff>476250</xdr:colOff>
                    <xdr:row>10</xdr:row>
                    <xdr:rowOff>28575</xdr:rowOff>
                  </from>
                  <to>
                    <xdr:col>5</xdr:col>
                    <xdr:colOff>828675</xdr:colOff>
                    <xdr:row>10</xdr:row>
                    <xdr:rowOff>247650</xdr:rowOff>
                  </to>
                </anchor>
              </controlPr>
            </control>
          </mc:Choice>
        </mc:AlternateContent>
        <mc:AlternateContent xmlns:mc="http://schemas.openxmlformats.org/markup-compatibility/2006">
          <mc:Choice Requires="x14">
            <control shapeId="132173" r:id="rId29" name="Option Button 77">
              <controlPr defaultSize="0" autoFill="0" autoLine="0" autoPict="0">
                <anchor moveWithCells="1">
                  <from>
                    <xdr:col>6</xdr:col>
                    <xdr:colOff>419100</xdr:colOff>
                    <xdr:row>10</xdr:row>
                    <xdr:rowOff>28575</xdr:rowOff>
                  </from>
                  <to>
                    <xdr:col>6</xdr:col>
                    <xdr:colOff>857250</xdr:colOff>
                    <xdr:row>10</xdr:row>
                    <xdr:rowOff>247650</xdr:rowOff>
                  </to>
                </anchor>
              </controlPr>
            </control>
          </mc:Choice>
        </mc:AlternateContent>
        <mc:AlternateContent xmlns:mc="http://schemas.openxmlformats.org/markup-compatibility/2006">
          <mc:Choice Requires="x14">
            <control shapeId="132175" r:id="rId30" name="Option Button 79">
              <controlPr defaultSize="0" autoFill="0" autoLine="0" autoPict="0">
                <anchor moveWithCells="1">
                  <from>
                    <xdr:col>4</xdr:col>
                    <xdr:colOff>438150</xdr:colOff>
                    <xdr:row>11</xdr:row>
                    <xdr:rowOff>57150</xdr:rowOff>
                  </from>
                  <to>
                    <xdr:col>4</xdr:col>
                    <xdr:colOff>742950</xdr:colOff>
                    <xdr:row>11</xdr:row>
                    <xdr:rowOff>238125</xdr:rowOff>
                  </to>
                </anchor>
              </controlPr>
            </control>
          </mc:Choice>
        </mc:AlternateContent>
        <mc:AlternateContent xmlns:mc="http://schemas.openxmlformats.org/markup-compatibility/2006">
          <mc:Choice Requires="x14">
            <control shapeId="132176" r:id="rId31" name="Option Button 80">
              <controlPr defaultSize="0" autoFill="0" autoLine="0" autoPict="0">
                <anchor moveWithCells="1">
                  <from>
                    <xdr:col>5</xdr:col>
                    <xdr:colOff>485775</xdr:colOff>
                    <xdr:row>11</xdr:row>
                    <xdr:rowOff>38100</xdr:rowOff>
                  </from>
                  <to>
                    <xdr:col>5</xdr:col>
                    <xdr:colOff>962025</xdr:colOff>
                    <xdr:row>11</xdr:row>
                    <xdr:rowOff>257175</xdr:rowOff>
                  </to>
                </anchor>
              </controlPr>
            </control>
          </mc:Choice>
        </mc:AlternateContent>
        <mc:AlternateContent xmlns:mc="http://schemas.openxmlformats.org/markup-compatibility/2006">
          <mc:Choice Requires="x14">
            <control shapeId="132177" r:id="rId32" name="Option Button 81">
              <controlPr defaultSize="0" autoFill="0" autoLine="0" autoPict="0">
                <anchor moveWithCells="1">
                  <from>
                    <xdr:col>6</xdr:col>
                    <xdr:colOff>419100</xdr:colOff>
                    <xdr:row>11</xdr:row>
                    <xdr:rowOff>28575</xdr:rowOff>
                  </from>
                  <to>
                    <xdr:col>6</xdr:col>
                    <xdr:colOff>857250</xdr:colOff>
                    <xdr:row>11</xdr:row>
                    <xdr:rowOff>247650</xdr:rowOff>
                  </to>
                </anchor>
              </controlPr>
            </control>
          </mc:Choice>
        </mc:AlternateContent>
        <mc:AlternateContent xmlns:mc="http://schemas.openxmlformats.org/markup-compatibility/2006">
          <mc:Choice Requires="x14">
            <control shapeId="132178" r:id="rId33" name="Option Button 82">
              <controlPr defaultSize="0" autoFill="0" autoLine="0" autoPict="0">
                <anchor moveWithCells="1">
                  <from>
                    <xdr:col>4</xdr:col>
                    <xdr:colOff>438150</xdr:colOff>
                    <xdr:row>12</xdr:row>
                    <xdr:rowOff>28575</xdr:rowOff>
                  </from>
                  <to>
                    <xdr:col>4</xdr:col>
                    <xdr:colOff>981075</xdr:colOff>
                    <xdr:row>12</xdr:row>
                    <xdr:rowOff>247650</xdr:rowOff>
                  </to>
                </anchor>
              </controlPr>
            </control>
          </mc:Choice>
        </mc:AlternateContent>
        <mc:AlternateContent xmlns:mc="http://schemas.openxmlformats.org/markup-compatibility/2006">
          <mc:Choice Requires="x14">
            <control shapeId="132179" r:id="rId34" name="Option Button 83">
              <controlPr defaultSize="0" autoFill="0" autoLine="0" autoPict="0">
                <anchor moveWithCells="1">
                  <from>
                    <xdr:col>5</xdr:col>
                    <xdr:colOff>485775</xdr:colOff>
                    <xdr:row>12</xdr:row>
                    <xdr:rowOff>38100</xdr:rowOff>
                  </from>
                  <to>
                    <xdr:col>5</xdr:col>
                    <xdr:colOff>857250</xdr:colOff>
                    <xdr:row>12</xdr:row>
                    <xdr:rowOff>257175</xdr:rowOff>
                  </to>
                </anchor>
              </controlPr>
            </control>
          </mc:Choice>
        </mc:AlternateContent>
        <mc:AlternateContent xmlns:mc="http://schemas.openxmlformats.org/markup-compatibility/2006">
          <mc:Choice Requires="x14">
            <control shapeId="132180" r:id="rId35" name="Option Button 84">
              <controlPr defaultSize="0" autoFill="0" autoLine="0" autoPict="0">
                <anchor moveWithCells="1">
                  <from>
                    <xdr:col>6</xdr:col>
                    <xdr:colOff>419100</xdr:colOff>
                    <xdr:row>12</xdr:row>
                    <xdr:rowOff>38100</xdr:rowOff>
                  </from>
                  <to>
                    <xdr:col>6</xdr:col>
                    <xdr:colOff>857250</xdr:colOff>
                    <xdr:row>12</xdr:row>
                    <xdr:rowOff>257175</xdr:rowOff>
                  </to>
                </anchor>
              </controlPr>
            </control>
          </mc:Choice>
        </mc:AlternateContent>
        <mc:AlternateContent xmlns:mc="http://schemas.openxmlformats.org/markup-compatibility/2006">
          <mc:Choice Requires="x14">
            <control shapeId="132183" r:id="rId36" name="Check Box 87">
              <controlPr defaultSize="0" autoFill="0" autoLine="0" autoPict="0">
                <anchor moveWithCells="1">
                  <from>
                    <xdr:col>3</xdr:col>
                    <xdr:colOff>571500</xdr:colOff>
                    <xdr:row>50</xdr:row>
                    <xdr:rowOff>9525</xdr:rowOff>
                  </from>
                  <to>
                    <xdr:col>3</xdr:col>
                    <xdr:colOff>876300</xdr:colOff>
                    <xdr:row>51</xdr:row>
                    <xdr:rowOff>57150</xdr:rowOff>
                  </to>
                </anchor>
              </controlPr>
            </control>
          </mc:Choice>
        </mc:AlternateContent>
        <mc:AlternateContent xmlns:mc="http://schemas.openxmlformats.org/markup-compatibility/2006">
          <mc:Choice Requires="x14">
            <control shapeId="132184" r:id="rId37" name="Check Box 88">
              <controlPr defaultSize="0" autoFill="0" autoLine="0" autoPict="0">
                <anchor moveWithCells="1">
                  <from>
                    <xdr:col>3</xdr:col>
                    <xdr:colOff>571500</xdr:colOff>
                    <xdr:row>51</xdr:row>
                    <xdr:rowOff>0</xdr:rowOff>
                  </from>
                  <to>
                    <xdr:col>3</xdr:col>
                    <xdr:colOff>800100</xdr:colOff>
                    <xdr:row>52</xdr:row>
                    <xdr:rowOff>47625</xdr:rowOff>
                  </to>
                </anchor>
              </controlPr>
            </control>
          </mc:Choice>
        </mc:AlternateContent>
        <mc:AlternateContent xmlns:mc="http://schemas.openxmlformats.org/markup-compatibility/2006">
          <mc:Choice Requires="x14">
            <control shapeId="132186" r:id="rId38" name="Group Box 90">
              <controlPr defaultSize="0" autoFill="0" autoPict="0">
                <anchor moveWithCells="1">
                  <from>
                    <xdr:col>6</xdr:col>
                    <xdr:colOff>381000</xdr:colOff>
                    <xdr:row>50</xdr:row>
                    <xdr:rowOff>0</xdr:rowOff>
                  </from>
                  <to>
                    <xdr:col>6</xdr:col>
                    <xdr:colOff>790575</xdr:colOff>
                    <xdr:row>53</xdr:row>
                    <xdr:rowOff>9525</xdr:rowOff>
                  </to>
                </anchor>
              </controlPr>
            </control>
          </mc:Choice>
        </mc:AlternateContent>
        <mc:AlternateContent xmlns:mc="http://schemas.openxmlformats.org/markup-compatibility/2006">
          <mc:Choice Requires="x14">
            <control shapeId="132196" r:id="rId39" name="Check Box 100">
              <controlPr defaultSize="0" autoFill="0" autoLine="0" autoPict="0">
                <anchor moveWithCells="1">
                  <from>
                    <xdr:col>6</xdr:col>
                    <xdr:colOff>495300</xdr:colOff>
                    <xdr:row>53</xdr:row>
                    <xdr:rowOff>114300</xdr:rowOff>
                  </from>
                  <to>
                    <xdr:col>6</xdr:col>
                    <xdr:colOff>857250</xdr:colOff>
                    <xdr:row>54</xdr:row>
                    <xdr:rowOff>190500</xdr:rowOff>
                  </to>
                </anchor>
              </controlPr>
            </control>
          </mc:Choice>
        </mc:AlternateContent>
        <mc:AlternateContent xmlns:mc="http://schemas.openxmlformats.org/markup-compatibility/2006">
          <mc:Choice Requires="x14">
            <control shapeId="132202" r:id="rId40" name="Option Button 106">
              <controlPr defaultSize="0" autoFill="0" autoLine="0" autoPict="0">
                <anchor moveWithCells="1">
                  <from>
                    <xdr:col>6</xdr:col>
                    <xdr:colOff>485775</xdr:colOff>
                    <xdr:row>50</xdr:row>
                    <xdr:rowOff>47625</xdr:rowOff>
                  </from>
                  <to>
                    <xdr:col>6</xdr:col>
                    <xdr:colOff>790575</xdr:colOff>
                    <xdr:row>51</xdr:row>
                    <xdr:rowOff>0</xdr:rowOff>
                  </to>
                </anchor>
              </controlPr>
            </control>
          </mc:Choice>
        </mc:AlternateContent>
        <mc:AlternateContent xmlns:mc="http://schemas.openxmlformats.org/markup-compatibility/2006">
          <mc:Choice Requires="x14">
            <control shapeId="132204" r:id="rId41" name="Option Button 108">
              <controlPr defaultSize="0" autoFill="0" autoLine="0" autoPict="0">
                <anchor moveWithCells="1">
                  <from>
                    <xdr:col>6</xdr:col>
                    <xdr:colOff>485775</xdr:colOff>
                    <xdr:row>51</xdr:row>
                    <xdr:rowOff>0</xdr:rowOff>
                  </from>
                  <to>
                    <xdr:col>6</xdr:col>
                    <xdr:colOff>790575</xdr:colOff>
                    <xdr:row>51</xdr:row>
                    <xdr:rowOff>238125</xdr:rowOff>
                  </to>
                </anchor>
              </controlPr>
            </control>
          </mc:Choice>
        </mc:AlternateContent>
        <mc:AlternateContent xmlns:mc="http://schemas.openxmlformats.org/markup-compatibility/2006">
          <mc:Choice Requires="x14">
            <control shapeId="132205" r:id="rId42" name="Option Button 109">
              <controlPr defaultSize="0" autoFill="0" autoLine="0" autoPict="0">
                <anchor moveWithCells="1">
                  <from>
                    <xdr:col>6</xdr:col>
                    <xdr:colOff>485775</xdr:colOff>
                    <xdr:row>51</xdr:row>
                    <xdr:rowOff>238125</xdr:rowOff>
                  </from>
                  <to>
                    <xdr:col>6</xdr:col>
                    <xdr:colOff>790575</xdr:colOff>
                    <xdr:row>52</xdr:row>
                    <xdr:rowOff>190500</xdr:rowOff>
                  </to>
                </anchor>
              </controlPr>
            </control>
          </mc:Choice>
        </mc:AlternateContent>
        <mc:AlternateContent xmlns:mc="http://schemas.openxmlformats.org/markup-compatibility/2006">
          <mc:Choice Requires="x14">
            <control shapeId="132207" r:id="rId43" name="Check Box 111">
              <controlPr defaultSize="0" autoFill="0" autoLine="0" autoPict="0">
                <anchor moveWithCells="1">
                  <from>
                    <xdr:col>5</xdr:col>
                    <xdr:colOff>857250</xdr:colOff>
                    <xdr:row>36</xdr:row>
                    <xdr:rowOff>47625</xdr:rowOff>
                  </from>
                  <to>
                    <xdr:col>6</xdr:col>
                    <xdr:colOff>47625</xdr:colOff>
                    <xdr:row>37</xdr:row>
                    <xdr:rowOff>0</xdr:rowOff>
                  </to>
                </anchor>
              </controlPr>
            </control>
          </mc:Choice>
        </mc:AlternateContent>
        <mc:AlternateContent xmlns:mc="http://schemas.openxmlformats.org/markup-compatibility/2006">
          <mc:Choice Requires="x14">
            <control shapeId="132209" r:id="rId44" name="Check Box 113">
              <controlPr defaultSize="0" autoFill="0" autoLine="0" autoPict="0">
                <anchor moveWithCells="1">
                  <from>
                    <xdr:col>5</xdr:col>
                    <xdr:colOff>857250</xdr:colOff>
                    <xdr:row>37</xdr:row>
                    <xdr:rowOff>57150</xdr:rowOff>
                  </from>
                  <to>
                    <xdr:col>6</xdr:col>
                    <xdr:colOff>47625</xdr:colOff>
                    <xdr:row>38</xdr:row>
                    <xdr:rowOff>9525</xdr:rowOff>
                  </to>
                </anchor>
              </controlPr>
            </control>
          </mc:Choice>
        </mc:AlternateContent>
        <mc:AlternateContent xmlns:mc="http://schemas.openxmlformats.org/markup-compatibility/2006">
          <mc:Choice Requires="x14">
            <control shapeId="132210" r:id="rId45" name="Check Box 114">
              <controlPr defaultSize="0" autoFill="0" autoLine="0" autoPict="0">
                <anchor moveWithCells="1">
                  <from>
                    <xdr:col>5</xdr:col>
                    <xdr:colOff>857250</xdr:colOff>
                    <xdr:row>38</xdr:row>
                    <xdr:rowOff>47625</xdr:rowOff>
                  </from>
                  <to>
                    <xdr:col>6</xdr:col>
                    <xdr:colOff>47625</xdr:colOff>
                    <xdr:row>39</xdr:row>
                    <xdr:rowOff>0</xdr:rowOff>
                  </to>
                </anchor>
              </controlPr>
            </control>
          </mc:Choice>
        </mc:AlternateContent>
        <mc:AlternateContent xmlns:mc="http://schemas.openxmlformats.org/markup-compatibility/2006">
          <mc:Choice Requires="x14">
            <control shapeId="132211" r:id="rId46" name="Check Box 115">
              <controlPr locked="0" defaultSize="0" autoFill="0" autoLine="0" autoPict="0">
                <anchor moveWithCells="1">
                  <from>
                    <xdr:col>6</xdr:col>
                    <xdr:colOff>1085850</xdr:colOff>
                    <xdr:row>36</xdr:row>
                    <xdr:rowOff>57150</xdr:rowOff>
                  </from>
                  <to>
                    <xdr:col>9</xdr:col>
                    <xdr:colOff>28575</xdr:colOff>
                    <xdr:row>37</xdr:row>
                    <xdr:rowOff>9525</xdr:rowOff>
                  </to>
                </anchor>
              </controlPr>
            </control>
          </mc:Choice>
        </mc:AlternateContent>
        <mc:AlternateContent xmlns:mc="http://schemas.openxmlformats.org/markup-compatibility/2006">
          <mc:Choice Requires="x14">
            <control shapeId="132212" r:id="rId47" name="Check Box 116">
              <controlPr defaultSize="0" autoFill="0" autoLine="0" autoPict="0">
                <anchor moveWithCells="1">
                  <from>
                    <xdr:col>6</xdr:col>
                    <xdr:colOff>1085850</xdr:colOff>
                    <xdr:row>37</xdr:row>
                    <xdr:rowOff>28575</xdr:rowOff>
                  </from>
                  <to>
                    <xdr:col>9</xdr:col>
                    <xdr:colOff>28575</xdr:colOff>
                    <xdr:row>37</xdr:row>
                    <xdr:rowOff>247650</xdr:rowOff>
                  </to>
                </anchor>
              </controlPr>
            </control>
          </mc:Choice>
        </mc:AlternateContent>
        <mc:AlternateContent xmlns:mc="http://schemas.openxmlformats.org/markup-compatibility/2006">
          <mc:Choice Requires="x14">
            <control shapeId="132213" r:id="rId48" name="Check Box 117">
              <controlPr defaultSize="0" autoFill="0" autoLine="0" autoPict="0">
                <anchor moveWithCells="1">
                  <from>
                    <xdr:col>6</xdr:col>
                    <xdr:colOff>1085850</xdr:colOff>
                    <xdr:row>38</xdr:row>
                    <xdr:rowOff>38100</xdr:rowOff>
                  </from>
                  <to>
                    <xdr:col>9</xdr:col>
                    <xdr:colOff>28575</xdr:colOff>
                    <xdr:row>38</xdr:row>
                    <xdr:rowOff>257175</xdr:rowOff>
                  </to>
                </anchor>
              </controlPr>
            </control>
          </mc:Choice>
        </mc:AlternateContent>
        <mc:AlternateContent xmlns:mc="http://schemas.openxmlformats.org/markup-compatibility/2006">
          <mc:Choice Requires="x14">
            <control shapeId="132214" r:id="rId49" name="Check Box 118">
              <controlPr defaultSize="0" autoFill="0" autoLine="0" autoPict="0">
                <anchor moveWithCells="1">
                  <from>
                    <xdr:col>6</xdr:col>
                    <xdr:colOff>1085850</xdr:colOff>
                    <xdr:row>39</xdr:row>
                    <xdr:rowOff>38100</xdr:rowOff>
                  </from>
                  <to>
                    <xdr:col>9</xdr:col>
                    <xdr:colOff>28575</xdr:colOff>
                    <xdr:row>39</xdr:row>
                    <xdr:rowOff>257175</xdr:rowOff>
                  </to>
                </anchor>
              </controlPr>
            </control>
          </mc:Choice>
        </mc:AlternateContent>
        <mc:AlternateContent xmlns:mc="http://schemas.openxmlformats.org/markup-compatibility/2006">
          <mc:Choice Requires="x14">
            <control shapeId="132215" r:id="rId50" name="Check Box 119">
              <controlPr defaultSize="0" autoFill="0" autoLine="0" autoPict="0">
                <anchor moveWithCells="1">
                  <from>
                    <xdr:col>5</xdr:col>
                    <xdr:colOff>857250</xdr:colOff>
                    <xdr:row>39</xdr:row>
                    <xdr:rowOff>47625</xdr:rowOff>
                  </from>
                  <to>
                    <xdr:col>6</xdr:col>
                    <xdr:colOff>47625</xdr:colOff>
                    <xdr:row>40</xdr:row>
                    <xdr:rowOff>0</xdr:rowOff>
                  </to>
                </anchor>
              </controlPr>
            </control>
          </mc:Choice>
        </mc:AlternateContent>
        <mc:AlternateContent xmlns:mc="http://schemas.openxmlformats.org/markup-compatibility/2006">
          <mc:Choice Requires="x14">
            <control shapeId="132216" r:id="rId51" name="Group Box 120">
              <controlPr defaultSize="0" autoFill="0" autoPict="0">
                <anchor moveWithCells="1">
                  <from>
                    <xdr:col>3</xdr:col>
                    <xdr:colOff>257175</xdr:colOff>
                    <xdr:row>35</xdr:row>
                    <xdr:rowOff>495300</xdr:rowOff>
                  </from>
                  <to>
                    <xdr:col>3</xdr:col>
                    <xdr:colOff>733425</xdr:colOff>
                    <xdr:row>40</xdr:row>
                    <xdr:rowOff>47625</xdr:rowOff>
                  </to>
                </anchor>
              </controlPr>
            </control>
          </mc:Choice>
        </mc:AlternateContent>
        <mc:AlternateContent xmlns:mc="http://schemas.openxmlformats.org/markup-compatibility/2006">
          <mc:Choice Requires="x14">
            <control shapeId="132217" r:id="rId52" name="Option Button 121">
              <controlPr defaultSize="0" autoFill="0" autoLine="0" autoPict="0">
                <anchor moveWithCells="1">
                  <from>
                    <xdr:col>3</xdr:col>
                    <xdr:colOff>400050</xdr:colOff>
                    <xdr:row>36</xdr:row>
                    <xdr:rowOff>19050</xdr:rowOff>
                  </from>
                  <to>
                    <xdr:col>3</xdr:col>
                    <xdr:colOff>704850</xdr:colOff>
                    <xdr:row>37</xdr:row>
                    <xdr:rowOff>47625</xdr:rowOff>
                  </to>
                </anchor>
              </controlPr>
            </control>
          </mc:Choice>
        </mc:AlternateContent>
        <mc:AlternateContent xmlns:mc="http://schemas.openxmlformats.org/markup-compatibility/2006">
          <mc:Choice Requires="x14">
            <control shapeId="132219" r:id="rId53" name="Option Button 123">
              <controlPr defaultSize="0" autoFill="0" autoLine="0" autoPict="0">
                <anchor moveWithCells="1">
                  <from>
                    <xdr:col>3</xdr:col>
                    <xdr:colOff>400050</xdr:colOff>
                    <xdr:row>36</xdr:row>
                    <xdr:rowOff>247650</xdr:rowOff>
                  </from>
                  <to>
                    <xdr:col>3</xdr:col>
                    <xdr:colOff>714375</xdr:colOff>
                    <xdr:row>38</xdr:row>
                    <xdr:rowOff>57150</xdr:rowOff>
                  </to>
                </anchor>
              </controlPr>
            </control>
          </mc:Choice>
        </mc:AlternateContent>
        <mc:AlternateContent xmlns:mc="http://schemas.openxmlformats.org/markup-compatibility/2006">
          <mc:Choice Requires="x14">
            <control shapeId="132221" r:id="rId54" name="Option Button 125">
              <controlPr defaultSize="0" autoFill="0" autoLine="0" autoPict="0">
                <anchor moveWithCells="1">
                  <from>
                    <xdr:col>3</xdr:col>
                    <xdr:colOff>400050</xdr:colOff>
                    <xdr:row>38</xdr:row>
                    <xdr:rowOff>28575</xdr:rowOff>
                  </from>
                  <to>
                    <xdr:col>3</xdr:col>
                    <xdr:colOff>704850</xdr:colOff>
                    <xdr:row>38</xdr:row>
                    <xdr:rowOff>247650</xdr:rowOff>
                  </to>
                </anchor>
              </controlPr>
            </control>
          </mc:Choice>
        </mc:AlternateContent>
        <mc:AlternateContent xmlns:mc="http://schemas.openxmlformats.org/markup-compatibility/2006">
          <mc:Choice Requires="x14">
            <control shapeId="132222" r:id="rId55" name="Option Button 126">
              <controlPr defaultSize="0" autoFill="0" autoLine="0" autoPict="0">
                <anchor moveWithCells="1">
                  <from>
                    <xdr:col>3</xdr:col>
                    <xdr:colOff>409575</xdr:colOff>
                    <xdr:row>38</xdr:row>
                    <xdr:rowOff>257175</xdr:rowOff>
                  </from>
                  <to>
                    <xdr:col>3</xdr:col>
                    <xdr:colOff>733425</xdr:colOff>
                    <xdr:row>39</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149"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5150"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5151"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5152"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5153"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5154"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5155"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6"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F37"/>
  <sheetViews>
    <sheetView showGridLines="0" topLeftCell="A13" zoomScale="145" zoomScaleNormal="145" workbookViewId="0">
      <selection activeCell="D20" sqref="D20:S20"/>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2" t="s">
        <v>349</v>
      </c>
      <c r="E2" s="1212"/>
      <c r="F2" s="1212"/>
      <c r="G2" s="1329" t="str">
        <f>C.2Name</f>
        <v>2012 PM 2.5 Annual NAAQS Infrastructure SIP, and Interstate Transport Submittal for PM 2.5, Pb, SO2, NO2</v>
      </c>
      <c r="H2" s="1329"/>
      <c r="I2" s="1329"/>
      <c r="J2" s="1329"/>
      <c r="K2" s="1329"/>
      <c r="L2" s="1329"/>
      <c r="M2" s="1329"/>
      <c r="N2" s="1329"/>
      <c r="O2" s="1329"/>
      <c r="P2" s="1329"/>
      <c r="Q2" s="1329"/>
      <c r="R2" s="1329"/>
      <c r="S2" s="1329"/>
      <c r="T2" s="200"/>
      <c r="U2" s="563"/>
      <c r="V2" s="572" t="s">
        <v>0</v>
      </c>
      <c r="W2" s="159"/>
      <c r="X2" s="68"/>
      <c r="Y2" s="147"/>
      <c r="Z2" s="147"/>
    </row>
    <row r="3" spans="1:58" s="66" customFormat="1" ht="12.75" customHeight="1" thickTop="1">
      <c r="A3" s="601"/>
      <c r="B3" s="563"/>
      <c r="C3" s="1335"/>
      <c r="D3" s="1336"/>
      <c r="E3" s="1336"/>
      <c r="F3" s="1336"/>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7" t="s">
        <v>1074</v>
      </c>
      <c r="F4" s="1348"/>
      <c r="G4" s="1348"/>
      <c r="H4" s="1348"/>
      <c r="I4" s="1348"/>
      <c r="J4" s="1348"/>
      <c r="K4" s="1348"/>
      <c r="L4" s="1348"/>
      <c r="M4" s="1348"/>
      <c r="N4" s="1348"/>
      <c r="O4" s="1348"/>
      <c r="P4" s="1348"/>
      <c r="Q4" s="1348"/>
      <c r="R4" s="1349"/>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5" t="s">
        <v>186</v>
      </c>
      <c r="F6" s="1346"/>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30" t="s">
        <v>264</v>
      </c>
      <c r="E7" s="1330"/>
      <c r="F7" s="1330"/>
      <c r="G7" s="1330"/>
      <c r="H7" s="502"/>
      <c r="I7" s="1342" t="s">
        <v>283</v>
      </c>
      <c r="J7" s="1343"/>
      <c r="K7" s="1343"/>
      <c r="L7" s="1343"/>
      <c r="M7" s="1343"/>
      <c r="N7" s="1343"/>
      <c r="O7" s="1343"/>
      <c r="P7" s="1343"/>
      <c r="Q7" s="1343"/>
      <c r="R7" s="1344"/>
      <c r="S7" s="502"/>
      <c r="T7" s="309"/>
      <c r="U7" s="563"/>
      <c r="V7" s="313" t="s">
        <v>741</v>
      </c>
      <c r="W7" s="270"/>
      <c r="X7" s="998">
        <f>VLOOKUP(I7,C.VL_SeverityRating,2,FALSE)</f>
        <v>3</v>
      </c>
      <c r="Y7" s="986" t="str">
        <f>I7</f>
        <v>low to medium</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5" t="s">
        <v>280</v>
      </c>
      <c r="H8" s="1356"/>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50" t="s">
        <v>136</v>
      </c>
      <c r="E9" s="1350"/>
      <c r="F9" s="1350"/>
      <c r="G9" s="1350"/>
      <c r="H9" s="974" t="s">
        <v>0</v>
      </c>
      <c r="I9" s="974"/>
      <c r="J9" s="120"/>
      <c r="K9" s="120"/>
      <c r="L9" s="120"/>
      <c r="M9" s="120"/>
      <c r="N9" s="120"/>
      <c r="O9" s="120"/>
      <c r="P9" s="120"/>
      <c r="Q9" s="120"/>
      <c r="R9" s="120"/>
      <c r="S9" s="114"/>
      <c r="T9" s="206"/>
      <c r="U9" s="563"/>
      <c r="V9" s="575" t="s">
        <v>0</v>
      </c>
      <c r="W9" s="273"/>
      <c r="X9" s="284" t="b">
        <v>1</v>
      </c>
      <c r="Y9" s="1000" t="str">
        <f>IF($X9=FALSE,"",IF(COUNTIF($X10:$X$16,TRUE)=0,LOWER($D9),IF(COUNTIF($X10:$X$16,TRUE)=1,LOWER($D9)&amp;" and ",LOWER($D9)&amp;", ")))</f>
        <v xml:space="preserve">loss of delegation, </v>
      </c>
      <c r="Z9" s="1001">
        <f>IF(X9=TRUE,7,0)</f>
        <v>7</v>
      </c>
      <c r="AB9" s="273"/>
      <c r="AC9" s="273"/>
    </row>
    <row r="10" spans="1:58" s="66" customFormat="1" ht="21" customHeight="1">
      <c r="A10" s="601"/>
      <c r="B10" s="563"/>
      <c r="C10" s="202"/>
      <c r="D10" s="1350" t="s">
        <v>137</v>
      </c>
      <c r="E10" s="1350"/>
      <c r="F10" s="1350"/>
      <c r="G10" s="1351"/>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40" t="s">
        <v>190</v>
      </c>
      <c r="E11" s="1340"/>
      <c r="F11" s="1340"/>
      <c r="G11" s="1341"/>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40" t="s">
        <v>140</v>
      </c>
      <c r="E12" s="1340"/>
      <c r="F12" s="1340"/>
      <c r="G12" s="1341"/>
      <c r="H12" s="114"/>
      <c r="I12" s="114"/>
      <c r="J12" s="114"/>
      <c r="K12" s="114"/>
      <c r="L12" s="114"/>
      <c r="M12" s="114"/>
      <c r="N12" s="114"/>
      <c r="O12" s="114"/>
      <c r="P12" s="114"/>
      <c r="Q12" s="114"/>
      <c r="R12" s="114"/>
      <c r="S12" s="114"/>
      <c r="T12" s="206"/>
      <c r="U12" s="563"/>
      <c r="V12" s="575"/>
      <c r="W12" s="273"/>
      <c r="X12" s="284" t="b">
        <v>1</v>
      </c>
      <c r="Y12" s="1000" t="str">
        <f>IF($X12=FALSE,"",IF(COUNTIF($X13:$X$16,TRUE)=0,LOWER($D12),IF(COUNTIF($X13:$X$16,TRUE)=1,LOWER($D12)&amp;" and ",LOWER($D12)&amp;", ")))</f>
        <v xml:space="preserve">increased difficulty doing business and </v>
      </c>
      <c r="Z12" s="1001">
        <f t="shared" si="0"/>
        <v>7</v>
      </c>
      <c r="AB12" s="273"/>
      <c r="AC12" s="273"/>
    </row>
    <row r="13" spans="1:58" s="66" customFormat="1" ht="21" customHeight="1">
      <c r="A13" s="601"/>
      <c r="B13" s="563"/>
      <c r="C13" s="202"/>
      <c r="D13" s="1340" t="s">
        <v>265</v>
      </c>
      <c r="E13" s="1340"/>
      <c r="F13" s="1340"/>
      <c r="G13" s="1341"/>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40" t="s">
        <v>143</v>
      </c>
      <c r="E14" s="1340"/>
      <c r="F14" s="1340"/>
      <c r="G14" s="1341"/>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38" t="s">
        <v>370</v>
      </c>
      <c r="E15" s="1338"/>
      <c r="F15" s="1338"/>
      <c r="G15" s="1338"/>
      <c r="H15" s="1338"/>
      <c r="I15" s="1338"/>
      <c r="J15" s="1338"/>
      <c r="K15" s="1338"/>
      <c r="L15" s="1338"/>
      <c r="M15" s="1338"/>
      <c r="N15" s="1338"/>
      <c r="O15" s="1338"/>
      <c r="P15" s="1338"/>
      <c r="Q15" s="1338"/>
      <c r="R15" s="1338"/>
      <c r="S15" s="1338"/>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9" t="s">
        <v>370</v>
      </c>
      <c r="E16" s="1339"/>
      <c r="F16" s="1339"/>
      <c r="G16" s="1339"/>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2" t="s">
        <v>399</v>
      </c>
      <c r="E17" s="1352"/>
      <c r="F17" s="1352"/>
      <c r="G17" s="1352"/>
      <c r="H17" s="302"/>
      <c r="I17" s="302"/>
      <c r="J17" s="302"/>
      <c r="K17" s="302"/>
      <c r="L17" s="302"/>
      <c r="M17" s="302"/>
      <c r="N17" s="302"/>
      <c r="O17" s="302"/>
      <c r="P17" s="302"/>
      <c r="Q17" s="302"/>
      <c r="R17" s="302"/>
      <c r="S17" s="303"/>
      <c r="T17" s="206"/>
      <c r="U17" s="563"/>
      <c r="V17" s="576" t="s">
        <v>0</v>
      </c>
      <c r="W17" s="161"/>
      <c r="X17" s="1353" t="str">
        <f>IF(COUNTIF(X9:X16,TRUE),"If DEQ does not address this in rules, the program risks "&amp;Y9&amp;Y10&amp;Y11&amp;Y12&amp;Y13&amp;Y14&amp;Y15&amp;Y16&amp;".","")</f>
        <v>If DEQ does not address this in rules, the program risks loss of delegation, 0increased difficulty doing business and loss of reputation.</v>
      </c>
      <c r="Y17" s="1353"/>
      <c r="Z17" s="1354"/>
      <c r="AA17"/>
    </row>
    <row r="18" spans="1:27" s="6" customFormat="1" ht="15.75" customHeight="1">
      <c r="A18" s="601"/>
      <c r="B18" s="563"/>
      <c r="C18" s="202"/>
      <c r="D18" s="1261" t="s">
        <v>0</v>
      </c>
      <c r="E18" s="1262"/>
      <c r="F18" s="1262"/>
      <c r="G18" s="1262"/>
      <c r="H18" s="1262"/>
      <c r="I18" s="1262"/>
      <c r="J18" s="1262"/>
      <c r="K18" s="1262"/>
      <c r="L18" s="1262"/>
      <c r="M18" s="1262"/>
      <c r="N18" s="1262"/>
      <c r="O18" s="1262"/>
      <c r="P18" s="1262"/>
      <c r="Q18" s="1262"/>
      <c r="R18" s="1262"/>
      <c r="S18" s="1263"/>
      <c r="T18" s="206"/>
      <c r="U18" s="563"/>
      <c r="V18" s="576"/>
      <c r="W18" s="161"/>
      <c r="X18" s="1354"/>
      <c r="Y18" s="1354"/>
      <c r="Z18" s="1354"/>
    </row>
    <row r="19" spans="1:27" s="66" customFormat="1" ht="21.75" customHeight="1">
      <c r="A19" s="601"/>
      <c r="B19" s="563"/>
      <c r="C19" s="202"/>
      <c r="D19" s="1364" t="s">
        <v>400</v>
      </c>
      <c r="E19" s="1364"/>
      <c r="F19" s="1364"/>
      <c r="G19" s="1364"/>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61" t="s">
        <v>1085</v>
      </c>
      <c r="E20" s="1262"/>
      <c r="F20" s="1262"/>
      <c r="G20" s="1262"/>
      <c r="H20" s="1262"/>
      <c r="I20" s="1262"/>
      <c r="J20" s="1262"/>
      <c r="K20" s="1262"/>
      <c r="L20" s="1262"/>
      <c r="M20" s="1262"/>
      <c r="N20" s="1262"/>
      <c r="O20" s="1262"/>
      <c r="P20" s="1262"/>
      <c r="Q20" s="1262"/>
      <c r="R20" s="1262"/>
      <c r="S20" s="1263"/>
      <c r="T20" s="207"/>
      <c r="U20" s="563"/>
      <c r="V20" s="572" t="s">
        <v>0</v>
      </c>
      <c r="W20" s="161"/>
      <c r="X20" s="38"/>
      <c r="Y20" s="38"/>
      <c r="Z20" s="35"/>
    </row>
    <row r="21" spans="1:27" s="2" customFormat="1" ht="27" customHeight="1">
      <c r="A21" s="601"/>
      <c r="B21" s="563" t="s">
        <v>0</v>
      </c>
      <c r="C21" s="208"/>
      <c r="D21" s="1330" t="s">
        <v>192</v>
      </c>
      <c r="E21" s="1330"/>
      <c r="F21" s="1330"/>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7"/>
      <c r="K22" s="1337"/>
      <c r="L22" s="1337"/>
      <c r="M22" s="1337"/>
      <c r="N22" s="1337"/>
      <c r="O22" s="1337"/>
      <c r="P22" s="1337"/>
      <c r="Q22" s="1337"/>
      <c r="R22" s="1337"/>
      <c r="S22" s="1337"/>
      <c r="T22" s="209"/>
      <c r="U22" s="563"/>
      <c r="V22" s="577" t="s">
        <v>0</v>
      </c>
      <c r="W22" s="174"/>
      <c r="X22" s="115" t="s">
        <v>0</v>
      </c>
      <c r="Y22" s="115"/>
      <c r="Z22" s="115" t="s">
        <v>0</v>
      </c>
    </row>
    <row r="23" spans="1:27" s="2" customFormat="1" ht="29.25" customHeight="1">
      <c r="A23" s="601"/>
      <c r="B23" s="563"/>
      <c r="C23" s="211"/>
      <c r="D23" s="1331" t="s">
        <v>217</v>
      </c>
      <c r="E23" s="1332"/>
      <c r="F23" s="1332"/>
      <c r="G23" s="1333"/>
      <c r="H23" s="1333"/>
      <c r="I23" s="1333"/>
      <c r="J23" s="1334"/>
      <c r="K23" s="1334"/>
      <c r="L23" s="1334"/>
      <c r="M23" s="1334"/>
      <c r="N23" s="1334"/>
      <c r="O23" s="1334"/>
      <c r="P23" s="1334"/>
      <c r="Q23" s="1334"/>
      <c r="R23" s="1334"/>
      <c r="S23" s="1334"/>
      <c r="T23" s="212"/>
      <c r="U23" s="563"/>
      <c r="V23" s="578"/>
      <c r="W23" s="159"/>
      <c r="X23" s="144">
        <v>1</v>
      </c>
      <c r="Y23" s="75" t="s">
        <v>230</v>
      </c>
      <c r="Z23" s="75"/>
    </row>
    <row r="24" spans="1:27" s="843" customFormat="1" ht="17.25" customHeight="1">
      <c r="A24" s="852"/>
      <c r="B24" s="851"/>
      <c r="C24" s="973"/>
      <c r="D24" s="1368" t="s">
        <v>493</v>
      </c>
      <c r="E24" s="1368"/>
      <c r="F24" s="1368"/>
      <c r="G24" s="1368"/>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5" t="s">
        <v>0</v>
      </c>
      <c r="E25" s="1366"/>
      <c r="F25" s="1366"/>
      <c r="G25" s="1366"/>
      <c r="H25" s="1366"/>
      <c r="I25" s="1366"/>
      <c r="J25" s="1366"/>
      <c r="K25" s="1366"/>
      <c r="L25" s="1366"/>
      <c r="M25" s="1366"/>
      <c r="N25" s="1366"/>
      <c r="O25" s="1366"/>
      <c r="P25" s="1366"/>
      <c r="Q25" s="1366"/>
      <c r="R25" s="1366"/>
      <c r="S25" s="1367"/>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63" t="s">
        <v>401</v>
      </c>
      <c r="E27" s="1363"/>
      <c r="F27" s="1363"/>
      <c r="G27" s="1360" t="s">
        <v>0</v>
      </c>
      <c r="H27" s="1360"/>
      <c r="I27" s="1360"/>
      <c r="J27" s="1342" t="s">
        <v>37</v>
      </c>
      <c r="K27" s="1343"/>
      <c r="L27" s="1343"/>
      <c r="M27" s="1343"/>
      <c r="N27" s="1343"/>
      <c r="O27" s="1343"/>
      <c r="P27" s="1343"/>
      <c r="Q27" s="1343"/>
      <c r="R27" s="1343"/>
      <c r="S27" s="1344"/>
      <c r="T27" s="201"/>
      <c r="U27" s="563"/>
      <c r="V27" s="313" t="s">
        <v>760</v>
      </c>
      <c r="W27" s="161"/>
      <c r="X27" s="1002"/>
      <c r="Y27" s="147"/>
      <c r="Z27" s="147"/>
    </row>
    <row r="28" spans="1:27" s="66" customFormat="1" ht="15.75" customHeight="1">
      <c r="A28" s="601"/>
      <c r="B28" s="563"/>
      <c r="C28" s="202"/>
      <c r="D28" s="1363"/>
      <c r="E28" s="1363"/>
      <c r="F28" s="1363"/>
      <c r="G28" s="1361" t="s">
        <v>247</v>
      </c>
      <c r="H28" s="1361"/>
      <c r="I28" s="1362"/>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61" t="s">
        <v>0</v>
      </c>
      <c r="E33" s="1262"/>
      <c r="F33" s="1262"/>
      <c r="G33" s="1262"/>
      <c r="H33" s="1262"/>
      <c r="I33" s="1262"/>
      <c r="J33" s="1262"/>
      <c r="K33" s="1262"/>
      <c r="L33" s="1262"/>
      <c r="M33" s="1262"/>
      <c r="N33" s="1262"/>
      <c r="O33" s="1262"/>
      <c r="P33" s="1262"/>
      <c r="Q33" s="1262"/>
      <c r="R33" s="1262"/>
      <c r="S33" s="1263"/>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57" t="s">
        <v>0</v>
      </c>
      <c r="E35" s="1358"/>
      <c r="F35" s="1358"/>
      <c r="G35" s="1358"/>
      <c r="H35" s="1358"/>
      <c r="I35" s="1358"/>
      <c r="J35" s="1358"/>
      <c r="K35" s="1358"/>
      <c r="L35" s="1358"/>
      <c r="M35" s="1358"/>
      <c r="N35" s="1358"/>
      <c r="O35" s="1358"/>
      <c r="P35" s="1358"/>
      <c r="Q35" s="1358"/>
      <c r="R35" s="1358"/>
      <c r="S35" s="1359"/>
      <c r="T35" s="201"/>
      <c r="U35" s="563"/>
      <c r="V35" s="582"/>
      <c r="W35" s="161"/>
      <c r="X35" s="122"/>
      <c r="Y35" s="147"/>
      <c r="Z35" s="147"/>
    </row>
    <row r="36" spans="1:26">
      <c r="B36" s="563"/>
      <c r="C36" s="293"/>
      <c r="D36" s="294"/>
      <c r="E36" s="294"/>
      <c r="F36" s="294"/>
      <c r="G36" s="1273">
        <f ca="1">TODAY()</f>
        <v>41960</v>
      </c>
      <c r="H36" s="1273"/>
      <c r="I36" s="1273"/>
      <c r="J36" s="1273"/>
      <c r="K36" s="1273"/>
      <c r="L36" s="1273"/>
      <c r="M36" s="1273"/>
      <c r="N36" s="1273"/>
      <c r="O36" s="1273"/>
      <c r="P36" s="1273"/>
      <c r="Q36" s="1273"/>
      <c r="R36" s="1273"/>
      <c r="S36" s="1273"/>
      <c r="T36" s="1274"/>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82" priority="55" stopIfTrue="1">
      <formula>IF($X$28&lt;10,TRUE,)</formula>
    </cfRule>
  </conditionalFormatting>
  <conditionalFormatting sqref="J28">
    <cfRule type="expression" dxfId="281" priority="4521" stopIfTrue="1">
      <formula>IF($X$28&lt;1,TRUE,)</formula>
    </cfRule>
  </conditionalFormatting>
  <conditionalFormatting sqref="K28">
    <cfRule type="expression" dxfId="280" priority="4523" stopIfTrue="1">
      <formula>IF($X$28&lt;2,TRUE,)</formula>
    </cfRule>
  </conditionalFormatting>
  <conditionalFormatting sqref="M28">
    <cfRule type="expression" dxfId="279" priority="4527" stopIfTrue="1">
      <formula>IF($X28&lt;4,TRUE,)</formula>
    </cfRule>
  </conditionalFormatting>
  <conditionalFormatting sqref="N28">
    <cfRule type="expression" dxfId="278" priority="4529" stopIfTrue="1">
      <formula>IF($X$28&lt;5,TRUE,)</formula>
    </cfRule>
  </conditionalFormatting>
  <conditionalFormatting sqref="O28">
    <cfRule type="expression" dxfId="277" priority="4531" stopIfTrue="1">
      <formula>IF($X$28&lt;6,TRUE,)</formula>
    </cfRule>
  </conditionalFormatting>
  <conditionalFormatting sqref="P28">
    <cfRule type="expression" dxfId="276" priority="4533" stopIfTrue="1">
      <formula>IF($X$28&lt;7,TRUE,)</formula>
    </cfRule>
  </conditionalFormatting>
  <conditionalFormatting sqref="Q28">
    <cfRule type="expression" dxfId="275" priority="4535" stopIfTrue="1">
      <formula>IF($X$28&lt;8,TRUE,)</formula>
    </cfRule>
  </conditionalFormatting>
  <conditionalFormatting sqref="R28">
    <cfRule type="expression" dxfId="274" priority="4537" stopIfTrue="1">
      <formula>IF($X$28&lt;9,TRUE,)</formula>
    </cfRule>
  </conditionalFormatting>
  <conditionalFormatting sqref="L2:L3 L23 L32 L18:L20">
    <cfRule type="expression" dxfId="273" priority="4539" stopIfTrue="1">
      <formula>IF(AND(#REF!="H",$X2&lt;3),TRUE,)</formula>
    </cfRule>
  </conditionalFormatting>
  <conditionalFormatting sqref="L28">
    <cfRule type="expression" dxfId="272" priority="4525" stopIfTrue="1">
      <formula>IF($X$28&lt;3,TRUE,)</formula>
    </cfRule>
  </conditionalFormatting>
  <conditionalFormatting sqref="L34">
    <cfRule type="expression" dxfId="271" priority="17" stopIfTrue="1">
      <formula>IF(AND(#REF!="H",$X34&lt;3),TRUE,)</formula>
    </cfRule>
  </conditionalFormatting>
  <conditionalFormatting sqref="R8">
    <cfRule type="expression" dxfId="270" priority="1" stopIfTrue="1">
      <formula>IF($X$7&lt;10,TRUE,)</formula>
    </cfRule>
  </conditionalFormatting>
  <conditionalFormatting sqref="I8">
    <cfRule type="expression" dxfId="269" priority="2" stopIfTrue="1">
      <formula>IF($X$7&lt;1,TRUE,)</formula>
    </cfRule>
  </conditionalFormatting>
  <conditionalFormatting sqref="J8">
    <cfRule type="expression" dxfId="268" priority="3" stopIfTrue="1">
      <formula>IF($X$7&lt;2,TRUE,)</formula>
    </cfRule>
  </conditionalFormatting>
  <conditionalFormatting sqref="L8">
    <cfRule type="expression" dxfId="267" priority="5" stopIfTrue="1">
      <formula>IF($X$7&lt;4,TRUE,)</formula>
    </cfRule>
  </conditionalFormatting>
  <conditionalFormatting sqref="M8">
    <cfRule type="expression" dxfId="266" priority="6" stopIfTrue="1">
      <formula>IF($X$7&lt;5,TRUE,)</formula>
    </cfRule>
  </conditionalFormatting>
  <conditionalFormatting sqref="N8">
    <cfRule type="expression" dxfId="265" priority="7" stopIfTrue="1">
      <formula>IF($X$7&lt;6,TRUE,)</formula>
    </cfRule>
  </conditionalFormatting>
  <conditionalFormatting sqref="O8">
    <cfRule type="expression" dxfId="264" priority="8" stopIfTrue="1">
      <formula>IF($X$7&lt;7,TRUE,)</formula>
    </cfRule>
  </conditionalFormatting>
  <conditionalFormatting sqref="P8">
    <cfRule type="expression" dxfId="263" priority="9" stopIfTrue="1">
      <formula>IF($X$7&lt;8,TRUE,)</formula>
    </cfRule>
  </conditionalFormatting>
  <conditionalFormatting sqref="Q8">
    <cfRule type="expression" dxfId="262" priority="10" stopIfTrue="1">
      <formula>IF($X$7&lt;9,TRUE,)</formula>
    </cfRule>
  </conditionalFormatting>
  <conditionalFormatting sqref="K8">
    <cfRule type="expression" dxfId="261"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33123" r:id="rId4" name="Group Box 3">
              <controlPr defaultSize="0" autoFill="0" autoPict="0">
                <anchor moveWithCells="1">
                  <from>
                    <xdr:col>3</xdr:col>
                    <xdr:colOff>0</xdr:colOff>
                    <xdr:row>22</xdr:row>
                    <xdr:rowOff>9525</xdr:rowOff>
                  </from>
                  <to>
                    <xdr:col>19</xdr:col>
                    <xdr:colOff>0</xdr:colOff>
                    <xdr:row>23</xdr:row>
                    <xdr:rowOff>0</xdr:rowOff>
                  </to>
                </anchor>
              </controlPr>
            </control>
          </mc:Choice>
        </mc:AlternateContent>
        <mc:AlternateContent xmlns:mc="http://schemas.openxmlformats.org/markup-compatibility/2006">
          <mc:Choice Requires="x14">
            <control shapeId="133124" r:id="rId5" name="Option Button 4">
              <controlPr defaultSize="0" autoFill="0" autoLine="0" autoPict="0">
                <anchor moveWithCells="1">
                  <from>
                    <xdr:col>3</xdr:col>
                    <xdr:colOff>352425</xdr:colOff>
                    <xdr:row>22</xdr:row>
                    <xdr:rowOff>85725</xdr:rowOff>
                  </from>
                  <to>
                    <xdr:col>3</xdr:col>
                    <xdr:colOff>952500</xdr:colOff>
                    <xdr:row>22</xdr:row>
                    <xdr:rowOff>304800</xdr:rowOff>
                  </to>
                </anchor>
              </controlPr>
            </control>
          </mc:Choice>
        </mc:AlternateContent>
        <mc:AlternateContent xmlns:mc="http://schemas.openxmlformats.org/markup-compatibility/2006">
          <mc:Choice Requires="x14">
            <control shapeId="133125" r:id="rId6" name="Option Button 5">
              <controlPr defaultSize="0" autoFill="0" autoLine="0" autoPict="0">
                <anchor moveWithCells="1">
                  <from>
                    <xdr:col>4</xdr:col>
                    <xdr:colOff>85725</xdr:colOff>
                    <xdr:row>22</xdr:row>
                    <xdr:rowOff>95250</xdr:rowOff>
                  </from>
                  <to>
                    <xdr:col>5</xdr:col>
                    <xdr:colOff>190500</xdr:colOff>
                    <xdr:row>22</xdr:row>
                    <xdr:rowOff>314325</xdr:rowOff>
                  </to>
                </anchor>
              </controlPr>
            </control>
          </mc:Choice>
        </mc:AlternateContent>
        <mc:AlternateContent xmlns:mc="http://schemas.openxmlformats.org/markup-compatibility/2006">
          <mc:Choice Requires="x14">
            <control shapeId="133126" r:id="rId7" name="Option Button 6">
              <controlPr defaultSize="0" autoFill="0" autoLine="0" autoPict="0">
                <anchor moveWithCells="1">
                  <from>
                    <xdr:col>6</xdr:col>
                    <xdr:colOff>219075</xdr:colOff>
                    <xdr:row>22</xdr:row>
                    <xdr:rowOff>57150</xdr:rowOff>
                  </from>
                  <to>
                    <xdr:col>6</xdr:col>
                    <xdr:colOff>1057275</xdr:colOff>
                    <xdr:row>22</xdr:row>
                    <xdr:rowOff>323850</xdr:rowOff>
                  </to>
                </anchor>
              </controlPr>
            </control>
          </mc:Choice>
        </mc:AlternateContent>
        <mc:AlternateContent xmlns:mc="http://schemas.openxmlformats.org/markup-compatibility/2006">
          <mc:Choice Requires="x14">
            <control shapeId="133127" r:id="rId8" name="Option Button 7">
              <controlPr defaultSize="0" autoFill="0" autoLine="0" autoPict="0">
                <anchor moveWithCells="1">
                  <from>
                    <xdr:col>7</xdr:col>
                    <xdr:colOff>161925</xdr:colOff>
                    <xdr:row>22</xdr:row>
                    <xdr:rowOff>85725</xdr:rowOff>
                  </from>
                  <to>
                    <xdr:col>7</xdr:col>
                    <xdr:colOff>466725</xdr:colOff>
                    <xdr:row>22</xdr:row>
                    <xdr:rowOff>304800</xdr:rowOff>
                  </to>
                </anchor>
              </controlPr>
            </control>
          </mc:Choice>
        </mc:AlternateContent>
        <mc:AlternateContent xmlns:mc="http://schemas.openxmlformats.org/markup-compatibility/2006">
          <mc:Choice Requires="x14">
            <control shapeId="133128" r:id="rId9" name="Option Button 8">
              <controlPr defaultSize="0" autoFill="0" autoLine="0" autoPict="0">
                <anchor moveWithCells="1">
                  <from>
                    <xdr:col>14</xdr:col>
                    <xdr:colOff>9525</xdr:colOff>
                    <xdr:row>22</xdr:row>
                    <xdr:rowOff>85725</xdr:rowOff>
                  </from>
                  <to>
                    <xdr:col>18</xdr:col>
                    <xdr:colOff>0</xdr:colOff>
                    <xdr:row>22</xdr:row>
                    <xdr:rowOff>304800</xdr:rowOff>
                  </to>
                </anchor>
              </controlPr>
            </control>
          </mc:Choice>
        </mc:AlternateContent>
        <mc:AlternateContent xmlns:mc="http://schemas.openxmlformats.org/markup-compatibility/2006">
          <mc:Choice Requires="x14">
            <control shapeId="133129" r:id="rId10" name="Check Box 9">
              <controlPr defaultSize="0" autoFill="0" autoLine="0" autoPict="0">
                <anchor moveWithCells="1">
                  <from>
                    <xdr:col>3</xdr:col>
                    <xdr:colOff>561975</xdr:colOff>
                    <xdr:row>10</xdr:row>
                    <xdr:rowOff>9525</xdr:rowOff>
                  </from>
                  <to>
                    <xdr:col>3</xdr:col>
                    <xdr:colOff>866775</xdr:colOff>
                    <xdr:row>10</xdr:row>
                    <xdr:rowOff>228600</xdr:rowOff>
                  </to>
                </anchor>
              </controlPr>
            </control>
          </mc:Choice>
        </mc:AlternateContent>
        <mc:AlternateContent xmlns:mc="http://schemas.openxmlformats.org/markup-compatibility/2006">
          <mc:Choice Requires="x14">
            <control shapeId="133130" r:id="rId11" name="Check Box 10">
              <controlPr defaultSize="0" autoFill="0" autoLine="0" autoPict="0">
                <anchor moveWithCells="1">
                  <from>
                    <xdr:col>3</xdr:col>
                    <xdr:colOff>561975</xdr:colOff>
                    <xdr:row>11</xdr:row>
                    <xdr:rowOff>19050</xdr:rowOff>
                  </from>
                  <to>
                    <xdr:col>3</xdr:col>
                    <xdr:colOff>866775</xdr:colOff>
                    <xdr:row>11</xdr:row>
                    <xdr:rowOff>238125</xdr:rowOff>
                  </to>
                </anchor>
              </controlPr>
            </control>
          </mc:Choice>
        </mc:AlternateContent>
        <mc:AlternateContent xmlns:mc="http://schemas.openxmlformats.org/markup-compatibility/2006">
          <mc:Choice Requires="x14">
            <control shapeId="133131" r:id="rId12" name="Check Box 11">
              <controlPr defaultSize="0" autoFill="0" autoLine="0" autoPict="0">
                <anchor moveWithCells="1">
                  <from>
                    <xdr:col>3</xdr:col>
                    <xdr:colOff>561975</xdr:colOff>
                    <xdr:row>8</xdr:row>
                    <xdr:rowOff>38100</xdr:rowOff>
                  </from>
                  <to>
                    <xdr:col>3</xdr:col>
                    <xdr:colOff>866775</xdr:colOff>
                    <xdr:row>8</xdr:row>
                    <xdr:rowOff>257175</xdr:rowOff>
                  </to>
                </anchor>
              </controlPr>
            </control>
          </mc:Choice>
        </mc:AlternateContent>
        <mc:AlternateContent xmlns:mc="http://schemas.openxmlformats.org/markup-compatibility/2006">
          <mc:Choice Requires="x14">
            <control shapeId="133133" r:id="rId13" name="Check Box 13">
              <controlPr defaultSize="0" autoFill="0" autoLine="0" autoPict="0">
                <anchor moveWithCells="1">
                  <from>
                    <xdr:col>3</xdr:col>
                    <xdr:colOff>561975</xdr:colOff>
                    <xdr:row>9</xdr:row>
                    <xdr:rowOff>19050</xdr:rowOff>
                  </from>
                  <to>
                    <xdr:col>3</xdr:col>
                    <xdr:colOff>866775</xdr:colOff>
                    <xdr:row>9</xdr:row>
                    <xdr:rowOff>238125</xdr:rowOff>
                  </to>
                </anchor>
              </controlPr>
            </control>
          </mc:Choice>
        </mc:AlternateContent>
        <mc:AlternateContent xmlns:mc="http://schemas.openxmlformats.org/markup-compatibility/2006">
          <mc:Choice Requires="x14">
            <control shapeId="133134" r:id="rId14" name="Check Box 14">
              <controlPr defaultSize="0" autoFill="0" autoLine="0" autoPict="0">
                <anchor moveWithCells="1">
                  <from>
                    <xdr:col>3</xdr:col>
                    <xdr:colOff>561975</xdr:colOff>
                    <xdr:row>15</xdr:row>
                    <xdr:rowOff>0</xdr:rowOff>
                  </from>
                  <to>
                    <xdr:col>3</xdr:col>
                    <xdr:colOff>866775</xdr:colOff>
                    <xdr:row>15</xdr:row>
                    <xdr:rowOff>219075</xdr:rowOff>
                  </to>
                </anchor>
              </controlPr>
            </control>
          </mc:Choice>
        </mc:AlternateContent>
        <mc:AlternateContent xmlns:mc="http://schemas.openxmlformats.org/markup-compatibility/2006">
          <mc:Choice Requires="x14">
            <control shapeId="133135" r:id="rId15" name="Check Box 15">
              <controlPr defaultSize="0" autoFill="0" autoLine="0" autoPict="0">
                <anchor moveWithCells="1">
                  <from>
                    <xdr:col>3</xdr:col>
                    <xdr:colOff>561975</xdr:colOff>
                    <xdr:row>12</xdr:row>
                    <xdr:rowOff>9525</xdr:rowOff>
                  </from>
                  <to>
                    <xdr:col>3</xdr:col>
                    <xdr:colOff>866775</xdr:colOff>
                    <xdr:row>12</xdr:row>
                    <xdr:rowOff>228600</xdr:rowOff>
                  </to>
                </anchor>
              </controlPr>
            </control>
          </mc:Choice>
        </mc:AlternateContent>
        <mc:AlternateContent xmlns:mc="http://schemas.openxmlformats.org/markup-compatibility/2006">
          <mc:Choice Requires="x14">
            <control shapeId="133136" r:id="rId16" name="Check Box 16">
              <controlPr defaultSize="0" autoFill="0" autoLine="0" autoPict="0">
                <anchor moveWithCells="1">
                  <from>
                    <xdr:col>3</xdr:col>
                    <xdr:colOff>561975</xdr:colOff>
                    <xdr:row>13</xdr:row>
                    <xdr:rowOff>19050</xdr:rowOff>
                  </from>
                  <to>
                    <xdr:col>3</xdr:col>
                    <xdr:colOff>866775</xdr:colOff>
                    <xdr:row>13</xdr:row>
                    <xdr:rowOff>238125</xdr:rowOff>
                  </to>
                </anchor>
              </controlPr>
            </control>
          </mc:Choice>
        </mc:AlternateContent>
        <mc:AlternateContent xmlns:mc="http://schemas.openxmlformats.org/markup-compatibility/2006">
          <mc:Choice Requires="x14">
            <control shapeId="133137" r:id="rId17" name="Check Box 17">
              <controlPr defaultSize="0" autoFill="0" autoLine="0" autoPict="0">
                <anchor moveWithCells="1">
                  <from>
                    <xdr:col>3</xdr:col>
                    <xdr:colOff>561975</xdr:colOff>
                    <xdr:row>14</xdr:row>
                    <xdr:rowOff>19050</xdr:rowOff>
                  </from>
                  <to>
                    <xdr:col>3</xdr:col>
                    <xdr:colOff>866775</xdr:colOff>
                    <xdr:row>14</xdr:row>
                    <xdr:rowOff>238125</xdr:rowOff>
                  </to>
                </anchor>
              </controlPr>
            </control>
          </mc:Choice>
        </mc:AlternateContent>
        <mc:AlternateContent xmlns:mc="http://schemas.openxmlformats.org/markup-compatibility/2006">
          <mc:Choice Requires="x14">
            <control shapeId="133145" r:id="rId18" name="Option Button 25">
              <controlPr defaultSize="0" autoFill="0" autoLine="0" autoPict="0">
                <anchor moveWithCells="1">
                  <from>
                    <xdr:col>7</xdr:col>
                    <xdr:colOff>438150</xdr:colOff>
                    <xdr:row>8</xdr:row>
                    <xdr:rowOff>0</xdr:rowOff>
                  </from>
                  <to>
                    <xdr:col>7</xdr:col>
                    <xdr:colOff>438150</xdr:colOff>
                    <xdr:row>9</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1"/>
  <dimension ref="A1:BN48"/>
  <sheetViews>
    <sheetView showGridLines="0" topLeftCell="A37" workbookViewId="0">
      <selection activeCell="E4" sqref="E4:H4"/>
    </sheetView>
  </sheetViews>
  <sheetFormatPr defaultColWidth="9"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4" t="s">
        <v>100</v>
      </c>
      <c r="E2" s="1394"/>
      <c r="F2" s="1394"/>
      <c r="G2" s="1381" t="str">
        <f>C.2Name</f>
        <v>2012 PM 2.5 Annual NAAQS Infrastructure SIP, and Interstate Transport Submittal for PM 2.5, Pb, SO2, NO2</v>
      </c>
      <c r="H2" s="1381"/>
      <c r="I2" s="1381"/>
      <c r="J2" s="1381"/>
      <c r="K2" s="1381"/>
      <c r="L2" s="1381"/>
      <c r="M2" s="1381"/>
      <c r="N2" s="1381"/>
      <c r="O2" s="1381"/>
      <c r="P2" s="1381"/>
      <c r="Q2" s="1381"/>
      <c r="R2" s="1381"/>
      <c r="S2" s="1381"/>
      <c r="T2" s="1102"/>
      <c r="U2" s="563" t="s">
        <v>0</v>
      </c>
      <c r="V2" s="180" t="s">
        <v>0</v>
      </c>
      <c r="W2" s="159"/>
      <c r="X2" s="68"/>
      <c r="Y2" s="147"/>
      <c r="Z2" s="1135" t="s">
        <v>0</v>
      </c>
    </row>
    <row r="3" spans="1:58" s="66" customFormat="1" ht="12.75" customHeight="1" thickTop="1">
      <c r="A3" s="602"/>
      <c r="B3" s="563"/>
      <c r="C3" s="1382"/>
      <c r="D3" s="1383"/>
      <c r="E3" s="1383"/>
      <c r="F3" s="1383"/>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75" t="s">
        <v>1075</v>
      </c>
      <c r="F4" s="1376"/>
      <c r="G4" s="1376"/>
      <c r="H4" s="1377"/>
      <c r="I4" s="1392" t="s">
        <v>0</v>
      </c>
      <c r="J4" s="1393"/>
      <c r="K4" s="1393"/>
      <c r="L4" s="1393"/>
      <c r="M4" s="1393"/>
      <c r="N4" s="1393"/>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97" t="str">
        <f>X5</f>
        <v/>
      </c>
      <c r="E5" s="1397"/>
      <c r="F5" s="1397"/>
      <c r="G5" s="1397"/>
      <c r="H5" s="1397"/>
      <c r="I5" s="1397"/>
      <c r="J5" s="1397"/>
      <c r="K5" s="1397"/>
      <c r="L5" s="1397"/>
      <c r="M5" s="1397"/>
      <c r="N5" s="1397"/>
      <c r="O5" s="1397"/>
      <c r="P5" s="1397"/>
      <c r="Q5" s="1397"/>
      <c r="R5" s="1397"/>
      <c r="S5" s="1397"/>
      <c r="T5" s="630"/>
      <c r="U5" s="563"/>
      <c r="V5" s="248"/>
      <c r="W5" s="248"/>
      <c r="X5" s="1395" t="str">
        <f>IF(E4="have no direct correlation to the environment.","The team does not need to complete this worksheet.","")</f>
        <v/>
      </c>
      <c r="Y5" s="1396"/>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6" t="s">
        <v>282</v>
      </c>
      <c r="J6" s="1387"/>
      <c r="K6" s="1387"/>
      <c r="L6" s="1387"/>
      <c r="M6" s="1387"/>
      <c r="N6" s="1387"/>
      <c r="O6" s="1387"/>
      <c r="P6" s="1387"/>
      <c r="Q6" s="1387"/>
      <c r="R6" s="1388"/>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61" t="s">
        <v>280</v>
      </c>
      <c r="H7" s="1362"/>
      <c r="I7" s="199">
        <v>1</v>
      </c>
      <c r="J7" s="184">
        <v>2</v>
      </c>
      <c r="K7" s="185">
        <v>3</v>
      </c>
      <c r="L7" s="186">
        <v>4</v>
      </c>
      <c r="M7" s="187">
        <v>5</v>
      </c>
      <c r="N7" s="188">
        <v>6</v>
      </c>
      <c r="O7" s="189">
        <v>7</v>
      </c>
      <c r="P7" s="190">
        <v>8</v>
      </c>
      <c r="Q7" s="191">
        <v>9</v>
      </c>
      <c r="R7" s="192">
        <v>10</v>
      </c>
      <c r="S7" s="120"/>
      <c r="T7" s="309"/>
      <c r="U7" s="563"/>
      <c r="V7" s="385" t="s">
        <v>767</v>
      </c>
      <c r="W7" s="288"/>
      <c r="X7" s="1399" t="str">
        <f>IF(C.5EnvCorrolation=0,"",IF(COUNTIF(X8:X13,TRUE)=1,"The ""do nothing"" environmental consequence is: "&amp;Y8&amp;Y9&amp;Y10&amp;Y11&amp;Y12&amp;Y13&amp;".",IF(COUNTIF(X8:X13,TRUE),"The ""do nothing"" environmental consequences are: "&amp;Y8&amp;Y9&amp;Y10&amp;Y11&amp;Y12&amp;Y13&amp;".","")))</f>
        <v>The "do nothing" environmental consequence is: delay in public health protection.</v>
      </c>
      <c r="Y7" s="1400"/>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50" t="s">
        <v>138</v>
      </c>
      <c r="E8" s="1350"/>
      <c r="F8" s="1350"/>
      <c r="G8" s="1350"/>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50" t="s">
        <v>139</v>
      </c>
      <c r="E9" s="1350"/>
      <c r="F9" s="1350"/>
      <c r="G9" s="1350"/>
      <c r="H9" s="677"/>
      <c r="I9" s="677"/>
      <c r="J9" s="677"/>
      <c r="K9" s="677"/>
      <c r="L9" s="677"/>
      <c r="M9" s="677"/>
      <c r="N9" s="677"/>
      <c r="O9" s="677"/>
      <c r="P9" s="677"/>
      <c r="Q9" s="677"/>
      <c r="R9" s="677"/>
      <c r="S9" s="677"/>
      <c r="T9" s="206"/>
      <c r="U9" s="563"/>
      <c r="V9" s="484" t="s">
        <v>0</v>
      </c>
      <c r="W9" s="285"/>
      <c r="X9" s="284" t="b">
        <v>1</v>
      </c>
      <c r="Y9" s="427" t="str">
        <f>IF($X9=FALSE,"",IF(COUNTIF($X10:$X$13,TRUE)=0,LOWER($D9),IF(COUNTIF($X10:$X$13,TRUE)=1,LOWER($D9)&amp;" and ",LOWER($D9)&amp;", ")))</f>
        <v>delay in public health protection</v>
      </c>
      <c r="Z9" s="495">
        <f t="shared" ref="Z9:Z13" si="0">IF(X9=TRUE,7,0)</f>
        <v>7</v>
      </c>
      <c r="AA9" s="285"/>
      <c r="AB9" s="285"/>
    </row>
    <row r="10" spans="1:58" s="66" customFormat="1" ht="21" customHeight="1">
      <c r="A10" s="602"/>
      <c r="B10" s="563"/>
      <c r="C10" s="202"/>
      <c r="D10" s="1340" t="s">
        <v>262</v>
      </c>
      <c r="E10" s="1340"/>
      <c r="F10" s="1340"/>
      <c r="G10" s="1340"/>
      <c r="H10" s="481"/>
      <c r="I10" s="481"/>
      <c r="J10" s="481"/>
      <c r="K10" s="481"/>
      <c r="L10" s="481"/>
      <c r="M10" s="481"/>
      <c r="N10" s="481"/>
      <c r="O10" s="481"/>
      <c r="P10" s="481"/>
      <c r="Q10" s="481"/>
      <c r="R10" s="687"/>
      <c r="S10" s="687"/>
      <c r="T10" s="206"/>
      <c r="U10" s="563"/>
      <c r="V10" s="1378"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40" t="s">
        <v>261</v>
      </c>
      <c r="E11" s="1340"/>
      <c r="F11" s="1340"/>
      <c r="G11" s="1340"/>
      <c r="H11" s="1340"/>
      <c r="I11" s="481"/>
      <c r="J11" s="678"/>
      <c r="K11" s="553"/>
      <c r="L11" s="553"/>
      <c r="M11" s="553"/>
      <c r="N11" s="553"/>
      <c r="O11" s="553"/>
      <c r="P11" s="481"/>
      <c r="Q11" s="481"/>
      <c r="R11" s="481"/>
      <c r="S11" s="481"/>
      <c r="T11" s="206"/>
      <c r="U11" s="563"/>
      <c r="V11" s="1378"/>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9" t="s">
        <v>289</v>
      </c>
      <c r="E12" s="1339"/>
      <c r="F12" s="1339"/>
      <c r="G12" s="1339"/>
      <c r="H12" s="677"/>
      <c r="I12" s="677"/>
      <c r="J12" s="677"/>
      <c r="K12" s="677"/>
      <c r="L12" s="677"/>
      <c r="M12" s="677"/>
      <c r="N12" s="677"/>
      <c r="O12" s="677"/>
      <c r="P12" s="677"/>
      <c r="Q12" s="677"/>
      <c r="R12" s="677"/>
      <c r="S12" s="677"/>
      <c r="T12" s="206"/>
      <c r="U12" s="563"/>
      <c r="V12" s="1378"/>
      <c r="W12" s="285"/>
      <c r="X12" s="284" t="b">
        <v>0</v>
      </c>
      <c r="Y12" s="1023" t="str">
        <f>IF($X12=FALSE,"",IF($X$13=FALSE,LOWER($D12),LOWER($D12)&amp;" and "))</f>
        <v/>
      </c>
      <c r="Z12" s="495">
        <f t="shared" si="0"/>
        <v>0</v>
      </c>
      <c r="AA12" s="285" t="s">
        <v>0</v>
      </c>
      <c r="AB12" s="285"/>
    </row>
    <row r="13" spans="1:58" s="66" customFormat="1" ht="21" customHeight="1">
      <c r="A13" s="602"/>
      <c r="B13" s="563"/>
      <c r="C13" s="202"/>
      <c r="D13" s="1339" t="s">
        <v>289</v>
      </c>
      <c r="E13" s="1339"/>
      <c r="F13" s="1339"/>
      <c r="G13" s="1339"/>
      <c r="H13" s="677"/>
      <c r="I13" s="677"/>
      <c r="J13" s="677"/>
      <c r="K13" s="677"/>
      <c r="L13" s="677"/>
      <c r="M13" s="677"/>
      <c r="N13" s="677"/>
      <c r="O13" s="677"/>
      <c r="P13" s="677"/>
      <c r="Q13" s="677"/>
      <c r="R13" s="677"/>
      <c r="S13" s="677"/>
      <c r="T13" s="206"/>
      <c r="U13" s="563"/>
      <c r="V13" s="1378"/>
      <c r="W13" s="285"/>
      <c r="X13" s="284" t="b">
        <v>0</v>
      </c>
      <c r="Y13" s="1025" t="str">
        <f>IF($X13=FALSE,"",LOWER($D13))</f>
        <v/>
      </c>
      <c r="Z13" s="495">
        <f t="shared" si="0"/>
        <v>0</v>
      </c>
      <c r="AA13" s="285" t="s">
        <v>0</v>
      </c>
      <c r="AB13" s="285"/>
    </row>
    <row r="14" spans="1:58" s="66" customFormat="1" ht="30" customHeight="1">
      <c r="A14" s="602"/>
      <c r="B14" s="563"/>
      <c r="C14" s="590"/>
      <c r="D14" s="1389" t="s">
        <v>290</v>
      </c>
      <c r="E14" s="1389"/>
      <c r="F14" s="1389"/>
      <c r="G14" s="1389"/>
      <c r="H14" s="1389"/>
      <c r="I14" s="302"/>
      <c r="J14" s="302"/>
      <c r="K14" s="302"/>
      <c r="L14" s="302"/>
      <c r="M14" s="302"/>
      <c r="N14" s="302"/>
      <c r="O14" s="302"/>
      <c r="P14" s="302"/>
      <c r="Q14" s="302"/>
      <c r="R14" s="302"/>
      <c r="S14" s="303"/>
      <c r="T14" s="304"/>
      <c r="U14" s="563"/>
      <c r="V14" s="1378"/>
      <c r="W14" s="161"/>
      <c r="X14" s="1139" t="s">
        <v>0</v>
      </c>
      <c r="Y14" s="798" t="str">
        <f>Y9&amp;Y10&amp;Y11&amp;Y12&amp;Y13</f>
        <v>delay in public health protection</v>
      </c>
      <c r="Z14" s="1008"/>
    </row>
    <row r="15" spans="1:58" s="66" customFormat="1" ht="15.75" customHeight="1">
      <c r="A15" s="602"/>
      <c r="B15" s="563"/>
      <c r="C15" s="202"/>
      <c r="D15" s="1258" t="s">
        <v>0</v>
      </c>
      <c r="E15" s="1259"/>
      <c r="F15" s="1259"/>
      <c r="G15" s="1259"/>
      <c r="H15" s="1259"/>
      <c r="I15" s="1259"/>
      <c r="J15" s="1259"/>
      <c r="K15" s="1259"/>
      <c r="L15" s="1259"/>
      <c r="M15" s="1259"/>
      <c r="N15" s="1259"/>
      <c r="O15" s="1259"/>
      <c r="P15" s="1259"/>
      <c r="Q15" s="1259"/>
      <c r="R15" s="1259"/>
      <c r="S15" s="1260"/>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380" t="s">
        <v>252</v>
      </c>
      <c r="E17" s="1380"/>
      <c r="F17" s="1380"/>
      <c r="G17" s="1380"/>
      <c r="H17" s="1380"/>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9" t="s">
        <v>0</v>
      </c>
      <c r="F18" s="1379"/>
      <c r="G18" s="570" t="s">
        <v>0</v>
      </c>
      <c r="H18" s="334" t="s">
        <v>0</v>
      </c>
      <c r="I18" s="1390" t="s">
        <v>0</v>
      </c>
      <c r="J18" s="1390"/>
      <c r="K18" s="1390"/>
      <c r="L18" s="1390"/>
      <c r="M18" s="1390"/>
      <c r="N18" s="1390"/>
      <c r="O18" s="1390"/>
      <c r="P18" s="335" t="s">
        <v>0</v>
      </c>
      <c r="Q18" s="335"/>
      <c r="R18" s="335"/>
      <c r="S18" s="336"/>
      <c r="T18" s="282"/>
      <c r="U18" s="563"/>
      <c r="V18" s="332"/>
      <c r="W18" s="332"/>
      <c r="X18" s="629">
        <v>3</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91" t="s">
        <v>256</v>
      </c>
      <c r="E21" s="1391"/>
      <c r="F21" s="1391"/>
      <c r="G21" s="1391"/>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72" t="s">
        <v>258</v>
      </c>
      <c r="E22" s="1372"/>
      <c r="F22" s="1372"/>
      <c r="G22" s="1372"/>
      <c r="H22" s="1372"/>
      <c r="I22" s="1372"/>
      <c r="J22" s="1372"/>
      <c r="K22" s="1372"/>
      <c r="L22" s="1372"/>
      <c r="M22" s="1372"/>
      <c r="N22" s="1372"/>
      <c r="O22" s="1372"/>
      <c r="P22" s="1372"/>
      <c r="Q22" s="1372"/>
      <c r="R22" s="1372"/>
      <c r="S22" s="1372"/>
      <c r="T22" s="304"/>
      <c r="U22" s="563"/>
      <c r="V22" s="180"/>
      <c r="W22" s="161"/>
      <c r="X22" s="1146" t="str">
        <f>IF(X28=0,"No","Yes")</f>
        <v>Yes</v>
      </c>
      <c r="Y22" s="55"/>
      <c r="Z22" s="55"/>
      <c r="AA22"/>
    </row>
    <row r="23" spans="1:66" s="66" customFormat="1" ht="21" customHeight="1">
      <c r="A23" s="602"/>
      <c r="B23" s="563"/>
      <c r="C23" s="202"/>
      <c r="D23" s="1340" t="s">
        <v>223</v>
      </c>
      <c r="E23" s="1340"/>
      <c r="F23" s="1340"/>
      <c r="G23" s="1340"/>
      <c r="H23" s="1340"/>
      <c r="I23" s="1340"/>
      <c r="J23" s="1340"/>
      <c r="K23" s="1340"/>
      <c r="L23" s="1340"/>
      <c r="M23" s="1340"/>
      <c r="N23" s="1340"/>
      <c r="O23" s="1340"/>
      <c r="P23" s="1340"/>
      <c r="Q23" s="1340"/>
      <c r="R23" s="687"/>
      <c r="S23" s="687"/>
      <c r="T23" s="304"/>
      <c r="U23" s="563"/>
      <c r="V23" s="180"/>
      <c r="W23" s="161"/>
      <c r="X23" s="284" t="b">
        <v>1</v>
      </c>
      <c r="Y23" s="55"/>
      <c r="Z23" s="55"/>
      <c r="AA23"/>
      <c r="AB23"/>
    </row>
    <row r="24" spans="1:66" s="66" customFormat="1" ht="21" customHeight="1">
      <c r="A24" s="602"/>
      <c r="B24" s="563"/>
      <c r="C24" s="202"/>
      <c r="D24" s="1340" t="s">
        <v>221</v>
      </c>
      <c r="E24" s="1340"/>
      <c r="F24" s="1340"/>
      <c r="G24" s="1340"/>
      <c r="H24" s="1340"/>
      <c r="I24" s="1340"/>
      <c r="J24" s="1340"/>
      <c r="K24" s="1340"/>
      <c r="L24" s="1340"/>
      <c r="M24" s="1340"/>
      <c r="N24" s="1340"/>
      <c r="O24" s="1340"/>
      <c r="P24" s="1340"/>
      <c r="Q24" s="1340"/>
      <c r="R24" s="1340"/>
      <c r="S24" s="1340"/>
      <c r="T24" s="304"/>
      <c r="U24" s="563"/>
      <c r="V24" s="180"/>
      <c r="W24" s="161"/>
      <c r="X24" s="284" t="b">
        <v>0</v>
      </c>
      <c r="Y24" s="55"/>
      <c r="Z24" s="55"/>
      <c r="AA24"/>
      <c r="AB24"/>
    </row>
    <row r="25" spans="1:66" s="66" customFormat="1" ht="21" customHeight="1">
      <c r="A25" s="602"/>
      <c r="B25" s="563"/>
      <c r="C25" s="202"/>
      <c r="D25" s="1350" t="s">
        <v>224</v>
      </c>
      <c r="E25" s="1350"/>
      <c r="F25" s="1350"/>
      <c r="G25" s="1350"/>
      <c r="H25" s="1350"/>
      <c r="I25" s="1350"/>
      <c r="J25" s="1350"/>
      <c r="K25" s="1350"/>
      <c r="L25" s="1350"/>
      <c r="M25" s="1350"/>
      <c r="N25" s="1350"/>
      <c r="O25" s="1350"/>
      <c r="P25" s="1350"/>
      <c r="Q25" s="1350"/>
      <c r="R25" s="1350"/>
      <c r="S25" s="1350"/>
      <c r="T25" s="304"/>
      <c r="U25" s="563"/>
      <c r="V25" s="180"/>
      <c r="W25" s="161"/>
      <c r="X25" s="284" t="b">
        <v>0</v>
      </c>
      <c r="Y25" s="38"/>
      <c r="Z25" s="55"/>
      <c r="AA25"/>
      <c r="AB25"/>
    </row>
    <row r="26" spans="1:66" s="66" customFormat="1" ht="21" customHeight="1">
      <c r="A26" s="602"/>
      <c r="B26" s="563"/>
      <c r="C26" s="202"/>
      <c r="D26" s="1350" t="s">
        <v>222</v>
      </c>
      <c r="E26" s="1350"/>
      <c r="F26" s="1350"/>
      <c r="G26" s="1350"/>
      <c r="H26" s="1350"/>
      <c r="I26" s="1350"/>
      <c r="J26" s="1350"/>
      <c r="K26" s="1350"/>
      <c r="L26" s="1350"/>
      <c r="M26" s="1350"/>
      <c r="N26" s="1350"/>
      <c r="O26" s="1350"/>
      <c r="P26" s="1350"/>
      <c r="Q26" s="1350"/>
      <c r="R26" s="1350"/>
      <c r="S26" s="1350"/>
      <c r="T26" s="304"/>
      <c r="U26" s="563"/>
      <c r="V26" s="180"/>
      <c r="W26" s="161"/>
      <c r="X26" s="284" t="b">
        <v>0</v>
      </c>
      <c r="Y26" s="324"/>
      <c r="Z26" s="55"/>
      <c r="AA26"/>
      <c r="AB26"/>
    </row>
    <row r="27" spans="1:66" s="66" customFormat="1" ht="21" customHeight="1">
      <c r="A27" s="602"/>
      <c r="B27" s="563"/>
      <c r="C27" s="202"/>
      <c r="D27" s="1350" t="s">
        <v>225</v>
      </c>
      <c r="E27" s="1350"/>
      <c r="F27" s="1350"/>
      <c r="G27" s="1350"/>
      <c r="H27" s="1350"/>
      <c r="I27" s="1350"/>
      <c r="J27" s="1350"/>
      <c r="K27" s="1350"/>
      <c r="L27" s="1350"/>
      <c r="M27" s="1350"/>
      <c r="N27" s="1350"/>
      <c r="O27" s="1350"/>
      <c r="P27" s="1350"/>
      <c r="Q27" s="1350"/>
      <c r="R27" s="1350"/>
      <c r="S27" s="1350"/>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9"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9"/>
      <c r="AA28"/>
      <c r="AB28"/>
    </row>
    <row r="29" spans="1:66" s="66" customFormat="1" ht="24.75" customHeight="1">
      <c r="A29" s="602"/>
      <c r="B29" s="563"/>
      <c r="C29" s="202"/>
      <c r="D29" s="1391" t="s">
        <v>295</v>
      </c>
      <c r="E29" s="1391"/>
      <c r="F29" s="1391"/>
      <c r="G29" s="1391"/>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72" t="s">
        <v>257</v>
      </c>
      <c r="E30" s="1372"/>
      <c r="F30" s="1372"/>
      <c r="G30" s="1372"/>
      <c r="H30" s="1372"/>
      <c r="I30" s="1372"/>
      <c r="J30" s="1372"/>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70" t="s">
        <v>292</v>
      </c>
      <c r="E31" s="1370"/>
      <c r="F31" s="1370"/>
      <c r="G31" s="1370"/>
      <c r="H31" s="1370"/>
      <c r="I31" s="1370"/>
      <c r="J31" s="1370"/>
      <c r="K31" s="1370"/>
      <c r="L31" s="1370"/>
      <c r="M31" s="1370"/>
      <c r="N31" s="1370"/>
      <c r="O31" s="1370"/>
      <c r="P31" s="1370"/>
      <c r="Q31" s="1370"/>
      <c r="R31" s="1370"/>
      <c r="S31" s="1370"/>
      <c r="T31" s="709"/>
      <c r="U31" s="563"/>
      <c r="V31" s="317"/>
      <c r="W31" s="315"/>
      <c r="X31" s="322" t="b">
        <v>0</v>
      </c>
      <c r="Y31" s="318"/>
      <c r="Z31" s="318"/>
      <c r="AA31" s="319"/>
      <c r="AB31" s="319"/>
    </row>
    <row r="32" spans="1:66" s="66" customFormat="1" ht="35.1" customHeight="1">
      <c r="A32" s="602"/>
      <c r="B32" s="563"/>
      <c r="C32" s="202"/>
      <c r="D32" s="1370" t="s">
        <v>293</v>
      </c>
      <c r="E32" s="1370"/>
      <c r="F32" s="1370"/>
      <c r="G32" s="1370"/>
      <c r="H32" s="1370"/>
      <c r="I32" s="1370"/>
      <c r="J32" s="1370"/>
      <c r="K32" s="1370"/>
      <c r="L32" s="1370"/>
      <c r="M32" s="1370"/>
      <c r="N32" s="1370"/>
      <c r="O32" s="1370"/>
      <c r="P32" s="1370"/>
      <c r="Q32" s="1370"/>
      <c r="R32" s="1370"/>
      <c r="S32" s="1370"/>
      <c r="T32" s="304"/>
      <c r="U32" s="563"/>
      <c r="V32" s="233"/>
      <c r="W32" s="161"/>
      <c r="X32" s="323" t="b">
        <v>0</v>
      </c>
      <c r="Y32" s="1373"/>
      <c r="Z32" s="55"/>
      <c r="AA32"/>
    </row>
    <row r="33" spans="1:27" s="66" customFormat="1" ht="38.25" customHeight="1">
      <c r="A33" s="602"/>
      <c r="B33" s="563"/>
      <c r="C33" s="202"/>
      <c r="D33" s="1371" t="s">
        <v>294</v>
      </c>
      <c r="E33" s="1371"/>
      <c r="F33" s="1371"/>
      <c r="G33" s="1371"/>
      <c r="H33" s="1371"/>
      <c r="I33" s="1371"/>
      <c r="J33" s="1371"/>
      <c r="K33" s="1371"/>
      <c r="L33" s="1371"/>
      <c r="M33" s="1371"/>
      <c r="N33" s="1371"/>
      <c r="O33" s="1371"/>
      <c r="P33" s="1371"/>
      <c r="Q33" s="1371"/>
      <c r="R33" s="1371"/>
      <c r="S33" s="1371"/>
      <c r="T33" s="304"/>
      <c r="U33" s="563"/>
      <c r="V33" s="233"/>
      <c r="W33" s="161"/>
      <c r="X33" s="323" t="b">
        <v>0</v>
      </c>
      <c r="Y33" s="1373"/>
      <c r="Z33" s="55"/>
      <c r="AA33"/>
    </row>
    <row r="34" spans="1:27" s="66" customFormat="1" ht="39.75" customHeight="1">
      <c r="A34" s="602"/>
      <c r="B34" s="563"/>
      <c r="C34" s="202"/>
      <c r="D34" s="1371" t="s">
        <v>291</v>
      </c>
      <c r="E34" s="1371"/>
      <c r="F34" s="1371"/>
      <c r="G34" s="1371"/>
      <c r="H34" s="1371"/>
      <c r="I34" s="1371"/>
      <c r="J34" s="1371"/>
      <c r="K34" s="1371"/>
      <c r="L34" s="1371"/>
      <c r="M34" s="1371"/>
      <c r="N34" s="1371"/>
      <c r="O34" s="1371"/>
      <c r="P34" s="1371"/>
      <c r="Q34" s="1371"/>
      <c r="R34" s="1371"/>
      <c r="S34" s="1371"/>
      <c r="T34" s="304"/>
      <c r="U34" s="563"/>
      <c r="V34" s="233"/>
      <c r="W34" s="161"/>
      <c r="X34" s="323" t="b">
        <v>0</v>
      </c>
      <c r="Y34" s="1374"/>
      <c r="Z34" s="147"/>
    </row>
    <row r="35" spans="1:27" s="2" customFormat="1" ht="30" customHeight="1">
      <c r="A35" s="600"/>
      <c r="B35" s="563" t="s">
        <v>0</v>
      </c>
      <c r="C35" s="211"/>
      <c r="D35" s="1385" t="s">
        <v>259</v>
      </c>
      <c r="E35" s="1385"/>
      <c r="F35" s="1385"/>
      <c r="G35" s="296"/>
      <c r="H35" s="296"/>
      <c r="I35" s="296"/>
      <c r="J35" s="296"/>
      <c r="K35" s="297"/>
      <c r="L35" s="298"/>
      <c r="M35" s="298"/>
      <c r="N35" s="298"/>
      <c r="O35" s="298"/>
      <c r="P35" s="298"/>
      <c r="Q35" s="298"/>
      <c r="R35" s="298"/>
      <c r="S35" s="298"/>
      <c r="T35" s="212"/>
      <c r="U35" s="563"/>
      <c r="V35"/>
      <c r="W35"/>
      <c r="X35" s="1147">
        <f>COUNTIF(X31:X34,TRUE)</f>
        <v>0</v>
      </c>
      <c r="Y35" s="1369" t="str">
        <f>IF(C.5EnvCorrolation=0,"",IF(X35=0,"do not have a selection for Natural Step support at this time.",IF(X35=1,"supports "&amp;X35&amp;" Natural Step action.","supports "&amp;X35&amp;" Natural Step actions.")))</f>
        <v>do not have a selection for Natural Step support at this time.</v>
      </c>
      <c r="Z35" s="1369"/>
    </row>
    <row r="36" spans="1:27" s="2" customFormat="1" ht="110.25" customHeight="1">
      <c r="A36" s="600"/>
      <c r="B36" s="563"/>
      <c r="C36" s="211"/>
      <c r="D36" s="299" t="s">
        <v>0</v>
      </c>
      <c r="E36" s="299"/>
      <c r="F36" s="1405" t="s">
        <v>0</v>
      </c>
      <c r="G36" s="1405"/>
      <c r="H36" s="300"/>
      <c r="I36" s="301"/>
      <c r="J36" s="1401" t="s">
        <v>0</v>
      </c>
      <c r="K36" s="1401"/>
      <c r="L36" s="1401"/>
      <c r="M36" s="1401"/>
      <c r="N36" s="1401"/>
      <c r="O36" s="1401"/>
      <c r="P36" s="1401"/>
      <c r="Q36" s="1401"/>
      <c r="R36" s="1401"/>
      <c r="S36" s="1401"/>
      <c r="T36" s="212"/>
      <c r="U36" s="563"/>
      <c r="V36" s="1404" t="s">
        <v>0</v>
      </c>
      <c r="W36" s="174"/>
      <c r="X36" s="482"/>
      <c r="Y36" s="483"/>
      <c r="Z36" s="147"/>
    </row>
    <row r="37" spans="1:27" s="2" customFormat="1" ht="29.25" customHeight="1">
      <c r="A37" s="600"/>
      <c r="B37" s="563"/>
      <c r="C37" s="211"/>
      <c r="D37" s="1402" t="s">
        <v>217</v>
      </c>
      <c r="E37" s="1403"/>
      <c r="F37" s="1403"/>
      <c r="G37" s="1333"/>
      <c r="H37" s="1333"/>
      <c r="I37" s="1333"/>
      <c r="J37" s="1334"/>
      <c r="K37" s="1334"/>
      <c r="L37" s="1334"/>
      <c r="M37" s="1334"/>
      <c r="N37" s="1334"/>
      <c r="O37" s="1334"/>
      <c r="P37" s="1334"/>
      <c r="Q37" s="1334"/>
      <c r="R37" s="1334"/>
      <c r="S37" s="1334"/>
      <c r="T37" s="212"/>
      <c r="U37" s="563"/>
      <c r="V37" s="1404"/>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8" t="s">
        <v>415</v>
      </c>
      <c r="E39" s="1398"/>
      <c r="F39" s="1398"/>
      <c r="G39" s="120"/>
      <c r="H39" s="1360" t="s">
        <v>0</v>
      </c>
      <c r="I39" s="1384"/>
      <c r="J39" s="1342" t="s">
        <v>37</v>
      </c>
      <c r="K39" s="1343"/>
      <c r="L39" s="1343"/>
      <c r="M39" s="1343"/>
      <c r="N39" s="1343"/>
      <c r="O39" s="1343"/>
      <c r="P39" s="1343"/>
      <c r="Q39" s="1343"/>
      <c r="R39" s="1343"/>
      <c r="S39" s="1344"/>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61" t="s">
        <v>0</v>
      </c>
      <c r="E44" s="1262"/>
      <c r="F44" s="1262"/>
      <c r="G44" s="1262"/>
      <c r="H44" s="1262"/>
      <c r="I44" s="1262"/>
      <c r="J44" s="1262"/>
      <c r="K44" s="1262"/>
      <c r="L44" s="1262"/>
      <c r="M44" s="1262"/>
      <c r="N44" s="1262"/>
      <c r="O44" s="1262"/>
      <c r="P44" s="1262"/>
      <c r="Q44" s="1262"/>
      <c r="R44" s="1262"/>
      <c r="S44" s="1263"/>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57" t="s">
        <v>0</v>
      </c>
      <c r="E46" s="1358"/>
      <c r="F46" s="1358"/>
      <c r="G46" s="1358"/>
      <c r="H46" s="1358"/>
      <c r="I46" s="1358"/>
      <c r="J46" s="1358"/>
      <c r="K46" s="1358"/>
      <c r="L46" s="1358"/>
      <c r="M46" s="1358"/>
      <c r="N46" s="1358"/>
      <c r="O46" s="1358"/>
      <c r="P46" s="1358"/>
      <c r="Q46" s="1358"/>
      <c r="R46" s="1358"/>
      <c r="S46" s="1359"/>
      <c r="T46" s="201"/>
      <c r="U46" s="563"/>
      <c r="W46" s="161"/>
      <c r="X46" s="122"/>
      <c r="Y46" s="147"/>
      <c r="Z46" s="55"/>
    </row>
    <row r="47" spans="1:27">
      <c r="B47" s="563"/>
      <c r="C47" s="293"/>
      <c r="D47" s="294"/>
      <c r="E47" s="294"/>
      <c r="F47" s="294"/>
      <c r="G47" s="1273">
        <f ca="1">TODAY()</f>
        <v>41960</v>
      </c>
      <c r="H47" s="1273"/>
      <c r="I47" s="1273"/>
      <c r="J47" s="1273"/>
      <c r="K47" s="1273"/>
      <c r="L47" s="1273"/>
      <c r="M47" s="1273"/>
      <c r="N47" s="1273"/>
      <c r="O47" s="1273"/>
      <c r="P47" s="1273"/>
      <c r="Q47" s="1273"/>
      <c r="R47" s="1273"/>
      <c r="S47" s="1273"/>
      <c r="T47" s="1274"/>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57" priority="95" stopIfTrue="1">
      <formula>IF($X$40&lt;10,TRUE,)</formula>
    </cfRule>
  </conditionalFormatting>
  <conditionalFormatting sqref="J40">
    <cfRule type="expression" dxfId="256" priority="96" stopIfTrue="1">
      <formula>IF($X$40&lt;1,TRUE,)</formula>
    </cfRule>
  </conditionalFormatting>
  <conditionalFormatting sqref="K40">
    <cfRule type="expression" dxfId="255" priority="97" stopIfTrue="1">
      <formula>IF($X$40&lt;2,TRUE,)</formula>
    </cfRule>
  </conditionalFormatting>
  <conditionalFormatting sqref="M40">
    <cfRule type="expression" dxfId="254" priority="99" stopIfTrue="1">
      <formula>IF($X40&lt;4,TRUE,)</formula>
    </cfRule>
  </conditionalFormatting>
  <conditionalFormatting sqref="N40">
    <cfRule type="expression" dxfId="253" priority="100" stopIfTrue="1">
      <formula>IF($X$40&lt;5,TRUE,)</formula>
    </cfRule>
  </conditionalFormatting>
  <conditionalFormatting sqref="O40">
    <cfRule type="expression" dxfId="252" priority="101" stopIfTrue="1">
      <formula>IF($X$40&lt;6,TRUE,)</formula>
    </cfRule>
  </conditionalFormatting>
  <conditionalFormatting sqref="P40">
    <cfRule type="expression" dxfId="251" priority="102" stopIfTrue="1">
      <formula>IF($X$40&lt;7,TRUE,)</formula>
    </cfRule>
  </conditionalFormatting>
  <conditionalFormatting sqref="Q40">
    <cfRule type="expression" dxfId="250" priority="103" stopIfTrue="1">
      <formula>IF($X$40&lt;8,TRUE,)</formula>
    </cfRule>
  </conditionalFormatting>
  <conditionalFormatting sqref="R40">
    <cfRule type="expression" dxfId="249" priority="104" stopIfTrue="1">
      <formula>IF($X$40&lt;9,TRUE,)</formula>
    </cfRule>
  </conditionalFormatting>
  <conditionalFormatting sqref="L40">
    <cfRule type="expression" dxfId="248" priority="98" stopIfTrue="1">
      <formula>IF($X$40&lt;3,TRUE,)</formula>
    </cfRule>
  </conditionalFormatting>
  <conditionalFormatting sqref="W7">
    <cfRule type="expression" dxfId="247" priority="33" stopIfTrue="1">
      <formula>IF(AND(#REF!="H",#REF!&lt;10),TRUE,)</formula>
    </cfRule>
  </conditionalFormatting>
  <conditionalFormatting sqref="T7">
    <cfRule type="expression" dxfId="246" priority="32" stopIfTrue="1">
      <formula>IF(AND(#REF!="H",#REF!&lt;7),TRUE,)</formula>
    </cfRule>
  </conditionalFormatting>
  <conditionalFormatting sqref="R7">
    <cfRule type="expression" dxfId="245" priority="4" stopIfTrue="1">
      <formula>IF($X$6&lt;10,TRUE,)</formula>
    </cfRule>
  </conditionalFormatting>
  <conditionalFormatting sqref="I7">
    <cfRule type="expression" dxfId="244" priority="5" stopIfTrue="1">
      <formula>IF($X$6&lt;1,TRUE,)</formula>
    </cfRule>
  </conditionalFormatting>
  <conditionalFormatting sqref="J7">
    <cfRule type="expression" dxfId="243" priority="6" stopIfTrue="1">
      <formula>IF($X$6&lt;2,TRUE,)</formula>
    </cfRule>
  </conditionalFormatting>
  <conditionalFormatting sqref="L7">
    <cfRule type="expression" dxfId="242" priority="8" stopIfTrue="1">
      <formula>IF($X$6&lt;4,TRUE,)</formula>
    </cfRule>
  </conditionalFormatting>
  <conditionalFormatting sqref="M7">
    <cfRule type="expression" dxfId="241" priority="9" stopIfTrue="1">
      <formula>IF($X$6&lt;5,TRUE,)</formula>
    </cfRule>
  </conditionalFormatting>
  <conditionalFormatting sqref="N7">
    <cfRule type="expression" dxfId="240" priority="10" stopIfTrue="1">
      <formula>IF($X$6&lt;6,TRUE,)</formula>
    </cfRule>
  </conditionalFormatting>
  <conditionalFormatting sqref="O7">
    <cfRule type="expression" dxfId="239" priority="11" stopIfTrue="1">
      <formula>IF($X$6&lt;7,TRUE,)</formula>
    </cfRule>
  </conditionalFormatting>
  <conditionalFormatting sqref="P7">
    <cfRule type="expression" dxfId="238" priority="12" stopIfTrue="1">
      <formula>IF($X$6&lt;8,TRUE,)</formula>
    </cfRule>
  </conditionalFormatting>
  <conditionalFormatting sqref="Q7">
    <cfRule type="expression" dxfId="237" priority="13" stopIfTrue="1">
      <formula>IF($X$6&lt;9,TRUE,)</formula>
    </cfRule>
  </conditionalFormatting>
  <conditionalFormatting sqref="K7">
    <cfRule type="expression" dxfId="236" priority="7" stopIfTrue="1">
      <formula>IF($X$6&lt;3,TRUE,)</formula>
    </cfRule>
  </conditionalFormatting>
  <conditionalFormatting sqref="L45">
    <cfRule type="expression" dxfId="235" priority="3" stopIfTrue="1">
      <formula>IF(AND(#REF!="H",$X45&lt;3),TRUE,)</formula>
    </cfRule>
  </conditionalFormatting>
  <conditionalFormatting sqref="L2">
    <cfRule type="expression" dxfId="234"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mc:AlternateContent xmlns:mc="http://schemas.openxmlformats.org/markup-compatibility/2006">
    <mc:Choice Requires="x14">
      <controls>
        <mc:AlternateContent xmlns:mc="http://schemas.openxmlformats.org/markup-compatibility/2006">
          <mc:Choice Requires="x14">
            <control shapeId="138242" r:id="rId8" name="Group Box 2">
              <controlPr defaultSize="0" autoFill="0" autoPict="0">
                <anchor moveWithCells="1">
                  <from>
                    <xdr:col>2</xdr:col>
                    <xdr:colOff>142875</xdr:colOff>
                    <xdr:row>18</xdr:row>
                    <xdr:rowOff>47625</xdr:rowOff>
                  </from>
                  <to>
                    <xdr:col>19</xdr:col>
                    <xdr:colOff>114300</xdr:colOff>
                    <xdr:row>18</xdr:row>
                    <xdr:rowOff>533400</xdr:rowOff>
                  </to>
                </anchor>
              </controlPr>
            </control>
          </mc:Choice>
        </mc:AlternateContent>
        <mc:AlternateContent xmlns:mc="http://schemas.openxmlformats.org/markup-compatibility/2006">
          <mc:Choice Requires="x14">
            <control shapeId="138260" r:id="rId9" name="Check Box 20">
              <controlPr defaultSize="0" autoFill="0" autoLine="0" autoPict="0">
                <anchor moveWithCells="1">
                  <from>
                    <xdr:col>3</xdr:col>
                    <xdr:colOff>533400</xdr:colOff>
                    <xdr:row>29</xdr:row>
                    <xdr:rowOff>342900</xdr:rowOff>
                  </from>
                  <to>
                    <xdr:col>3</xdr:col>
                    <xdr:colOff>800100</xdr:colOff>
                    <xdr:row>30</xdr:row>
                    <xdr:rowOff>228600</xdr:rowOff>
                  </to>
                </anchor>
              </controlPr>
            </control>
          </mc:Choice>
        </mc:AlternateContent>
        <mc:AlternateContent xmlns:mc="http://schemas.openxmlformats.org/markup-compatibility/2006">
          <mc:Choice Requires="x14">
            <control shapeId="138261" r:id="rId10" name="Check Box 21">
              <controlPr defaultSize="0" autoFill="0" autoLine="0" autoPict="0">
                <anchor moveWithCells="1">
                  <from>
                    <xdr:col>3</xdr:col>
                    <xdr:colOff>561975</xdr:colOff>
                    <xdr:row>22</xdr:row>
                    <xdr:rowOff>9525</xdr:rowOff>
                  </from>
                  <to>
                    <xdr:col>3</xdr:col>
                    <xdr:colOff>866775</xdr:colOff>
                    <xdr:row>22</xdr:row>
                    <xdr:rowOff>228600</xdr:rowOff>
                  </to>
                </anchor>
              </controlPr>
            </control>
          </mc:Choice>
        </mc:AlternateContent>
        <mc:AlternateContent xmlns:mc="http://schemas.openxmlformats.org/markup-compatibility/2006">
          <mc:Choice Requires="x14">
            <control shapeId="138263" r:id="rId11" name="Check Box 23">
              <controlPr defaultSize="0" autoFill="0" autoLine="0" autoPict="0">
                <anchor moveWithCells="1">
                  <from>
                    <xdr:col>3</xdr:col>
                    <xdr:colOff>561975</xdr:colOff>
                    <xdr:row>23</xdr:row>
                    <xdr:rowOff>19050</xdr:rowOff>
                  </from>
                  <to>
                    <xdr:col>3</xdr:col>
                    <xdr:colOff>866775</xdr:colOff>
                    <xdr:row>23</xdr:row>
                    <xdr:rowOff>238125</xdr:rowOff>
                  </to>
                </anchor>
              </controlPr>
            </control>
          </mc:Choice>
        </mc:AlternateContent>
        <mc:AlternateContent xmlns:mc="http://schemas.openxmlformats.org/markup-compatibility/2006">
          <mc:Choice Requires="x14">
            <control shapeId="138264" r:id="rId12" name="Check Box 24">
              <controlPr defaultSize="0" autoFill="0" autoLine="0" autoPict="0">
                <anchor moveWithCells="1">
                  <from>
                    <xdr:col>3</xdr:col>
                    <xdr:colOff>561975</xdr:colOff>
                    <xdr:row>24</xdr:row>
                    <xdr:rowOff>38100</xdr:rowOff>
                  </from>
                  <to>
                    <xdr:col>3</xdr:col>
                    <xdr:colOff>866775</xdr:colOff>
                    <xdr:row>24</xdr:row>
                    <xdr:rowOff>257175</xdr:rowOff>
                  </to>
                </anchor>
              </controlPr>
            </control>
          </mc:Choice>
        </mc:AlternateContent>
        <mc:AlternateContent xmlns:mc="http://schemas.openxmlformats.org/markup-compatibility/2006">
          <mc:Choice Requires="x14">
            <control shapeId="138266" r:id="rId13" name="Check Box 26">
              <controlPr defaultSize="0" autoFill="0" autoLine="0" autoPict="0">
                <anchor moveWithCells="1">
                  <from>
                    <xdr:col>3</xdr:col>
                    <xdr:colOff>561975</xdr:colOff>
                    <xdr:row>25</xdr:row>
                    <xdr:rowOff>19050</xdr:rowOff>
                  </from>
                  <to>
                    <xdr:col>3</xdr:col>
                    <xdr:colOff>866775</xdr:colOff>
                    <xdr:row>25</xdr:row>
                    <xdr:rowOff>238125</xdr:rowOff>
                  </to>
                </anchor>
              </controlPr>
            </control>
          </mc:Choice>
        </mc:AlternateContent>
        <mc:AlternateContent xmlns:mc="http://schemas.openxmlformats.org/markup-compatibility/2006">
          <mc:Choice Requires="x14">
            <control shapeId="138267" r:id="rId14" name="Check Box 27">
              <controlPr defaultSize="0" autoFill="0" autoLine="0" autoPict="0">
                <anchor moveWithCells="1">
                  <from>
                    <xdr:col>3</xdr:col>
                    <xdr:colOff>561975</xdr:colOff>
                    <xdr:row>26</xdr:row>
                    <xdr:rowOff>19050</xdr:rowOff>
                  </from>
                  <to>
                    <xdr:col>3</xdr:col>
                    <xdr:colOff>866775</xdr:colOff>
                    <xdr:row>26</xdr:row>
                    <xdr:rowOff>238125</xdr:rowOff>
                  </to>
                </anchor>
              </controlPr>
            </control>
          </mc:Choice>
        </mc:AlternateContent>
        <mc:AlternateContent xmlns:mc="http://schemas.openxmlformats.org/markup-compatibility/2006">
          <mc:Choice Requires="x14">
            <control shapeId="138269" r:id="rId15" name="Group Box 29">
              <controlPr defaultSize="0" autoFill="0" autoPict="0">
                <anchor moveWithCells="1">
                  <from>
                    <xdr:col>3</xdr:col>
                    <xdr:colOff>9525</xdr:colOff>
                    <xdr:row>36</xdr:row>
                    <xdr:rowOff>0</xdr:rowOff>
                  </from>
                  <to>
                    <xdr:col>18</xdr:col>
                    <xdr:colOff>133350</xdr:colOff>
                    <xdr:row>36</xdr:row>
                    <xdr:rowOff>361950</xdr:rowOff>
                  </to>
                </anchor>
              </controlPr>
            </control>
          </mc:Choice>
        </mc:AlternateContent>
        <mc:AlternateContent xmlns:mc="http://schemas.openxmlformats.org/markup-compatibility/2006">
          <mc:Choice Requires="x14">
            <control shapeId="138270" r:id="rId16" name="Option Button 30">
              <controlPr defaultSize="0" autoFill="0" autoLine="0" autoPict="0">
                <anchor moveWithCells="1">
                  <from>
                    <xdr:col>3</xdr:col>
                    <xdr:colOff>638175</xdr:colOff>
                    <xdr:row>36</xdr:row>
                    <xdr:rowOff>66675</xdr:rowOff>
                  </from>
                  <to>
                    <xdr:col>3</xdr:col>
                    <xdr:colOff>1076325</xdr:colOff>
                    <xdr:row>36</xdr:row>
                    <xdr:rowOff>285750</xdr:rowOff>
                  </to>
                </anchor>
              </controlPr>
            </control>
          </mc:Choice>
        </mc:AlternateContent>
        <mc:AlternateContent xmlns:mc="http://schemas.openxmlformats.org/markup-compatibility/2006">
          <mc:Choice Requires="x14">
            <control shapeId="138271" r:id="rId17" name="Option Button 31">
              <controlPr defaultSize="0" autoFill="0" autoLine="0" autoPict="0">
                <anchor moveWithCells="1">
                  <from>
                    <xdr:col>5</xdr:col>
                    <xdr:colOff>152400</xdr:colOff>
                    <xdr:row>36</xdr:row>
                    <xdr:rowOff>28575</xdr:rowOff>
                  </from>
                  <to>
                    <xdr:col>5</xdr:col>
                    <xdr:colOff>466725</xdr:colOff>
                    <xdr:row>36</xdr:row>
                    <xdr:rowOff>342900</xdr:rowOff>
                  </to>
                </anchor>
              </controlPr>
            </control>
          </mc:Choice>
        </mc:AlternateContent>
        <mc:AlternateContent xmlns:mc="http://schemas.openxmlformats.org/markup-compatibility/2006">
          <mc:Choice Requires="x14">
            <control shapeId="138272" r:id="rId18" name="Option Button 32">
              <controlPr defaultSize="0" autoFill="0" autoLine="0" autoPict="0">
                <anchor moveWithCells="1">
                  <from>
                    <xdr:col>6</xdr:col>
                    <xdr:colOff>152400</xdr:colOff>
                    <xdr:row>36</xdr:row>
                    <xdr:rowOff>19050</xdr:rowOff>
                  </from>
                  <to>
                    <xdr:col>6</xdr:col>
                    <xdr:colOff>457200</xdr:colOff>
                    <xdr:row>36</xdr:row>
                    <xdr:rowOff>352425</xdr:rowOff>
                  </to>
                </anchor>
              </controlPr>
            </control>
          </mc:Choice>
        </mc:AlternateContent>
        <mc:AlternateContent xmlns:mc="http://schemas.openxmlformats.org/markup-compatibility/2006">
          <mc:Choice Requires="x14">
            <control shapeId="138273" r:id="rId19" name="Option Button 33">
              <controlPr defaultSize="0" autoFill="0" autoLine="0" autoPict="0">
                <anchor moveWithCells="1">
                  <from>
                    <xdr:col>7</xdr:col>
                    <xdr:colOff>333375</xdr:colOff>
                    <xdr:row>36</xdr:row>
                    <xdr:rowOff>9525</xdr:rowOff>
                  </from>
                  <to>
                    <xdr:col>7</xdr:col>
                    <xdr:colOff>638175</xdr:colOff>
                    <xdr:row>36</xdr:row>
                    <xdr:rowOff>342900</xdr:rowOff>
                  </to>
                </anchor>
              </controlPr>
            </control>
          </mc:Choice>
        </mc:AlternateContent>
        <mc:AlternateContent xmlns:mc="http://schemas.openxmlformats.org/markup-compatibility/2006">
          <mc:Choice Requires="x14">
            <control shapeId="138274" r:id="rId20" name="Option Button 34">
              <controlPr defaultSize="0" autoFill="0" autoLine="0" autoPict="0">
                <anchor moveWithCells="1">
                  <from>
                    <xdr:col>12</xdr:col>
                    <xdr:colOff>9525</xdr:colOff>
                    <xdr:row>36</xdr:row>
                    <xdr:rowOff>38100</xdr:rowOff>
                  </from>
                  <to>
                    <xdr:col>14</xdr:col>
                    <xdr:colOff>9525</xdr:colOff>
                    <xdr:row>36</xdr:row>
                    <xdr:rowOff>342900</xdr:rowOff>
                  </to>
                </anchor>
              </controlPr>
            </control>
          </mc:Choice>
        </mc:AlternateContent>
        <mc:AlternateContent xmlns:mc="http://schemas.openxmlformats.org/markup-compatibility/2006">
          <mc:Choice Requires="x14">
            <control shapeId="138289" r:id="rId21" name="Check Box 49">
              <controlPr defaultSize="0" autoFill="0" autoLine="0" autoPict="0">
                <anchor moveWithCells="1">
                  <from>
                    <xdr:col>3</xdr:col>
                    <xdr:colOff>561975</xdr:colOff>
                    <xdr:row>12</xdr:row>
                    <xdr:rowOff>9525</xdr:rowOff>
                  </from>
                  <to>
                    <xdr:col>3</xdr:col>
                    <xdr:colOff>866775</xdr:colOff>
                    <xdr:row>12</xdr:row>
                    <xdr:rowOff>228600</xdr:rowOff>
                  </to>
                </anchor>
              </controlPr>
            </control>
          </mc:Choice>
        </mc:AlternateContent>
        <mc:AlternateContent xmlns:mc="http://schemas.openxmlformats.org/markup-compatibility/2006">
          <mc:Choice Requires="x14">
            <control shapeId="138290" r:id="rId22" name="Check Box 50">
              <controlPr defaultSize="0" autoFill="0" autoLine="0" autoPict="0">
                <anchor moveWithCells="1">
                  <from>
                    <xdr:col>3</xdr:col>
                    <xdr:colOff>561975</xdr:colOff>
                    <xdr:row>8</xdr:row>
                    <xdr:rowOff>257175</xdr:rowOff>
                  </from>
                  <to>
                    <xdr:col>3</xdr:col>
                    <xdr:colOff>866775</xdr:colOff>
                    <xdr:row>10</xdr:row>
                    <xdr:rowOff>0</xdr:rowOff>
                  </to>
                </anchor>
              </controlPr>
            </control>
          </mc:Choice>
        </mc:AlternateContent>
        <mc:AlternateContent xmlns:mc="http://schemas.openxmlformats.org/markup-compatibility/2006">
          <mc:Choice Requires="x14">
            <control shapeId="138292" r:id="rId23" name="Check Box 52">
              <controlPr defaultSize="0" autoFill="0" autoLine="0" autoPict="0">
                <anchor moveWithCells="1">
                  <from>
                    <xdr:col>3</xdr:col>
                    <xdr:colOff>561975</xdr:colOff>
                    <xdr:row>6</xdr:row>
                    <xdr:rowOff>171450</xdr:rowOff>
                  </from>
                  <to>
                    <xdr:col>3</xdr:col>
                    <xdr:colOff>866775</xdr:colOff>
                    <xdr:row>8</xdr:row>
                    <xdr:rowOff>66675</xdr:rowOff>
                  </to>
                </anchor>
              </controlPr>
            </control>
          </mc:Choice>
        </mc:AlternateContent>
        <mc:AlternateContent xmlns:mc="http://schemas.openxmlformats.org/markup-compatibility/2006">
          <mc:Choice Requires="x14">
            <control shapeId="138293" r:id="rId24" name="Check Box 53">
              <controlPr defaultSize="0" autoFill="0" autoLine="0" autoPict="0">
                <anchor moveWithCells="1">
                  <from>
                    <xdr:col>3</xdr:col>
                    <xdr:colOff>561975</xdr:colOff>
                    <xdr:row>10</xdr:row>
                    <xdr:rowOff>9525</xdr:rowOff>
                  </from>
                  <to>
                    <xdr:col>3</xdr:col>
                    <xdr:colOff>866775</xdr:colOff>
                    <xdr:row>11</xdr:row>
                    <xdr:rowOff>9525</xdr:rowOff>
                  </to>
                </anchor>
              </controlPr>
            </control>
          </mc:Choice>
        </mc:AlternateContent>
        <mc:AlternateContent xmlns:mc="http://schemas.openxmlformats.org/markup-compatibility/2006">
          <mc:Choice Requires="x14">
            <control shapeId="138294" r:id="rId25" name="Check Box 54">
              <controlPr defaultSize="0" autoFill="0" autoLine="0" autoPict="0">
                <anchor moveWithCells="1">
                  <from>
                    <xdr:col>3</xdr:col>
                    <xdr:colOff>561975</xdr:colOff>
                    <xdr:row>7</xdr:row>
                    <xdr:rowOff>257175</xdr:rowOff>
                  </from>
                  <to>
                    <xdr:col>3</xdr:col>
                    <xdr:colOff>866775</xdr:colOff>
                    <xdr:row>9</xdr:row>
                    <xdr:rowOff>28575</xdr:rowOff>
                  </to>
                </anchor>
              </controlPr>
            </control>
          </mc:Choice>
        </mc:AlternateContent>
        <mc:AlternateContent xmlns:mc="http://schemas.openxmlformats.org/markup-compatibility/2006">
          <mc:Choice Requires="x14">
            <control shapeId="138295" r:id="rId26" name="Check Box 55">
              <controlPr defaultSize="0" autoFill="0" autoLine="0" autoPict="0">
                <anchor moveWithCells="1">
                  <from>
                    <xdr:col>3</xdr:col>
                    <xdr:colOff>561975</xdr:colOff>
                    <xdr:row>10</xdr:row>
                    <xdr:rowOff>257175</xdr:rowOff>
                  </from>
                  <to>
                    <xdr:col>3</xdr:col>
                    <xdr:colOff>866775</xdr:colOff>
                    <xdr:row>12</xdr:row>
                    <xdr:rowOff>9525</xdr:rowOff>
                  </to>
                </anchor>
              </controlPr>
            </control>
          </mc:Choice>
        </mc:AlternateContent>
        <mc:AlternateContent xmlns:mc="http://schemas.openxmlformats.org/markup-compatibility/2006">
          <mc:Choice Requires="x14">
            <control shapeId="138298" r:id="rId27" name="Check Box 58">
              <controlPr defaultSize="0" autoFill="0" autoLine="0" autoPict="0">
                <anchor moveWithCells="1">
                  <from>
                    <xdr:col>3</xdr:col>
                    <xdr:colOff>533400</xdr:colOff>
                    <xdr:row>30</xdr:row>
                    <xdr:rowOff>428625</xdr:rowOff>
                  </from>
                  <to>
                    <xdr:col>3</xdr:col>
                    <xdr:colOff>800100</xdr:colOff>
                    <xdr:row>31</xdr:row>
                    <xdr:rowOff>228600</xdr:rowOff>
                  </to>
                </anchor>
              </controlPr>
            </control>
          </mc:Choice>
        </mc:AlternateContent>
        <mc:AlternateContent xmlns:mc="http://schemas.openxmlformats.org/markup-compatibility/2006">
          <mc:Choice Requires="x14">
            <control shapeId="138300" r:id="rId28" name="Check Box 60">
              <controlPr defaultSize="0" autoFill="0" autoLine="0" autoPict="0">
                <anchor moveWithCells="1">
                  <from>
                    <xdr:col>3</xdr:col>
                    <xdr:colOff>533400</xdr:colOff>
                    <xdr:row>31</xdr:row>
                    <xdr:rowOff>419100</xdr:rowOff>
                  </from>
                  <to>
                    <xdr:col>3</xdr:col>
                    <xdr:colOff>800100</xdr:colOff>
                    <xdr:row>32</xdr:row>
                    <xdr:rowOff>219075</xdr:rowOff>
                  </to>
                </anchor>
              </controlPr>
            </control>
          </mc:Choice>
        </mc:AlternateContent>
        <mc:AlternateContent xmlns:mc="http://schemas.openxmlformats.org/markup-compatibility/2006">
          <mc:Choice Requires="x14">
            <control shapeId="138301" r:id="rId29" name="Check Box 61">
              <controlPr defaultSize="0" autoFill="0" autoLine="0" autoPict="0">
                <anchor moveWithCells="1">
                  <from>
                    <xdr:col>3</xdr:col>
                    <xdr:colOff>533400</xdr:colOff>
                    <xdr:row>33</xdr:row>
                    <xdr:rowOff>0</xdr:rowOff>
                  </from>
                  <to>
                    <xdr:col>3</xdr:col>
                    <xdr:colOff>800100</xdr:colOff>
                    <xdr:row>33</xdr:row>
                    <xdr:rowOff>238125</xdr:rowOff>
                  </to>
                </anchor>
              </controlPr>
            </control>
          </mc:Choice>
        </mc:AlternateContent>
        <mc:AlternateContent xmlns:mc="http://schemas.openxmlformats.org/markup-compatibility/2006">
          <mc:Choice Requires="x14">
            <control shapeId="138245" r:id="rId30" name="Option Button 5">
              <controlPr defaultSize="0" autoFill="0" autoLine="0" autoPict="0">
                <anchor moveWithCells="1">
                  <from>
                    <xdr:col>3</xdr:col>
                    <xdr:colOff>409575</xdr:colOff>
                    <xdr:row>18</xdr:row>
                    <xdr:rowOff>76200</xdr:rowOff>
                  </from>
                  <to>
                    <xdr:col>3</xdr:col>
                    <xdr:colOff>676275</xdr:colOff>
                    <xdr:row>18</xdr:row>
                    <xdr:rowOff>314325</xdr:rowOff>
                  </to>
                </anchor>
              </controlPr>
            </control>
          </mc:Choice>
        </mc:AlternateContent>
        <mc:AlternateContent xmlns:mc="http://schemas.openxmlformats.org/markup-compatibility/2006">
          <mc:Choice Requires="x14">
            <control shapeId="138246" r:id="rId31" name="Option Button 6">
              <controlPr defaultSize="0" autoFill="0" autoLine="0" autoPict="0">
                <anchor moveWithCells="1">
                  <from>
                    <xdr:col>4</xdr:col>
                    <xdr:colOff>19050</xdr:colOff>
                    <xdr:row>18</xdr:row>
                    <xdr:rowOff>66675</xdr:rowOff>
                  </from>
                  <to>
                    <xdr:col>5</xdr:col>
                    <xdr:colOff>85725</xdr:colOff>
                    <xdr:row>18</xdr:row>
                    <xdr:rowOff>285750</xdr:rowOff>
                  </to>
                </anchor>
              </controlPr>
            </control>
          </mc:Choice>
        </mc:AlternateContent>
        <mc:AlternateContent xmlns:mc="http://schemas.openxmlformats.org/markup-compatibility/2006">
          <mc:Choice Requires="x14">
            <control shapeId="138247" r:id="rId32" name="Option Button 7">
              <controlPr defaultSize="0" autoFill="0" autoLine="0" autoPict="0">
                <anchor moveWithCells="1">
                  <from>
                    <xdr:col>6</xdr:col>
                    <xdr:colOff>0</xdr:colOff>
                    <xdr:row>18</xdr:row>
                    <xdr:rowOff>66675</xdr:rowOff>
                  </from>
                  <to>
                    <xdr:col>6</xdr:col>
                    <xdr:colOff>304800</xdr:colOff>
                    <xdr:row>18</xdr:row>
                    <xdr:rowOff>285750</xdr:rowOff>
                  </to>
                </anchor>
              </controlPr>
            </control>
          </mc:Choice>
        </mc:AlternateContent>
        <mc:AlternateContent xmlns:mc="http://schemas.openxmlformats.org/markup-compatibility/2006">
          <mc:Choice Requires="x14">
            <control shapeId="138251" r:id="rId33" name="Option Button 11">
              <controlPr defaultSize="0" autoFill="0" autoLine="0" autoPict="0">
                <anchor moveWithCells="1">
                  <from>
                    <xdr:col>6</xdr:col>
                    <xdr:colOff>1095375</xdr:colOff>
                    <xdr:row>18</xdr:row>
                    <xdr:rowOff>66675</xdr:rowOff>
                  </from>
                  <to>
                    <xdr:col>7</xdr:col>
                    <xdr:colOff>247650</xdr:colOff>
                    <xdr:row>18</xdr:row>
                    <xdr:rowOff>285750</xdr:rowOff>
                  </to>
                </anchor>
              </controlPr>
            </control>
          </mc:Choice>
        </mc:AlternateContent>
        <mc:AlternateContent xmlns:mc="http://schemas.openxmlformats.org/markup-compatibility/2006">
          <mc:Choice Requires="x14">
            <control shapeId="138252" r:id="rId34" name="Option Button 12">
              <controlPr defaultSize="0" autoFill="0" autoLine="0" autoPict="0">
                <anchor moveWithCells="1">
                  <from>
                    <xdr:col>8</xdr:col>
                    <xdr:colOff>104775</xdr:colOff>
                    <xdr:row>18</xdr:row>
                    <xdr:rowOff>66675</xdr:rowOff>
                  </from>
                  <to>
                    <xdr:col>10</xdr:col>
                    <xdr:colOff>123825</xdr:colOff>
                    <xdr:row>18</xdr:row>
                    <xdr:rowOff>285750</xdr:rowOff>
                  </to>
                </anchor>
              </controlPr>
            </control>
          </mc:Choice>
        </mc:AlternateContent>
        <mc:AlternateContent xmlns:mc="http://schemas.openxmlformats.org/markup-compatibility/2006">
          <mc:Choice Requires="x14">
            <control shapeId="138253" r:id="rId35" name="Option Button 13">
              <controlPr defaultSize="0" autoFill="0" autoLine="0" autoPict="0">
                <anchor moveWithCells="1">
                  <from>
                    <xdr:col>15</xdr:col>
                    <xdr:colOff>76200</xdr:colOff>
                    <xdr:row>18</xdr:row>
                    <xdr:rowOff>57150</xdr:rowOff>
                  </from>
                  <to>
                    <xdr:col>17</xdr:col>
                    <xdr:colOff>95250</xdr:colOff>
                    <xdr:row>18</xdr:row>
                    <xdr:rowOff>285750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Blank</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C33C1E-8DEB-4FB9-85EE-E1D6884B1580}">
  <ds:schemaRefs>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ListId:docs;"/>
    <ds:schemaRef ds:uri="http://purl.org/dc/dcmitype/"/>
  </ds:schemaRefs>
</ds:datastoreItem>
</file>

<file path=customXml/itemProps2.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2014-11-04T22:37:42Z</cp:lastPrinted>
  <dcterms:created xsi:type="dcterms:W3CDTF">2012-04-11T21:44:01Z</dcterms:created>
  <dcterms:modified xsi:type="dcterms:W3CDTF">2014-11-17T20:50:53Z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