
<file path=[Content_Types].xml><?xml version="1.0" encoding="utf-8"?>
<Types xmlns="http://schemas.openxmlformats.org/package/2006/content-types">
  <Override PartName="/xl/ctrlProps/ctrlProp232.xml" ContentType="application/vnd.ms-excel.controlproperties+xml"/>
  <Override PartName="/xl/ctrlProps/ctrlProp78.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ctrlProps/ctrlProp221.xml" ContentType="application/vnd.ms-excel.controlproperties+xml"/>
  <Override PartName="/xl/ctrlProps/ctrlProp169.xml" ContentType="application/vnd.ms-excel.controlproperties+xml"/>
  <Override PartName="/xl/ctrlProps/ctrlProp67.xml" ContentType="application/vnd.ms-excel.controlproperties+xml"/>
  <Override PartName="/xl/ctrlProps/ctrlProp194.xml" ContentType="application/vnd.ms-excel.controlproperties+xml"/>
  <Override PartName="/xl/ctrlProps/ctrlProp147.xml" ContentType="application/vnd.ms-excel.controlproperties+xml"/>
  <Override PartName="/xl/ctrlProps/ctrlProp158.xml" ContentType="application/vnd.ms-excel.controlproperties+xml"/>
  <Override PartName="/xl/ctrlProps/ctrlProp92.xml" ContentType="application/vnd.ms-excel.controlproperties+xml"/>
  <Override PartName="/xl/ctrlProps/ctrlProp210.xml" ContentType="application/vnd.ms-excel.controlproperties+xml"/>
  <Override PartName="/xl/ctrlProps/ctrlProp56.xml" ContentType="application/vnd.ms-excel.controlproperties+xml"/>
  <Override PartName="/xl/ctrlProps/ctrlProp45.xml" ContentType="application/vnd.ms-excel.controlproperties+xml"/>
  <Default Extension="xml" ContentType="application/xml"/>
  <Override PartName="/xl/drawings/drawing2.xml" ContentType="application/vnd.openxmlformats-officedocument.drawing+xml"/>
  <Override PartName="/xl/ctrlProps/ctrlProp183.xml" ContentType="application/vnd.ms-excel.controlproperties+xml"/>
  <Override PartName="/xl/ctrlProps/ctrlProp81.xml" ContentType="application/vnd.ms-excel.controlproperties+xml"/>
  <Override PartName="/xl/ctrlProps/ctrlProp136.xml" ContentType="application/vnd.ms-excel.controlproperties+xml"/>
  <Override PartName="/xl/ctrlProps/ctrlProp34.xml" ContentType="application/vnd.ms-excel.controlproperties+xml"/>
  <Override PartName="/xl/worksheets/sheet3.xml" ContentType="application/vnd.openxmlformats-officedocument.spreadsheetml.worksheet+xml"/>
  <Override PartName="/xl/ctrlProps/ctrlProp125.xml" ContentType="application/vnd.ms-excel.controlproperties+xml"/>
  <Override PartName="/xl/ctrlProps/ctrlProp172.xml" ContentType="application/vnd.ms-excel.controlproperties+xml"/>
  <Override PartName="/xl/ctrlProps/ctrlProp70.xml" ContentType="application/vnd.ms-excel.controlproperties+xml"/>
  <Override PartName="/xl/ctrlProps/ctrlProp23.xml" ContentType="application/vnd.ms-excel.controlproperties+xml"/>
  <Override PartName="/xl/ctrlProps/ctrlProp161.xml" ContentType="application/vnd.ms-excel.controlproperties+xml"/>
  <Override PartName="/xl/ctrlProps/ctrlProp150.xml" ContentType="application/vnd.ms-excel.controlproperties+xml"/>
  <Override PartName="/xl/ctrlProps/ctrlProp114.xml" ContentType="application/vnd.ms-excel.controlproperties+xml"/>
  <Override PartName="/xl/ctrlProps/ctrlProp103.xml" ContentType="application/vnd.ms-excel.controlproperties+xml"/>
  <Override PartName="/xl/ctrlProps/ctrlProp12.xml" ContentType="application/vnd.ms-excel.controlproperties+xml"/>
  <Override PartName="/xl/comments10.xml" ContentType="application/vnd.openxmlformats-officedocument.spreadsheetml.comments+xml"/>
  <Override PartName="/xl/ctrlProps/ctrlProp215.xml" ContentType="application/vnd.ms-excel.controlproperties+xml"/>
  <Override PartName="/xl/ctrlProps/ctrlProp226.xml" ContentType="application/vnd.ms-excel.controlproperties+xml"/>
  <Override PartName="/xl/ctrlProps/ctrlProp2.xml" ContentType="application/vnd.ms-excel.controlproperties+xml"/>
  <Default Extension="png" ContentType="image/png"/>
  <Override PartName="/customXml/itemProps2.xml" ContentType="application/vnd.openxmlformats-officedocument.customXmlProperties+xml"/>
  <Override PartName="/xl/ctrlProps/ctrlProp199.xml" ContentType="application/vnd.ms-excel.controlproperties+xml"/>
  <Override PartName="/xl/ctrlProps/ctrlProp97.xml" ContentType="application/vnd.ms-excel.controlproperties+xml"/>
  <Override PartName="/xl/ctrlProps/ctrlProp204.xml" ContentType="application/vnd.ms-excel.controlproperties+xml"/>
  <Override PartName="/xl/drawings/drawing7.xml" ContentType="application/vnd.openxmlformats-officedocument.drawing+xml"/>
  <Override PartName="/xl/ctrlProps/ctrlProp188.xml" ContentType="application/vnd.ms-excel.controlproperties+xml"/>
  <Override PartName="/xl/ctrlProps/ctrlProp86.xml" ContentType="application/vnd.ms-excel.controlproperties+xml"/>
  <Override PartName="/xl/ctrlProps/ctrlProp177.xml" ContentType="application/vnd.ms-excel.controlproperties+xml"/>
  <Override PartName="/xl/ctrlProps/ctrlProp28.xml" ContentType="application/vnd.ms-excel.controlproperties+xml"/>
  <Override PartName="/xl/ctrlProps/ctrlProp75.xml" ContentType="application/vnd.ms-excel.controlproperties+xml"/>
  <Override PartName="/xl/ctrlProps/ctrlProp39.xml" ContentType="application/vnd.ms-excel.controlproperties+xml"/>
  <Override PartName="/xl/worksheets/sheet8.xml" ContentType="application/vnd.openxmlformats-officedocument.spreadsheetml.worksheet+xml"/>
  <Override PartName="/xl/ctrlProps/ctrlProp166.xml" ContentType="application/vnd.ms-excel.controlproperties+xml"/>
  <Override PartName="/xl/ctrlProps/ctrlProp119.xml" ContentType="application/vnd.ms-excel.controlproperties+xml"/>
  <Override PartName="/xl/ctrlProps/ctrlProp17.xml" ContentType="application/vnd.ms-excel.controlproperties+xml"/>
  <Override PartName="/xl/ctrlProps/ctrlProp64.xml" ContentType="application/vnd.ms-excel.controlproperties+xml"/>
  <Override PartName="/xl/worksheets/sheet10.xml" ContentType="application/vnd.openxmlformats-officedocument.spreadsheetml.worksheet+xml"/>
  <Override PartName="/xl/comments5.xml" ContentType="application/vnd.openxmlformats-officedocument.spreadsheetml.comments+xml"/>
  <Override PartName="/xl/ctrlProps/ctrlProp155.xml" ContentType="application/vnd.ms-excel.controlproperties+xml"/>
  <Override PartName="/xl/ctrlProps/ctrlProp108.xml" ContentType="application/vnd.ms-excel.controlproperties+xml"/>
  <Override PartName="/xl/ctrlProps/ctrlProp53.xml" ContentType="application/vnd.ms-excel.controlproperties+xml"/>
  <Override PartName="/docProps/app.xml" ContentType="application/vnd.openxmlformats-officedocument.extended-properties+xml"/>
  <Override PartName="/xl/drawings/drawing14.xml" ContentType="application/vnd.openxmlformats-officedocument.drawing+xml"/>
  <Override PartName="/xl/ctrlProps/ctrlProp191.xml" ContentType="application/vnd.ms-excel.controlproperties+xml"/>
  <Override PartName="/xl/ctrlProps/ctrlProp144.xml" ContentType="application/vnd.ms-excel.controlproperties+xml"/>
  <Override PartName="/xl/ctrlProps/ctrlProp7.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xl/ctrlProps/ctrlProp180.xml" ContentType="application/vnd.ms-excel.controlproperties+xml"/>
  <Override PartName="/xl/ctrlProps/ctrlProp122.xml" ContentType="application/vnd.ms-excel.controlproperties+xml"/>
  <Override PartName="/xl/ctrlProps/ctrlProp133.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111.xml" ContentType="application/vnd.ms-excel.controlproperties+xml"/>
  <Override PartName="/xl/ctrlProps/ctrlProp209.xml" ContentType="application/vnd.ms-excel.controlproperties+xml"/>
  <Override PartName="/xl/ctrlProps/ctrlProp100.xml" ContentType="application/vnd.ms-excel.controlproperties+xml"/>
  <Override PartName="/xl/worksheets/sheet15.xml" ContentType="application/vnd.openxmlformats-officedocument.spreadsheetml.worksheet+xml"/>
  <Override PartName="/xl/ctrlProps/ctrlProp223.xml" ContentType="application/vnd.ms-excel.controlproperties+xml"/>
  <Override PartName="/xl/ctrlProps/ctrlProp69.xml" ContentType="application/vnd.ms-excel.controlproperties+xml"/>
  <Override PartName="/xl/ctrlProps/ctrlProp212.xml" ContentType="application/vnd.ms-excel.controlproperties+xml"/>
  <Override PartName="/xl/ctrlProps/ctrlProp196.xml" ContentType="application/vnd.ms-excel.controlproperties+xml"/>
  <Override PartName="/xl/ctrlProps/ctrlProp149.xml" ContentType="application/vnd.ms-excel.controlproperties+xml"/>
  <Override PartName="/xl/ctrlProps/ctrlProp94.xml" ContentType="application/vnd.ms-excel.controlproperties+xml"/>
  <Override PartName="/xl/ctrlProps/ctrlProp47.xml" ContentType="application/vnd.ms-excel.controlproperties+xml"/>
  <Override PartName="/xl/ctrlProps/ctrlProp58.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ctrlProps/ctrlProp185.xml" ContentType="application/vnd.ms-excel.controlproperties+xml"/>
  <Override PartName="/xl/ctrlProps/ctrlProp201.xml" ContentType="application/vnd.ms-excel.controlproperties+xml"/>
  <Override PartName="/xl/ctrlProps/ctrlProp167.xml" ContentType="application/vnd.ms-excel.controlproperties+xml"/>
  <Override PartName="/xl/ctrlProps/ctrlProp83.xml" ContentType="application/vnd.ms-excel.controlproperties+xml"/>
  <Override PartName="/xl/ctrlProps/ctrlProp138.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65.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92.xml" ContentType="application/vnd.ms-excel.controlproperties+xml"/>
  <Override PartName="/xl/ctrlProps/ctrlProp156.xml" ContentType="application/vnd.ms-excel.controlproperties+xml"/>
  <Override PartName="/xl/ctrlProps/ctrlProp145.xml" ContentType="application/vnd.ms-excel.controlproperties+xml"/>
  <Override PartName="/xl/ctrlProps/ctrlProp90.xml" ContentType="application/vnd.ms-excel.controlproperties+xml"/>
  <Override PartName="/xl/ctrlProps/ctrlProp127.xml" ContentType="application/vnd.ms-excel.controlproperties+xml"/>
  <Override PartName="/xl/ctrlProps/ctrlProp109.xml" ContentType="application/vnd.ms-excel.controlproperties+xml"/>
  <Override PartName="/xl/ctrlProps/ctrlProp174.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ctrlProps/ctrlProp181.xml" ContentType="application/vnd.ms-excel.controlproperties+xml"/>
  <Override PartName="/xl/ctrlProps/ctrlProp152.xml" ContentType="application/vnd.ms-excel.controlproperties+xml"/>
  <Override PartName="/xl/ctrlProps/ctrlProp163.xml" ContentType="application/vnd.ms-excel.controlproperties+xml"/>
  <Override PartName="/xl/ctrlProps/ctrlProp105.xml" ContentType="application/vnd.ms-excel.controlproperties+xml"/>
  <Override PartName="/xl/ctrlProps/ctrlProp116.xml" ContentType="application/vnd.ms-excel.controlproperties+xml"/>
  <Override PartName="/xl/ctrlProps/ctrlProp134.xml" ContentType="application/vnd.ms-excel.controlproperties+xml"/>
  <Override PartName="/xl/ctrlProps/ctrlProp14.xml" ContentType="application/vnd.ms-excel.controlproperties+xml"/>
  <Override PartName="/xl/ctrlProps/ctrlProp61.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170.xml" ContentType="application/vnd.ms-excel.controlproperties+xml"/>
  <Override PartName="/xl/ctrlProps/ctrlProp123.xml" ContentType="application/vnd.ms-excel.controlproperties+xml"/>
  <Override PartName="/xl/ctrlProps/ctrlProp141.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trlProps/ctrlProp217.xml" ContentType="application/vnd.ms-excel.controlproperties+xml"/>
  <Override PartName="/xl/ctrlProps/ctrlProp112.xml" ContentType="application/vnd.ms-excel.controlproperties+xml"/>
  <Override PartName="/xl/ctrlProps/ctrlProp101.xml" ContentType="application/vnd.ms-excel.controlproperties+xml"/>
  <Override PartName="/xl/ctrlProps/ctrlProp228.xml" ContentType="application/vnd.ms-excel.controlproperties+xml"/>
  <Override PartName="/xl/ctrlProps/ctrlProp130.xml" ContentType="application/vnd.ms-excel.controlproperties+xml"/>
  <Override PartName="/xl/ctrlProps/ctrlProp10.xml" ContentType="application/vnd.ms-excel.controlproperties+xml"/>
  <Override PartName="/xl/ctrlProps/ctrlProp4.xml" ContentType="application/vnd.ms-excel.controlproperties+xml"/>
  <Override PartName="/xl/ctrlProps/ctrlProp99.xml" ContentType="application/vnd.ms-excel.controlproperties+xml"/>
  <Override PartName="/xl/ctrlProps/ctrlProp206.xml" ContentType="application/vnd.ms-excel.controlproperties+xml"/>
  <Override PartName="/xl/worksheets/sheet16.xml" ContentType="application/vnd.openxmlformats-officedocument.spreadsheetml.worksheet+xml"/>
  <Override PartName="/xl/drawings/drawing9.xml" ContentType="application/vnd.openxmlformats-officedocument.drawing+xml"/>
  <Override PartName="/xl/ctrlProps/ctrlProp213.xml" ContentType="application/vnd.ms-excel.controlproperties+xml"/>
  <Override PartName="/xl/ctrlProps/ctrlProp88.xml" ContentType="application/vnd.ms-excel.controlproperties+xml"/>
  <Override PartName="/xl/ctrlProps/ctrlProp224.xml" ContentType="application/vnd.ms-excel.controlproperties+xml"/>
  <Override PartName="/xl/ctrlProps/ctrlProp59.xml" ContentType="application/vnd.ms-excel.controlproperties+xml"/>
  <Override PartName="/xl/ctrlProps/ctrlProp77.xml" ContentType="application/vnd.ms-excel.controlproperties+xml"/>
  <Override PartName="/xl/ctrlProps/ctrlProp220.xml" ContentType="application/vnd.ms-excel.controlproperties+xml"/>
  <Override PartName="/xl/ctrlProps/ctrlProp202.xml" ContentType="application/vnd.ms-excel.controlproperties+xml"/>
  <Override PartName="/xl/ctrlProps/ctrlProp179.xml" ContentType="application/vnd.ms-excel.controlproperties+xml"/>
  <Override PartName="/xl/ctrlProps/ctrlProp197.xml" ContentType="application/vnd.ms-excel.controlproperties+xml"/>
  <Override PartName="/xl/ctrlProps/ctrlProp168.xml" ContentType="application/vnd.ms-excel.controlproperties+xml"/>
  <Override PartName="/xl/ctrlProps/ctrlProp95.xml" ContentType="application/vnd.ms-excel.controlproperties+xml"/>
  <Override PartName="/xl/ctrlProps/ctrlProp231.xml" ContentType="application/vnd.ms-excel.controlproperties+xml"/>
  <Override PartName="/xl/ctrlProps/ctrlProp48.xml" ContentType="application/vnd.ms-excel.controlproperties+xml"/>
  <Override PartName="/xl/ctrlProps/ctrlProp66.xml" ContentType="application/vnd.ms-excel.controlproperties+xml"/>
  <Override PartName="/xl/ctrlProps/ctrlProp19.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Override PartName="/xl/ctrlProps/ctrlProp186.xml" ContentType="application/vnd.ms-excel.controlproperties+xml"/>
  <Override PartName="/xl/ctrlProps/ctrlProp157.xml" ContentType="application/vnd.ms-excel.controlproperties+xml"/>
  <Override PartName="/xl/ctrlProps/ctrlProp128.xml" ContentType="application/vnd.ms-excel.controlproperties+xml"/>
  <Override PartName="/xl/ctrlProps/ctrlProp84.xml" ContentType="application/vnd.ms-excel.controlproperties+xml"/>
  <Override PartName="/xl/ctrlProps/ctrlProp139.xml" ContentType="application/vnd.ms-excel.controlproperties+xml"/>
  <Override PartName="/xl/ctrlProps/ctrlProp175.xml" ContentType="application/vnd.ms-excel.controlproperties+xml"/>
  <Override PartName="/xl/ctrlProps/ctrlProp26.xml" ContentType="application/vnd.ms-excel.controlproperties+xml"/>
  <Override PartName="/xl/ctrlProps/ctrlProp73.xml" ContentType="application/vnd.ms-excel.controlproperties+xml"/>
  <Override PartName="/xl/ctrlProps/ctrlProp55.xml" ContentType="application/vnd.ms-excel.controlproperties+xml"/>
  <Override PartName="/xl/ctrlProps/ctrlProp37.xml" ContentType="application/vnd.ms-excel.controlproperties+xml"/>
  <Override PartName="/xl/ctrlProps/ctrlProp193.xml" ContentType="application/vnd.ms-excel.controlproperties+xml"/>
  <Override PartName="/xl/ctrlProps/ctrlProp164.xml" ContentType="application/vnd.ms-excel.controlproperties+xml"/>
  <Override PartName="/xl/ctrlProps/ctrlProp146.xml" ContentType="application/vnd.ms-excel.controlproperties+xml"/>
  <Override PartName="/xl/ctrlProps/ctrlProp91.xml" ContentType="application/vnd.ms-excel.controlproperties+xml"/>
  <Override PartName="/xl/ctrlProps/ctrlProp117.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15.xml" ContentType="application/vnd.ms-excel.controlproperties+xml"/>
  <Override PartName="/xl/ctrlProps/ctrlProp44.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trlProps/ctrlProp182.xml" ContentType="application/vnd.ms-excel.controlproperties+xml"/>
  <Override PartName="/xl/ctrlProps/ctrlProp153.xml" ContentType="application/vnd.ms-excel.controlproperties+xml"/>
  <Override PartName="/xl/ctrlProps/ctrlProp171.xml" ContentType="application/vnd.ms-excel.controlproperties+xml"/>
  <Override PartName="/xl/ctrlProps/ctrlProp80.xml" ContentType="application/vnd.ms-excel.controlproperties+xml"/>
  <Override PartName="/xl/ctrlProps/ctrlProp106.xml" ContentType="application/vnd.ms-excel.controlproperties+xml"/>
  <Override PartName="/xl/ctrlProps/ctrlProp124.xml" ContentType="application/vnd.ms-excel.controlproperties+xml"/>
  <Override PartName="/xl/ctrlProps/ctrlProp135.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160.xml" ContentType="application/vnd.ms-excel.controlproperties+xml"/>
  <Override PartName="/xl/ctrlProps/ctrlProp113.xml" ContentType="application/vnd.ms-excel.controlproperties+xml"/>
  <Override PartName="/xl/ctrlProps/ctrlProp229.xml" ContentType="application/vnd.ms-excel.controlproperties+xml"/>
  <Override PartName="/xl/ctrlProps/ctrlProp142.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11.xml" ContentType="application/vnd.ms-excel.controlproperties+xml"/>
  <Override PartName="/xl/comments13.xml" ContentType="application/vnd.openxmlformats-officedocument.spreadsheetml.comments+xml"/>
  <Override PartName="/xl/ctrlProps/ctrlProp218.xml" ContentType="application/vnd.ms-excel.controlproperties+xml"/>
  <Override PartName="/xl/ctrlProps/ctrlProp120.xml" ContentType="application/vnd.ms-excel.controlproperties+xml"/>
  <Override PartName="/xl/ctrlProps/ctrlProp102.xml" ContentType="application/vnd.ms-excel.controlproperties+xml"/>
  <Override PartName="/xl/ctrlProps/ctrlProp131.xml" ContentType="application/vnd.ms-excel.controlproperties+xml"/>
  <Override PartName="/xl/ctrlProps/ctrlProp89.xml" ContentType="application/vnd.ms-excel.controlproperties+xml"/>
  <Override PartName="/xl/ctrlProps/ctrlProp225.xml" ContentType="application/vnd.ms-excel.controlproperties+xml"/>
  <Override PartName="/xl/ctrlProps/ctrlProp207.xml" ContentType="application/vnd.ms-excel.controlproperties+xml"/>
  <Override PartName="/xl/ctrlProps/ctrlProp1.xml" ContentType="application/vnd.ms-excel.controlproperties+xml"/>
  <Override PartName="/xl/ctrlProps/ctrlProp214.xml" ContentType="application/vnd.ms-excel.controlproperties+xml"/>
  <Override PartName="/xl/ctrlProps/ctrlProp198.xml" ContentType="application/vnd.ms-excel.controlproperties+xml"/>
  <Override PartName="/xl/ctrlProps/ctrlProp96.xml" ContentType="application/vnd.ms-excel.controlproperties+xml"/>
  <Override PartName="/xl/ctrlProps/ctrlProp49.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xl/ctrlProps/ctrlProp187.xml" ContentType="application/vnd.ms-excel.controlproperties+xml"/>
  <Override PartName="/xl/ctrlProps/ctrlProp203.xml" ContentType="application/vnd.ms-excel.controlproperties+xml"/>
  <Override PartName="/xl/ctrlProps/ctrlProp85.xml" ContentType="application/vnd.ms-excel.controlproperties+xml"/>
  <Override PartName="/xl/ctrlProps/ctrlProp38.xml" ContentType="application/vnd.ms-excel.controlproperties+xml"/>
  <Override PartName="/xl/worksheets/sheet7.xml" ContentType="application/vnd.openxmlformats-officedocument.spreadsheetml.worksheet+xml"/>
  <Override PartName="/xl/ctrlProps/ctrlProp129.xml" ContentType="application/vnd.ms-excel.controlproperties+xml"/>
  <Override PartName="/xl/ctrlProps/ctrlProp176.xml" ContentType="application/vnd.ms-excel.controlproperties+xml"/>
  <Override PartName="/xl/ctrlProps/ctrlProp27.xml" ContentType="application/vnd.ms-excel.controlproperties+xml"/>
  <Override PartName="/xl/ctrlProps/ctrlProp74.xml" ContentType="application/vnd.ms-excel.controlproperties+xml"/>
  <Override PartName="/xl/comments4.xml" ContentType="application/vnd.openxmlformats-officedocument.spreadsheetml.comments+xml"/>
  <Override PartName="/xl/ctrlProps/ctrlProp165.xml" ContentType="application/vnd.ms-excel.controlproperties+xml"/>
  <Override PartName="/xl/ctrlProps/ctrlProp107.xml" ContentType="application/vnd.ms-excel.controlproperties+xml"/>
  <Override PartName="/xl/ctrlProps/ctrlProp118.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6.xml" ContentType="application/vnd.ms-excel.controlproperties+xml"/>
  <Override PartName="/xl/drawings/drawing13.xml" ContentType="application/vnd.openxmlformats-officedocument.drawing+xml"/>
  <Override PartName="/xl/ctrlProps/ctrlProp190.xml" ContentType="application/vnd.ms-excel.controlproperties+xml"/>
  <Override PartName="/xl/ctrlProps/ctrlProp154.xml" ContentType="application/vnd.ms-excel.controlproperties+xml"/>
  <Override PartName="/xl/ctrlProps/ctrlProp143.xml" ContentType="application/vnd.ms-excel.controlproperties+xml"/>
  <Override PartName="/xl/ctrlProps/ctrlProp41.xml" ContentType="application/vnd.ms-excel.controlproperties+xml"/>
  <Override PartName="/docProps/custom.xml" ContentType="application/vnd.openxmlformats-officedocument.custom-properties+xml"/>
  <Override PartName="/xl/comments14.xml" ContentType="application/vnd.openxmlformats-officedocument.spreadsheetml.comments+xml"/>
  <Override PartName="/xl/ctrlProps/ctrlProp219.xml" ContentType="application/vnd.ms-excel.controlproperties+xml"/>
  <Override PartName="/xl/ctrlProps/ctrlProp132.xml" ContentType="application/vnd.ms-excel.controlproperties+xml"/>
  <Override PartName="/xl/ctrlProps/ctrlProp30.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21.xml" ContentType="application/vnd.ms-excel.controlproperties+xml"/>
  <Override PartName="/xl/ctrlProps/ctrlProp208.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222.xml" ContentType="application/vnd.ms-excel.controlproperties+xml"/>
  <Override PartName="/xl/ctrlProps/ctrlProp79.xml" ContentType="application/vnd.ms-excel.controlproperties+xml"/>
  <Override PartName="/xl/ctrlProps/ctrlProp233.xml" ContentType="application/vnd.ms-excel.controlproperties+xml"/>
  <Override PartName="/xl/ctrlProps/ctrlProp68.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comments9.xml" ContentType="application/vnd.openxmlformats-officedocument.spreadsheetml.comments+xml"/>
  <Override PartName="/xl/ctrlProps/ctrlProp211.xml" ContentType="application/vnd.ms-excel.controlproperties+xml"/>
  <Override PartName="/xl/ctrlProps/ctrlProp159.xml" ContentType="application/vnd.ms-excel.controlproperties+xml"/>
  <Override PartName="/xl/ctrlProps/ctrlProp57.xml" ContentType="application/vnd.ms-excel.controlproperties+xml"/>
  <Override PartName="/xl/ctrlProps/ctrlProp195.xml" ContentType="application/vnd.ms-excel.controlproperties+xml"/>
  <Override PartName="/xl/ctrlProps/ctrlProp200.xml" ContentType="application/vnd.ms-excel.controlproperties+xml"/>
  <Override PartName="/xl/ctrlProps/ctrlProp148.xml" ContentType="application/vnd.ms-excel.controlproperties+xml"/>
  <Override PartName="/xl/ctrlProps/ctrlProp93.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84.xml" ContentType="application/vnd.ms-excel.controlproperties+xml"/>
  <Override PartName="/xl/ctrlProps/ctrlProp126.xml" ContentType="application/vnd.ms-excel.controlproperties+xml"/>
  <Override PartName="/xl/ctrlProps/ctrlProp82.xml" ContentType="application/vnd.ms-excel.controlproperties+xml"/>
  <Override PartName="/xl/ctrlProps/ctrlProp137.xml" ContentType="application/vnd.ms-excel.controlproperties+xml"/>
  <Override PartName="/xl/ctrlProps/ctrlProp173.xml" ContentType="application/vnd.ms-excel.controlproperties+xml"/>
  <Override PartName="/xl/ctrlProps/ctrlProp35.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162.xml" ContentType="application/vnd.ms-excel.controlproperties+xml"/>
  <Override PartName="/xl/ctrlProps/ctrlProp115.xml" ContentType="application/vnd.ms-excel.controlproperties+xml"/>
  <Override PartName="/xl/ctrlProps/ctrlProp60.xml" ContentType="application/vnd.ms-excel.controlproperties+xml"/>
  <Override PartName="/xl/ctrlProps/ctrlProp13.xml" ContentType="application/vnd.ms-excel.controlproperties+xml"/>
  <Default Extension="vml" ContentType="application/vnd.openxmlformats-officedocument.vmlDrawing"/>
  <Override PartName="/xl/comments1.xml" ContentType="application/vnd.openxmlformats-officedocument.spreadsheetml.comments+xml"/>
  <Override PartName="/xl/ctrlProps/ctrlProp151.xml" ContentType="application/vnd.ms-excel.controlproperties+xml"/>
  <Override PartName="/xl/ctrlProps/ctrlProp104.xml" ContentType="application/vnd.ms-excel.controlproperties+xml"/>
  <Override PartName="/xl/drawings/drawing10.xml" ContentType="application/vnd.openxmlformats-officedocument.drawing+xml"/>
  <Override PartName="/xl/ctrlProps/ctrlProp227.xml" ContentType="application/vnd.ms-excel.controlproperties+xml"/>
  <Override PartName="/xl/ctrlProps/ctrlProp140.xml" ContentType="application/vnd.ms-excel.controlproperties+xml"/>
  <Override PartName="/xl/ctrlProps/ctrlProp3.xml" ContentType="application/vnd.ms-excel.controlproperties+xml"/>
  <Override PartName="/xl/comments11.xml" ContentType="application/vnd.openxmlformats-officedocument.spreadsheetml.comments+xml"/>
  <Override PartName="/xl/ctrlProps/ctrlProp216.xml" ContentType="application/vnd.ms-excel.controlproperties+xml"/>
  <Override PartName="/xl/ctrlProps/ctrlProp98.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xl/ctrlProps/ctrlProp189.xml" ContentType="application/vnd.ms-excel.controlproperties+xml"/>
  <Override PartName="/xl/ctrlProps/ctrlProp87.xml" ContentType="application/vnd.ms-excel.controlproperties+xml"/>
  <Override PartName="/xl/ctrlProps/ctrlProp205.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178.xml" ContentType="application/vnd.ms-excel.controlproperties+xml"/>
  <Override PartName="/xl/ctrlProps/ctrlProp230.xml" ContentType="application/vnd.ms-excel.controlproperties+xml"/>
  <Override PartName="/xl/ctrlProps/ctrlProp76.xml" ContentType="application/vnd.ms-excel.controlproperties+xml"/>
  <Override PartName="/xl/ctrlProps/ctrlProp29.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2" yWindow="876" windowWidth="9120" windowHeight="7632" tabRatio="960" firstSheet="2" activeTab="14"/>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D5" i="86"/>
  <c r="Y4" i="95" l="1"/>
  <c r="Z37" s="1"/>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16" i="95" l="1"/>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B116" i="106" s="1"/>
  <c r="AA13" i="96"/>
  <c r="B117" i="106" s="1"/>
  <c r="AA14" i="96"/>
  <c r="B118" i="106" s="1"/>
  <c r="AA15" i="96"/>
  <c r="AA16"/>
  <c r="AA10"/>
  <c r="B114" i="106" s="1"/>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L32" l="1"/>
  <c r="B138" i="106"/>
  <c r="C106"/>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7" i="86"/>
  <c r="H39"/>
  <c r="D39"/>
  <c r="B145" i="106" l="1"/>
  <c r="AH15" i="86"/>
  <c r="M31"/>
  <c r="Z7" i="92"/>
  <c r="X7" s="1"/>
  <c r="X20" i="90"/>
  <c r="Y15" i="93"/>
  <c r="Y16"/>
  <c r="Y14"/>
  <c r="Y13"/>
  <c r="Y12"/>
  <c r="Y11"/>
  <c r="Y9"/>
  <c r="X7"/>
  <c r="B70" i="106" l="1"/>
  <c r="M10" i="86"/>
  <c r="X17" i="93"/>
  <c r="X7" i="103"/>
  <c r="X7" i="102"/>
  <c r="AH18" i="86" l="1"/>
  <c r="B174" i="106"/>
  <c r="AH17" i="86"/>
  <c r="B171" i="106"/>
  <c r="X35" i="95"/>
  <c r="Y35" s="1"/>
  <c r="D36" i="86" s="1"/>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X7" i="95" l="1"/>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<sst xmlns="http://schemas.openxmlformats.org/spreadsheetml/2006/main" count="3096" uniqueCount="1084">
  <si>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</si>
  <si>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</si>
  <si>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</si>
  <si>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</si>
  <si>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</si>
  <si>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</si>
  <si>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</si>
  <si>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</si>
  <si>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</si>
  <si>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</si>
  <si>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</si>
  <si>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</si>
  <si>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</si>
  <si>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</si>
  <si>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</si>
  <si>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</si>
  <si>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</si>
  <si>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</si>
  <si>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</si>
  <si>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</si>
  <si>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</si>
  <si>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</si>
  <si>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</si>
  <si>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</si>
  <si>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</si>
  <si>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</si>
  <si>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</si>
  <si>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</si>
  <si>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</si>
  <si>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</si>
  <si>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</si>
  <si>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</si>
  <si>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</si>
  <si>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</si>
  <si>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</si>
  <si>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</si>
  <si>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</si>
  <si>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</si>
  <si>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</si>
  <si>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</si>
  <si>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</si>
  <si>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</si>
  <si>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</si>
  <si>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</si>
  <si>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</si>
  <si>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</si>
  <si>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</si>
  <si>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</si>
  <si>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</si>
  <si>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</si>
  <si>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</si>
  <si>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</si>
  <si>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</si>
  <si>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</si>
  <si>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</si>
  <si>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</si>
  <si>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</si>
  <si>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</si>
  <si>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</si>
  <si>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</si>
  <si>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</si>
  <si>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</si>
  <si>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</si>
  <si>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</si>
  <si>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</si>
  <si>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</si>
  <si>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</si>
  <si>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</si>
  <si>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</si>
  <si>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</si>
  <si>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</si>
  <si>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</si>
  <si>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</si>
  <si>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</si>
  <si>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</si>
  <si>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</si>
  <si>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</si>
  <si>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</si>
  <si>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</si>
  <si>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</si>
  <si>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</si>
  <si>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</si>
  <si>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</si>
  <si>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</si>
  <si>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</si>
  <si>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</si>
  <si>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</si>
  <si>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</si>
  <si>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</si>
  <si>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</si>
  <si>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</si>
  <si>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</si>
  <si>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</si>
  <si>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</si>
  <si>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</si>
  <si>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</si>
  <si>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</si>
  <si>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</si>
  <si>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</si>
  <si>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</si>
  <si>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</si>
  <si>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</si>
  <si>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</si>
  <si>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</si>
  <si>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</si>
  <si>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</si>
  <si>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</si>
  <si>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</si>
  <si>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</si>
  <si>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</si>
  <si>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</si>
  <si>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</si>
  <si>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</si>
  <si>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</si>
  <si>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</si>
  <si>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</si>
  <si>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</si>
  <si>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</si>
  <si>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</si>
  <si>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</si>
  <si>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</si>
  <si>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</si>
  <si>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</si>
  <si>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</si>
  <si>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</si>
  <si>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</si>
  <si>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</si>
  <si>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</si>
  <si>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</si>
  <si>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</si>
  <si>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</si>
  <si>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</si>
  <si>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</si>
  <si>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</si>
  <si>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</si>
  <si>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</si>
  <si>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</si>
  <si>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</si>
  <si>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</si>
  <si>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</si>
  <si>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</si>
  <si>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</si>
  <si>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</si>
  <si>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</si>
  <si>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</si>
  <si>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</si>
  <si>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</si>
  <si>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</si>
  <si>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</si>
  <si>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</si>
  <si>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</si>
  <si>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</si>
  <si>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</si>
  <si>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</si>
  <si>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</si>
  <si>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</si>
  <si>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</si>
  <si>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</si>
  <si>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</si>
  <si>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</si>
  <si>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</si>
  <si>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</si>
  <si>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</si>
  <si>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</si>
  <si>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</si>
  <si>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</si>
  <si>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</si>
  <si>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</si>
  <si>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</si>
  <si>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</si>
  <si>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</si>
  <si>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</si>
  <si>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</si>
  <si>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</si>
  <si>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</si>
  <si>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</si>
  <si>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</si>
  <si>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</si>
  <si>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</si>
  <si>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</si>
  <si>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</si>
  <si>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</si>
  <si>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</si>
  <si>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</si>
  <si>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</si>
  <si>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</si>
  <si>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</si>
  <si>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</si>
  <si>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</si>
  <si>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</si>
  <si>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</si>
  <si>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</si>
  <si>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</si>
  <si>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</si>
  <si>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</si>
  <si>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</si>
  <si>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</si>
  <si>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</si>
  <si>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</si>
  <si>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</si>
  <si>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</si>
  <si>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</si>
  <si>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</si>
  <si>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</si>
  <si>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</si>
  <si>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</si>
  <si>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</si>
  <si>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</si>
  <si>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</si>
  <si>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</si>
  <si>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</si>
  <si>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</si>
  <si>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</si>
  <si>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</si>
  <si>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</si>
  <si>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</si>
  <si>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</si>
  <si>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</si>
  <si>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</si>
  <si>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</si>
  <si>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</si>
  <si>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</si>
  <si>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</si>
  <si>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</si>
  <si>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</si>
  <si>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</si>
  <si>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</si>
  <si>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</si>
  <si>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</si>
  <si>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</si>
  <si>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</si>
  <si>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</si>
  <si>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</si>
  <si>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</si>
  <si>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</si>
  <si>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</si>
  <si>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</si>
  <si>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</si>
  <si>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</si>
  <si>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</si>
  <si>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</si>
  <si>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</si>
  <si>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</si>
  <si>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</si>
  <si>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</si>
  <si>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</si>
  <si>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</si>
  <si>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</si>
  <si>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</si>
  <si>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</si>
  <si>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</si>
  <si>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</si>
  <si>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</si>
  <si>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</si>
  <si>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</si>
  <si>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</si>
  <si>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</si>
  <si>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</si>
  <si>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</si>
  <si>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</si>
  <si>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</si>
  <si>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</si>
  <si>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</si>
  <si>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</si>
  <si>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</si>
  <si>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</si>
  <si>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</si>
  <si>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</si>
  <si>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</si>
  <si>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</si>
  <si>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</si>
  <si>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</si>
  <si>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</si>
  <si>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</si>
  <si>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</si>
  <si>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</si>
  <si>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</si>
  <si>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</si>
  <si>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</si>
  <si>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</si>
  <si>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</si>
  <si>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</si>
  <si>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</si>
  <si>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</si>
  <si>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</si>
  <si>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</si>
  <si>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</si>
  <si>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</si>
  <si>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</si>
  <si>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</si>
  <si>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</si>
  <si>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</si>
  <si>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</si>
  <si>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</si>
  <si>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</si>
  <si>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</si>
  <si>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</si>
  <si>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</si>
  <si>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</si>
  <si>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</si>
  <si>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</si>
  <si>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</si>
  <si>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</si>
  <si>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</si>
  <si>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</si>
  <si>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</si>
  <si>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</si>
  <si>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</si>
  <si>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</si>
  <si>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</si>
  <si>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</si>
  <si>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</si>
  <si>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</si>
  <si>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</si>
  <si>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</si>
  <si>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</si>
  <si>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</si>
  <si>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</si>
  <si>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</si>
  <si>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</si>
  <si>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</si>
  <si>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</si>
  <si>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</si>
  <si>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</si>
  <si>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</si>
  <si>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</si>
  <si>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</si>
  <si>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</si>
  <si>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</si>
  <si>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</si>
  <si>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</si>
  <si>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</si>
  <si>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</si>
  <si>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</si>
  <si>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</si>
  <si>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</si>
  <si>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</si>
  <si>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</si>
  <si>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</si>
  <si>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</si>
  <si>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</si>
  <si>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</si>
  <si>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</si>
  <si>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</si>
  <si>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</si>
  <si>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</si>
  <si>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</si>
  <si>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</si>
  <si>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</si>
  <si>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</si>
  <si>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</si>
  <si>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</si>
  <si>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</si>
  <si>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</si>
  <si>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</si>
  <si>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</si>
  <si>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</si>
  <si>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</si>
  <si>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</si>
  <si>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</si>
  <si>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</si>
  <si>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</si>
  <si>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</si>
  <si>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</si>
  <si>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</si>
  <si>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</si>
  <si>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</si>
  <si>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</si>
  <si>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</si>
  <si>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</si>
  <si>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</si>
  <si>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</si>
  <si>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</si>
  <si>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</si>
  <si>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</si>
  <si>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</si>
  <si>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</si>
  <si>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</si>
  <si>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</si>
  <si>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</si>
  <si>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</si>
  <si>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</si>
  <si>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</si>
  <si>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</si>
  <si>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</si>
  <si>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</si>
  <si>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</si>
  <si>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</si>
  <si>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</si>
  <si>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</si>
  <si>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</si>
  <si>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</si>
  <si>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</si>
  <si>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</si>
  <si>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</si>
  <si>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</si>
  <si>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</si>
  <si>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</si>
  <si>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</si>
  <si>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</si>
  <si>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</si>
  <si>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</si>
  <si>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</si>
  <si>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</si>
  <si>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</si>
  <si>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</si>
  <si>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</si>
  <si>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</si>
  <si>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</si>
  <si>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</si>
  <si>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</si>
  <si>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</si>
  <si>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</si>
  <si>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</si>
  <si>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</si>
  <si>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</si>
  <si>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</si>
  <si>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</si>
  <si>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</si>
  <si>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</si>
  <si>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</si>
  <si>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</si>
  <si>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</si>
  <si>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</si>
  <si>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</si>
  <si>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</si>
  <si>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</si>
  <si>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</si>
  <si>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</si>
  <si>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</si>
  <si>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</si>
  <si>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</si>
  <si>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</si>
  <si>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</si>
  <si>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</si>
  <si>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</si>
  <si>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</si>
  <si>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</si>
  <si>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</si>
  <si>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</si>
  <si>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</si>
  <si>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</si>
  <si>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</si>
  <si>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</si>
  <si>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</si>
  <si>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</si>
  <si>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</si>
  <si>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</si>
  <si>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</si>
  <si>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</si>
  <si>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</si>
  <si>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</si>
  <si>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</si>
  <si>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</si>
  <si>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</si>
  <si>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</si>
  <si>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</si>
  <si>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</si>
  <si>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</si>
  <si>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</si>
  <si>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</si>
  <si>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</si>
  <si>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</si>
  <si>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</si>
  <si>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</si>
  <si>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</si>
  <si>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</si>
  <si>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</si>
  <si>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</si>
  <si>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</si>
  <si>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</si>
  <si>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</si>
  <si>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</si>
  <si>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</si>
  <si>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</si>
  <si>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</si>
  <si>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</si>
  <si>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</si>
  <si>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</si>
  <si>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</si>
  <si>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</si>
  <si>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</si>
  <si>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</si>
  <si>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</si>
  <si>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</si>
  <si>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</si>
  <si>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</si>
  <si>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</si>
  <si>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</si>
  <si>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</si>
  <si>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</si>
  <si>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</si>
  <si>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</si>
  <si>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</si>
  <si>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</si>
  <si>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</si>
  <si>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</si>
  <si>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</si>
  <si>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</si>
  <si>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</si>
  <si>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</si>
  <si>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</si>
  <si>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</si>
  <si>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</si>
  <si>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</si>
  <si>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</si>
  <si>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</si>
  <si>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</si>
  <si>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</si>
  <si>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</si>
  <si>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</si>
  <si>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</si>
  <si>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</si>
  <si>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</si>
  <si>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</si>
  <si>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</si>
  <si>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</si>
  <si>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</si>
  <si>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</si>
  <si>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</si>
  <si>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</si>
  <si>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</si>
  <si>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</si>
  <si>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</si>
  <si>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</si>
  <si>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</si>
  <si>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</si>
  <si>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</si>
  <si>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</si>
  <si>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</si>
  <si>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</si>
  <si>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</si>
  <si>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</si>
  <si>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</si>
  <si>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</si>
  <si>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</si>
  <si>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</si>
  <si>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</si>
  <si>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</si>
  <si>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</si>
  <si>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</si>
  <si>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</si>
  <si>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</si>
  <si>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</si>
  <si>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</si>
  <si>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</si>
  <si>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</si>
  <si>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</si>
  <si>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</si>
  <si>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</si>
  <si>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</si>
  <si>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</si>
  <si>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</si>
  <si>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</si>
  <si>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</si>
  <si>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</si>
  <si>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</si>
  <si>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</si>
  <si>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</si>
  <si>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</si>
  <si>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</si>
  <si>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</si>
  <si>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</si>
  <si>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</si>
  <si>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</si>
  <si>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</si>
  <si>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</si>
  <si>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</si>
  <si>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</si>
  <si>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</si>
  <si>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</si>
  <si>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</si>
  <si>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</si>
  <si>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</si>
  <si>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</si>
  <si>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</si>
  <si>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</si>
  <si>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</si>
  <si>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</si>
  <si>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</si>
  <si>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</si>
  <si>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</si>
  <si>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</si>
  <si>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</si>
  <si>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</si>
  <si>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</si>
  <si>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</si>
  <si>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</si>
  <si>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</si>
  <si>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</si>
  <si>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</si>
  <si>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</si>
  <si>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</si>
  <si>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</si>
  <si>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</si>
  <si>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</si>
  <si>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</si>
  <si>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</si>
  <si>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</si>
  <si>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</si>
  <si>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</si>
  <si>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</si>
  <si>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</si>
  <si>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</si>
  <si>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</si>
  <si>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</si>
  <si>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</si>
  <si>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</si>
  <si>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</si>
  <si>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</si>
  <si>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</si>
  <si>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</si>
  <si>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</si>
  <si>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</si>
  <si>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</si>
  <si>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</si>
  <si>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</si>
  <si>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</si>
  <si>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</si>
  <si>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</si>
  <si>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</si>
  <si>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</si>
  <si>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</si>
  <si>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</si>
  <si>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</si>
  <si>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</si>
  <si>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</si>
  <si>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</si>
  <si>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</si>
  <si>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</si>
  <si>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</si>
  <si>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</si>
  <si>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</si>
  <si>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</si>
  <si>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</si>
  <si>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</si>
  <si>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</si>
  <si>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</si>
  <si>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</si>
  <si>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</si>
  <si>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</si>
  <si>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</si>
  <si>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</si>
  <si>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</si>
  <si>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</si>
  <si>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</si>
  <si>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</si>
  <si>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</si>
  <si>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</si>
  <si>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</si>
  <si>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</si>
  <si>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</si>
  <si>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</si>
  <si>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</si>
  <si>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</si>
  <si>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</si>
  <si>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</si>
  <si>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</si>
  <si>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</si>
  <si>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</si>
  <si>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</si>
  <si>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</si>
  <si>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</si>
  <si>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</si>
  <si>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</si>
  <si>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</si>
  <si>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</si>
  <si>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</si>
  <si>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</si>
  <si>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</si>
  <si>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</si>
  <si>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</si>
  <si>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</si>
  <si>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</si>
  <si>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</si>
  <si>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</si>
  <si>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</si>
  <si>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</si>
  <si>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</si>
  <si>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</si>
  <si>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</si>
  <si>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</si>
  <si>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</si>
  <si>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</si>
  <si>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</si>
  <si>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</si>
  <si>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</si>
  <si>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</si>
  <si>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</si>
  <si>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</si>
  <si>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</si>
  <si>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</si>
  <si>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</si>
  <si>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</si>
  <si>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</si>
  <si>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</si>
  <si>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</si>
  <si>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</si>
  <si>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</si>
  <si>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</si>
  <si>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</si>
  <si>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</si>
  <si>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</si>
  <si>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</si>
  <si>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</si>
  <si>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</si>
  <si>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</si>
  <si>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</si>
  <si>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</si>
  <si>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</si>
  <si>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</si>
  <si>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</si>
  <si>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</si>
  <si>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</si>
  <si>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</si>
  <si>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</si>
  <si>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</si>
  <si>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</si>
  <si>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</si>
  <si>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</si>
  <si>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</si>
  <si>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</si>
  <si>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</si>
  <si>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</si>
  <si>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</si>
  <si>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</si>
  <si>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</si>
  <si>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</si>
  <si>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</si>
  <si>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</si>
  <si>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</si>
  <si>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</si>
  <si>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</si>
  <si>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</si>
  <si>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</si>
  <si>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</si>
  <si>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</si>
  <si>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</si>
  <si>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</si>
  <si>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</si>
  <si>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</si>
  <si>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</si>
  <si>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</si>
  <si>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</si>
  <si>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</si>
  <si>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</si>
  <si>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</si>
  <si>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</si>
  <si>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</si>
  <si>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</si>
  <si>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</si>
  <si>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</si>
  <si>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</si>
  <si>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</si>
  <si>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</si>
  <si>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</si>
  <si>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</si>
  <si>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</si>
  <si>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</si>
  <si>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</si>
  <si>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</si>
  <si>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</si>
  <si>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</si>
  <si>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</si>
  <si>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</si>
  <si>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</si>
  <si>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</si>
  <si>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</si>
  <si>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</si>
  <si>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</si>
  <si>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</si>
  <si>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</si>
  <si>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</si>
  <si>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</si>
  <si>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</si>
  <si>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</si>
  <si>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</si>
  <si>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</si>
  <si>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</si>
  <si>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</si>
  <si>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</si>
  <si>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</si>
  <si>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</si>
  <si>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</si>
  <si>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</si>
  <si>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</si>
  <si>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</si>
  <si>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</si>
  <si>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</si>
  <si>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</si>
  <si>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</si>
  <si>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</si>
  <si>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</si>
  <si>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</si>
  <si>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</si>
  <si>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</si>
  <si>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</si>
  <si>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</si>
  <si>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</si>
  <si>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</si>
  <si>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</si>
  <si>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</si>
  <si>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</si>
  <si>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</si>
  <si>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</si>
  <si>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</si>
  <si>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</si>
  <si>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</si>
  <si>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</si>
  <si>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</si>
  <si>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</si>
  <si>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</si>
  <si>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</si>
  <si>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</si>
  <si>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</si>
  <si>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</si>
  <si>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</si>
  <si>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</si>
  <si>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</si>
  <si>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</si>
  <si>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</si>
  <si>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</si>
  <si>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</si>
  <si>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</si>
  <si>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</si>
  <si>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</si>
  <si>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</si>
  <si>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</si>
  <si>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</si>
  <si>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</si>
  <si>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</si>
  <si>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</si>
  <si>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</si>
  <si>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</si>
  <si>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</si>
  <si>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</si>
  <si>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</si>
  <si>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</si>
  <si>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</si>
  <si>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</si>
  <si>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</si>
  <si>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</si>
  <si>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</si>
  <si>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</si>
  <si>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</si>
  <si>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</si>
  <si>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</si>
  <si>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</si>
  <si>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</si>
  <si>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</si>
  <si>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</si>
  <si>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</si>
  <si>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</si>
  <si>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</si>
  <si>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</si>
  <si>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</si>
  <si>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</si>
  <si>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</si>
  <si>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</si>
  <si>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</si>
  <si>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</si>
  <si>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</si>
  <si>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</si>
  <si>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</si>
  <si>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</si>
  <si>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</si>
  <si>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</si>
  <si>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</si>
  <si>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</si>
  <si>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</si>
  <si>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</si>
  <si>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</si>
  <si>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</si>
  <si>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</si>
  <si>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</si>
  <si>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</si>
  <si>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</si>
  <si>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</si>
  <si>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</si>
  <si>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</si>
  <si>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</si>
  <si>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</si>
  <si>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</si>
  <si>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</si>
  <si>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</si>
  <si>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</si>
  <si>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</si>
  <si>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</si>
  <si>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</si>
  <si>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</si>
  <si>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</si>
  <si>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</si>
  <si>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</si>
  <si>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</si>
  <si>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</si>
  <si>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</si>
  <si>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</si>
  <si>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</si>
  <si>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</si>
  <si>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</si>
  <si>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</si>
  <si>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</si>
  <si>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</si>
  <si>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</si>
  <si>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</si>
  <si>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</si>
  <si>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</si>
  <si>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</si>
  <si>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</si>
  <si>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</si>
  <si>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</si>
  <si>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</si>
  <si>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</si>
  <si>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</si>
  <si>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</si>
  <si>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</si>
  <si>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</si>
  <si>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</si>
  <si>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</si>
  <si>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</si>
  <si>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</si>
  <si>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</si>
  <si>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</si>
  <si>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</si>
  <si>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</si>
  <si>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</si>
  <si>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</si>
  <si>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</si>
  <si>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</si>
  <si>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</si>
  <si>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</si>
  <si>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</si>
  <si>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</si>
  <si>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</si>
  <si>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</si>
  <si>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</si>
  <si>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</si>
  <si>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</si>
  <si>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</si>
  <si>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</si>
  <si>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</si>
  <si>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</si>
  <si>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</si>
  <si>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</si>
  <si>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</si>
  <si>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</si>
  <si>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</si>
  <si>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</si>
  <si>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</si>
  <si>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</si>
  <si>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</si>
  <si>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</si>
  <si>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</si>
  <si>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</si>
  <si>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</si>
  <si>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</si>
  <si>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</si>
  <si>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</si>
  <si>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</si>
  <si>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</si>
  <si>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</si>
  <si>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</si>
  <si>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</si>
  <si>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</si>
  <si>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</si>
  <si>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</si>
  <si>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</si>
  <si>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</si>
  <si>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</si>
  <si>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</si>
  <si>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</si>
  <si>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</si>
  <si>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</si>
  <si>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</si>
  <si>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</si>
  <si>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</si>
  <si>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</si>
  <si>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</si>
  <si>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</si>
  <si>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</si>
  <si>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</si>
  <si>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</si>
  <si>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</si>
  <si>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</si>
  <si>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</si>
  <si>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</si>
  <si>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</si>
  <si>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</si>
  <si>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</si>
  <si>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</si>
  <si>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</si>
  <si>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</si>
  <si>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</si>
  <si>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</si>
  <si>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</si>
  <si>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</si>
  <si>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</si>
  <si>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</si>
  <si>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</si>
  <si>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</si>
  <si>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</si>
  <si>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</si>
  <si>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</si>
  <si>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</si>
  <si>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</si>
  <si>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</si>
  <si>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</si>
  <si>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</si>
  <si>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</si>
  <si>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</si>
  <si>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</si>
  <si>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</si>
  <si>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</si>
  <si>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</si>
  <si>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</si>
  <si>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</si>
  <si>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</si>
  <si>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</si>
  <si>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</si>
  <si>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</si>
  <si>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</si>
  <si>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</si>
  <si>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</si>
  <si>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</si>
  <si>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</si>
  <si>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</si>
  <si>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</si>
  <si>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</si>
  <si>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</si>
  <si>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</si>
  <si>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</si>
  <si>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</si>
  <si>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</si>
  <si>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</si>
  <si>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</si>
  <si>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</si>
  <si>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</si>
  <si>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</si>
  <si>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</si>
  <si>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</si>
  <si>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</si>
  <si>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</si>
  <si>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</si>
  <si>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</si>
  <si>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</si>
  <si>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</si>
  <si>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</si>
  <si>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</si>
  <si>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</si>
  <si>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</si>
  <si>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</si>
  <si>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</si>
  <si>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</si>
  <si>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</si>
  <si>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</si>
  <si>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</si>
  <si>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</si>
  <si>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</si>
  <si>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</si>
  <si>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</si>
  <si>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</si>
  <si>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</si>
  <si>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</si>
  <si>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</si>
  <si>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</si>
  <si>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</si>
  <si>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Prevent DEQ from being listed as delinquent</t>
  </si>
  <si>
    <t>202-0060(3), 200</t>
  </si>
  <si>
    <t>X</t>
  </si>
  <si>
    <t xml:space="preserve"> Timecenter: 43003  Rulemaking: AQ Infrastructure SIP - PM2.5 - Mgr 15</t>
  </si>
  <si>
    <t>CAA 110</t>
  </si>
  <si>
    <t>Contingent on any effects to PSD, permitting or LRAPA</t>
  </si>
  <si>
    <t>Because the rules are necessary to comply with the CAA, DEQ is not considering other options.</t>
  </si>
  <si>
    <t xml:space="preserve"> States need to adopt federal standards within 3 years. This update is due to EPA by Dec. 14, 2015.</t>
  </si>
  <si>
    <t>Oregon State Implementation Plan revision for PM2.5 National Ambient Air Quality Standards</t>
  </si>
  <si>
    <t>We want to keep PM2.5 pollution below harmful levels and maintain a federally approved State Implementation Plan to protect air quality.</t>
  </si>
  <si>
    <t xml:space="preserve">We're trying to incorporate the annual NAAQS for PM2.5 into Oregon's State Implementation Plan by Dec. 14, 2015. </t>
  </si>
  <si>
    <t xml:space="preserve">If we do nothing, DEQ's SIP would become delinquent and DEQ could be sued and lose delegation of the AQ program.   </t>
  </si>
  <si>
    <t>We need to determine if there's an interstate transport component to this rulemaking</t>
  </si>
  <si>
    <t>We can use previous similar rulemakings as a model for this rulemaking.</t>
  </si>
  <si>
    <t>DEQ proposes to incorporate the annual National Ambient Air Quality Standards for PM2.5 into the Oregon State Implementation Plan.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t>
  </si>
  <si>
    <t>Environmental Solutions AQ Planning Section</t>
  </si>
  <si>
    <t>Address an environmental problem indirectly.</t>
  </si>
  <si>
    <t xml:space="preserve">Develop Interstate Transport Submittals for 2012 PM 2.5, along with the 2008 Pb,  2010 NO2, and 2010 SO2 NAAQS </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</si>
</sst>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 fontId="101" fillId="32" borderId="2" xfId="0" applyNumberFormat="1" applyFont="1" applyFill="1" applyBorder="1" applyAlignment="1" applyProtection="1">
      <alignment horizontal="lef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0"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0" borderId="0" xfId="0" applyFont="1" applyFill="1" applyBorder="1" applyAlignment="1">
      <alignment horizontal="left" vertical="center"/>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67" formatCode="m/d/yy;@"/>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67" formatCode="m/d/yy;@"/>
    </dxf>
    <dxf>
      <numFmt numFmtId="1" formatCode="0"/>
      <alignment horizontal="center" vertical="bottom" textRotation="0" wrapText="0" indent="0" relativeIndent="0" justifyLastLine="0" shrinkToFit="0" readingOrder="0"/>
    </dxf>
    <dxf>
      <numFmt numFmtId="166"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0CC00"/>
      <color rgb="FF0E7A56"/>
      <color rgb="FFFB9C33"/>
      <color rgb="FF993300"/>
      <color rgb="FFCC3300"/>
      <color rgb="FFF53D39"/>
      <color rgb="FFF6FCF7"/>
      <color rgb="FFE0F4E5"/>
      <color rgb="FFCEEED6"/>
      <color rgb="FF6FC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checked="Checked"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checked="Checked" fmlaLink="X12" lockText="1" noThreeD="1"/>
</file>

<file path=xl/ctrlProps/ctrlProp137.xml><?xml version="1.0" encoding="utf-8"?>
<formControlPr xmlns="http://schemas.microsoft.com/office/spreadsheetml/2009/9/main" objectType="CheckBox" checked="Checked" fmlaLink="X9" lockText="1" noThreeD="1"/>
</file>

<file path=xl/ctrlProps/ctrlProp138.xml><?xml version="1.0" encoding="utf-8"?>
<formControlPr xmlns="http://schemas.microsoft.com/office/spreadsheetml/2009/9/main" objectType="CheckBox" checked="Checked"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checked="Checked"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1" lockText="1" noThreeD="1"/>
</file>

<file path=xl/ctrlProps/ctrlProp146.xml><?xml version="1.0" encoding="utf-8"?>
<formControlPr xmlns="http://schemas.microsoft.com/office/spreadsheetml/2009/9/main" objectType="CheckBox" checked="Checked" fmlaLink="X23" lockText="1" noThreeD="1"/>
</file>

<file path=xl/ctrlProps/ctrlProp147.xml><?xml version="1.0" encoding="utf-8"?>
<formControlPr xmlns="http://schemas.microsoft.com/office/spreadsheetml/2009/9/main" objectType="CheckBox" fmlaLink="X24" lockText="1" noThreeD="1"/>
</file>

<file path=xl/ctrlProps/ctrlProp148.xml><?xml version="1.0" encoding="utf-8"?>
<formControlPr xmlns="http://schemas.microsoft.com/office/spreadsheetml/2009/9/main" objectType="CheckBox" fmlaLink="X25" lockText="1" noThreeD="1"/>
</file>

<file path=xl/ctrlProps/ctrlProp149.xml><?xml version="1.0" encoding="utf-8"?>
<formControlPr xmlns="http://schemas.microsoft.com/office/spreadsheetml/2009/9/main" objectType="CheckBox" fmlaLink="X26"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7"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3" lockText="1" noThreeD="1"/>
</file>

<file path=xl/ctrlProps/ctrlProp158.xml><?xml version="1.0" encoding="utf-8"?>
<formControlPr xmlns="http://schemas.microsoft.com/office/spreadsheetml/2009/9/main" objectType="CheckBox" fmlaLink="X10" lockText="1" noThreeD="1"/>
</file>

<file path=xl/ctrlProps/ctrlProp159.xml><?xml version="1.0" encoding="utf-8"?>
<formControlPr xmlns="http://schemas.microsoft.com/office/spreadsheetml/2009/9/main" objectType="CheckBox" fmlaLink="X8"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1" lockText="1" noThreeD="1"/>
</file>

<file path=xl/ctrlProps/ctrlProp161.xml><?xml version="1.0" encoding="utf-8"?>
<formControlPr xmlns="http://schemas.microsoft.com/office/spreadsheetml/2009/9/main" objectType="CheckBox" checked="Checked" fmlaLink="X9" lockText="1" noThreeD="1"/>
</file>

<file path=xl/ctrlProps/ctrlProp162.xml><?xml version="1.0" encoding="utf-8"?>
<formControlPr xmlns="http://schemas.microsoft.com/office/spreadsheetml/2009/9/main" objectType="CheckBox" fmlaLink="X12" lockText="1" noThreeD="1"/>
</file>

<file path=xl/ctrlProps/ctrlProp163.xml><?xml version="1.0" encoding="utf-8"?>
<formControlPr xmlns="http://schemas.microsoft.com/office/spreadsheetml/2009/9/main" objectType="CheckBox" fmlaLink="X32" lockText="1" noThreeD="1"/>
</file>

<file path=xl/ctrlProps/ctrlProp164.xml><?xml version="1.0" encoding="utf-8"?>
<formControlPr xmlns="http://schemas.microsoft.com/office/spreadsheetml/2009/9/main" objectType="CheckBox" fmlaLink="X33" lockText="1" noThreeD="1"/>
</file>

<file path=xl/ctrlProps/ctrlProp165.xml><?xml version="1.0" encoding="utf-8"?>
<formControlPr xmlns="http://schemas.microsoft.com/office/spreadsheetml/2009/9/main" objectType="CheckBox" fmlaLink="X34" lockText="1" noThreeD="1"/>
</file>

<file path=xl/ctrlProps/ctrlProp166.xml><?xml version="1.0" encoding="utf-8"?>
<formControlPr xmlns="http://schemas.microsoft.com/office/spreadsheetml/2009/9/main" objectType="Radio" firstButton="1" fmlaLink="X18"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checked="Checked"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checked="Checked"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checked="Checked"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firstButton="1" fmlaLink="$X$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X8"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fmlaLink="X9"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813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365885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78305" y="5324474"/>
          <a:ext cx="6276975" cy="106108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47800" y="5554981"/>
          <a:ext cx="3567134" cy="956177"/>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1994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trlProp" Target="../ctrlProps/ctrlProp177.xml"/><Relationship Id="rId4" Type="http://schemas.openxmlformats.org/officeDocument/2006/relationships/comments" Target="../comments8.xml"/><Relationship Id="rId9" Type="http://schemas.openxmlformats.org/officeDocument/2006/relationships/ctrlProp" Target="../ctrlProps/ctrlProp17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omments" Target="../comments9.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trlProp" Target="../ctrlProps/ctrlProp203.xml"/><Relationship Id="rId4" Type="http://schemas.openxmlformats.org/officeDocument/2006/relationships/vmlDrawing" Target="../drawings/vmlDrawing9.vml"/><Relationship Id="rId30" Type="http://schemas.openxmlformats.org/officeDocument/2006/relationships/ctrlProp" Target="../ctrlProps/ctrlProp178.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trlProp" Target="../ctrlProps/ctrlProp204.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omments" Target="../comments10.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trlProp" Target="../ctrlProps/ctrlProp2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omments" Target="../comments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trlProp" Target="../ctrlProps/ctrlProp223.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omments" Target="../comments12.xml"/><Relationship Id="rId9" Type="http://schemas.openxmlformats.org/officeDocument/2006/relationships/ctrlProp" Target="../ctrlProps/ctrlProp22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30.xml"/><Relationship Id="rId5" Type="http://schemas.openxmlformats.org/officeDocument/2006/relationships/ctrlProp" Target="../ctrlProps/ctrlProp231.xml"/><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232.xml"/><Relationship Id="rId5" Type="http://schemas.openxmlformats.org/officeDocument/2006/relationships/ctrlProp" Target="../ctrlProps/ctrlProp233.xml"/><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omments" Target="../comments4.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0" Type="http://schemas.openxmlformats.org/officeDocument/2006/relationships/ctrlProp" Target="../ctrlProps/ctrlProp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83" Type="http://schemas.openxmlformats.org/officeDocument/2006/relationships/ctrlProp" Target="../ctrlProps/ctrlProp76.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56" Type="http://schemas.openxmlformats.org/officeDocument/2006/relationships/ctrlProp" Target="../ctrlProps/ctrlProp79.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trlProp" Target="../ctrlProps/ctrlProp129.xml"/><Relationship Id="rId4" Type="http://schemas.openxmlformats.org/officeDocument/2006/relationships/comments" Target="../comments6.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1.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4.xml"/><Relationship Id="rId35"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31" workbookViewId="0">
      <selection activeCell="F17" sqref="F17:H17"/>
    </sheetView>
  </sheetViews>
  <sheetFormatPr defaultColWidth="9" defaultRowHeight="15" outlineLevelCol="1"/>
  <cols>
    <col min="1" max="1" width="13.69921875" style="601" customWidth="1"/>
    <col min="2" max="2" width="2.59765625" style="160" customWidth="1"/>
    <col min="3" max="3" width="2.69921875" style="178" customWidth="1"/>
    <col min="4" max="4" width="19.09765625" style="178" customWidth="1"/>
    <col min="5" max="5" width="2.59765625" style="178" customWidth="1"/>
    <col min="6" max="6" width="14.59765625" style="178" customWidth="1"/>
    <col min="7" max="7" width="2.8984375" style="228" customWidth="1"/>
    <col min="8" max="8" width="14.59765625" style="178" customWidth="1"/>
    <col min="9" max="9" width="2.8984375" style="178" customWidth="1"/>
    <col min="10" max="10" width="2.59765625" style="178" customWidth="1"/>
    <col min="11" max="20" width="1.8984375" style="178" customWidth="1"/>
    <col min="21" max="21" width="2.69921875" style="178" customWidth="1"/>
    <col min="22" max="22" width="2.59765625" style="160" customWidth="1"/>
    <col min="23" max="23" width="41" style="160" customWidth="1"/>
    <col min="24" max="24" width="9" style="160"/>
    <col min="25" max="25" width="8.19921875" style="178" hidden="1" customWidth="1" outlineLevel="1"/>
    <col min="26" max="26" width="5.3984375" style="1024" hidden="1" customWidth="1" outlineLevel="1"/>
    <col min="27" max="27" width="9" style="178" hidden="1" customWidth="1" outlineLevel="1"/>
    <col min="28" max="29" width="4.19921875" style="1024" hidden="1" customWidth="1" outlineLevel="1"/>
    <col min="30" max="30" width="23.8984375" style="874" hidden="1" customWidth="1" outlineLevel="1"/>
    <col min="31" max="31" width="13.699218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5" t="s">
        <v>101</v>
      </c>
      <c r="E2" s="1395"/>
      <c r="F2" s="1395"/>
      <c r="G2" s="1381" t="str">
        <f>C.2Name</f>
        <v>Oregon State Implementation Plan revision for PM2.5 National Ambient Air Quality Standards</v>
      </c>
      <c r="H2" s="1381"/>
      <c r="I2" s="1381"/>
      <c r="J2" s="1381"/>
      <c r="K2" s="1381"/>
      <c r="L2" s="1381"/>
      <c r="M2" s="1381"/>
      <c r="N2" s="1381"/>
      <c r="O2" s="1381"/>
      <c r="P2" s="1381"/>
      <c r="Q2" s="1381"/>
      <c r="R2" s="1381"/>
      <c r="S2" s="1381"/>
      <c r="T2" s="1381"/>
      <c r="U2" s="1103"/>
      <c r="V2" s="563"/>
      <c r="W2" s="180" t="s">
        <v>0</v>
      </c>
      <c r="X2" s="159"/>
      <c r="Y2" s="68"/>
      <c r="Z2" s="68"/>
      <c r="AA2" s="147"/>
      <c r="AB2" s="844"/>
      <c r="AC2" s="844"/>
      <c r="AD2" s="844"/>
      <c r="AE2" s="147"/>
    </row>
    <row r="3" spans="1:31" s="66" customFormat="1" ht="12.75" customHeight="1" thickTop="1">
      <c r="A3" s="601"/>
      <c r="B3" s="563"/>
      <c r="C3" s="1382"/>
      <c r="D3" s="1383"/>
      <c r="E3" s="1383"/>
      <c r="F3" s="1383"/>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5" t="s">
        <v>1027</v>
      </c>
      <c r="E4" s="1415"/>
      <c r="F4" s="1415"/>
      <c r="G4" s="1415"/>
      <c r="H4" s="1415"/>
      <c r="I4" s="1415"/>
      <c r="J4" s="1415"/>
      <c r="K4" s="1415"/>
      <c r="L4" s="1415"/>
      <c r="M4" s="1415"/>
      <c r="N4" s="1415"/>
      <c r="O4" s="1415"/>
      <c r="P4" s="1415"/>
      <c r="Q4" s="1415"/>
      <c r="R4" s="1415"/>
      <c r="S4" s="1415"/>
      <c r="T4" s="1415"/>
      <c r="U4" s="206"/>
      <c r="V4" s="563"/>
      <c r="W4" s="161"/>
      <c r="X4" s="161"/>
      <c r="Y4" s="146"/>
      <c r="Z4" s="146"/>
      <c r="AA4" s="146"/>
      <c r="AB4" s="146"/>
      <c r="AC4" s="146"/>
      <c r="AD4" s="146"/>
      <c r="AE4" s="146"/>
    </row>
    <row r="5" spans="1:31" s="66" customFormat="1" ht="15.75" customHeight="1">
      <c r="A5" s="601"/>
      <c r="B5" s="563"/>
      <c r="C5" s="202"/>
      <c r="D5" s="1416" t="s">
        <v>1073</v>
      </c>
      <c r="E5" s="1417"/>
      <c r="F5" s="1417"/>
      <c r="G5" s="1417"/>
      <c r="H5" s="1417"/>
      <c r="I5" s="1417"/>
      <c r="J5" s="1417"/>
      <c r="K5" s="1417"/>
      <c r="L5" s="1417"/>
      <c r="M5" s="1417"/>
      <c r="N5" s="1417"/>
      <c r="O5" s="1417"/>
      <c r="P5" s="1417"/>
      <c r="Q5" s="1417"/>
      <c r="R5" s="1417"/>
      <c r="S5" s="1417"/>
      <c r="T5" s="1418"/>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21" t="s">
        <v>542</v>
      </c>
      <c r="G7" s="1421"/>
      <c r="H7" s="1421"/>
      <c r="I7" s="1421"/>
      <c r="J7" s="1421"/>
      <c r="K7" s="1421"/>
      <c r="L7" s="1421"/>
      <c r="M7" s="1421"/>
      <c r="N7" s="1421"/>
      <c r="O7" s="1421"/>
      <c r="P7" s="1421"/>
      <c r="Q7" s="1421"/>
      <c r="R7" s="1421"/>
      <c r="S7" s="1421"/>
      <c r="T7" s="1421"/>
      <c r="U7" s="206"/>
      <c r="V7" s="851"/>
      <c r="W7" s="1017"/>
      <c r="X7" s="846"/>
      <c r="Y7" s="38"/>
      <c r="Z7" s="38"/>
      <c r="AA7" s="38"/>
      <c r="AB7" s="38"/>
      <c r="AC7" s="38"/>
      <c r="AD7" s="38"/>
      <c r="AE7" s="226"/>
    </row>
    <row r="8" spans="1:31" s="843" customFormat="1" ht="33.75" customHeight="1">
      <c r="A8" s="852"/>
      <c r="B8" s="851"/>
      <c r="C8" s="202"/>
      <c r="D8" s="657"/>
      <c r="E8" s="1115"/>
      <c r="F8" s="1421"/>
      <c r="G8" s="1421"/>
      <c r="H8" s="1421"/>
      <c r="I8" s="1421"/>
      <c r="J8" s="1421"/>
      <c r="K8" s="1421"/>
      <c r="L8" s="1421"/>
      <c r="M8" s="1421"/>
      <c r="N8" s="1421"/>
      <c r="O8" s="1421"/>
      <c r="P8" s="1421"/>
      <c r="Q8" s="1421"/>
      <c r="R8" s="1421"/>
      <c r="S8" s="1421"/>
      <c r="T8" s="1421"/>
      <c r="U8" s="206"/>
      <c r="V8" s="851"/>
      <c r="W8" s="1017"/>
      <c r="X8" s="846"/>
      <c r="Y8" s="38"/>
      <c r="Z8" s="38"/>
      <c r="AA8" s="38"/>
      <c r="AB8" s="38"/>
      <c r="AC8" s="38"/>
      <c r="AD8" s="38"/>
      <c r="AE8" s="226"/>
    </row>
    <row r="9" spans="1:31" s="66" customFormat="1" ht="24" customHeight="1">
      <c r="A9" s="601"/>
      <c r="B9" s="563"/>
      <c r="C9" s="202"/>
      <c r="D9" s="120"/>
      <c r="E9" s="114"/>
      <c r="F9" s="1423" t="s">
        <v>249</v>
      </c>
      <c r="G9" s="1423"/>
      <c r="H9" s="1423" t="s">
        <v>250</v>
      </c>
      <c r="I9" s="1423"/>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1" t="s">
        <v>54</v>
      </c>
      <c r="E11" s="1411"/>
      <c r="F11" s="242">
        <v>2014</v>
      </c>
      <c r="G11" s="243">
        <v>3</v>
      </c>
      <c r="H11" s="236"/>
      <c r="I11" s="236"/>
      <c r="K11" s="373"/>
      <c r="L11" s="373"/>
      <c r="M11" s="373"/>
      <c r="N11" s="373"/>
      <c r="O11" s="373"/>
      <c r="P11" s="373"/>
      <c r="Q11" s="373"/>
      <c r="R11" s="373"/>
      <c r="S11" s="373"/>
      <c r="T11" s="373"/>
      <c r="U11" s="206"/>
      <c r="V11" s="563"/>
      <c r="W11" s="1091" t="s">
        <v>790</v>
      </c>
      <c r="X11" s="161"/>
      <c r="Y11" s="1015" t="str">
        <f>C.6SStartYr &amp;"-Q"&amp;C.6SStartQtr</f>
        <v>2014-Q3</v>
      </c>
      <c r="Z11" s="1030">
        <f>IF(AND(ISODD(C.6SStartYr),C.6SStartQtr&lt;3),7,IF(AND(ISEVEN(C.6SStartYr),C.6SStartQtr=1),7,0))</f>
        <v>0</v>
      </c>
      <c r="AA11" s="235" t="s">
        <v>0</v>
      </c>
      <c r="AB11" s="235"/>
      <c r="AC11" s="235"/>
      <c r="AD11" s="235"/>
      <c r="AE11" s="127"/>
    </row>
    <row r="12" spans="1:31" s="66" customFormat="1" ht="15.75" customHeight="1">
      <c r="A12" s="601"/>
      <c r="B12" s="563"/>
      <c r="C12" s="202"/>
      <c r="D12" s="1411" t="s">
        <v>211</v>
      </c>
      <c r="E12" s="1411"/>
      <c r="F12" s="242">
        <v>2014</v>
      </c>
      <c r="G12" s="243">
        <v>3</v>
      </c>
      <c r="H12" s="1032">
        <v>2014</v>
      </c>
      <c r="I12" s="243">
        <v>1</v>
      </c>
      <c r="J12" s="1406" t="str">
        <f>IF(AD12="not involved",AD12,"")</f>
        <v>not involved</v>
      </c>
      <c r="K12" s="1407"/>
      <c r="L12" s="1407"/>
      <c r="M12" s="1407"/>
      <c r="N12" s="1407"/>
      <c r="O12" s="1407"/>
      <c r="P12" s="1407"/>
      <c r="Q12" s="1407"/>
      <c r="R12" s="1407"/>
      <c r="S12" s="1407"/>
      <c r="T12" s="1407"/>
      <c r="U12" s="875"/>
      <c r="V12" s="563"/>
      <c r="W12" s="1091" t="s">
        <v>790</v>
      </c>
      <c r="X12" s="161"/>
      <c r="Y12" s="1027" t="str">
        <f>C.6SACStartYr&amp;"-Q"&amp;C.6SACStartQtr</f>
        <v>2014-Q3</v>
      </c>
      <c r="Z12" s="1030">
        <f>IF(AND(ISODD(C.6SACStartYr),C.6SACStartQtr&lt;3),7,IF(AND(ISEVEN(C.6SACStartYr),C.6SACStartQtr=1),7,0))</f>
        <v>0</v>
      </c>
      <c r="AA12" s="1028" t="str">
        <f>C.6SACEndYr&amp;"-Q"&amp;C.7SACEndQtr</f>
        <v>2014-Q1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End date is out of sequence.</v>
      </c>
    </row>
    <row r="13" spans="1:31" s="66" customFormat="1" ht="15.75" customHeight="1">
      <c r="A13" s="601"/>
      <c r="B13" s="563"/>
      <c r="C13" s="202"/>
      <c r="D13" s="1411" t="s">
        <v>513</v>
      </c>
      <c r="E13" s="1411"/>
      <c r="F13" s="242">
        <v>2014</v>
      </c>
      <c r="G13" s="243">
        <v>4</v>
      </c>
      <c r="H13" s="1032">
        <v>2015</v>
      </c>
      <c r="I13" s="243">
        <v>1</v>
      </c>
      <c r="J13" s="1406" t="str">
        <f>IF(AD13="not involved",AD13,"")</f>
        <v/>
      </c>
      <c r="K13" s="1407"/>
      <c r="L13" s="1407"/>
      <c r="M13" s="1407"/>
      <c r="N13" s="1407"/>
      <c r="O13" s="1407"/>
      <c r="P13" s="1407"/>
      <c r="Q13" s="1407"/>
      <c r="R13" s="1407"/>
      <c r="S13" s="1407"/>
      <c r="T13" s="1407"/>
      <c r="U13" s="875"/>
      <c r="V13" s="563"/>
      <c r="W13" s="1091" t="s">
        <v>790</v>
      </c>
      <c r="X13" s="161"/>
      <c r="Y13" s="1027" t="str">
        <f>C.6SNoticeStartYr&amp;"-Q"&amp;C.6SNoticeStartQtr</f>
        <v>2014-Q4</v>
      </c>
      <c r="Z13" s="1030">
        <f>IF(AND(ISODD(C.6SNoticeStartYr),C.6SNoticeStartQtr&lt;3),7,IF(AND(ISEVEN(C.6SNoticeStartYr),C.6SNoticeStartQtr=1),7,0))</f>
        <v>0</v>
      </c>
      <c r="AA13" s="1029" t="str">
        <f>C.6SNoticeEndYr&amp;"-Q"&amp;C.6SNoticeEndQtr</f>
        <v>2015-Q1</v>
      </c>
      <c r="AB13" s="1030">
        <f>IF(AND(ISODD(C.6SNoticeEndYr),C.6SNoticeEndQtr&lt;3),7,IF(AND(ISEVEN(C.6SNoticeEndYr),C.6SNoticeEndQtr=1),7,0))</f>
        <v>7</v>
      </c>
      <c r="AC13" s="1030">
        <f>IF(C.6SNoticeEndYr-C.6SNoticeStartYr&gt;0,7,0)</f>
        <v>7</v>
      </c>
      <c r="AD13" s="234" t="str">
        <f>IF('3Stakeholders'!Z50=1,"not involved", C.6SNoticeStart.YrQtr&amp;" to "&amp;C.6SNoticeEnd.YrQtr)</f>
        <v>2014-Q4 to 2015-Q1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1" t="s">
        <v>514</v>
      </c>
      <c r="E14" s="1411"/>
      <c r="F14" s="242">
        <v>2015</v>
      </c>
      <c r="G14" s="243">
        <v>3</v>
      </c>
      <c r="H14" s="237"/>
      <c r="I14" s="237"/>
      <c r="J14" s="1409" t="str">
        <f t="shared" ref="J14:J15" si="0">AE14</f>
        <v/>
      </c>
      <c r="K14" s="1409"/>
      <c r="L14" s="1409"/>
      <c r="M14" s="1409"/>
      <c r="N14" s="1409"/>
      <c r="O14" s="1409"/>
      <c r="P14" s="1409"/>
      <c r="Q14" s="1409"/>
      <c r="R14" s="1409"/>
      <c r="S14" s="1409"/>
      <c r="T14" s="1409"/>
      <c r="U14" s="1410"/>
      <c r="V14" s="563"/>
      <c r="W14" s="1091" t="s">
        <v>790</v>
      </c>
      <c r="X14" s="161"/>
      <c r="Y14" s="1027" t="str">
        <f>C.6SEQCYr&amp;"-Q"&amp;C.6SEQCQtr</f>
        <v>2015-Q3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1" t="s">
        <v>55</v>
      </c>
      <c r="E15" s="1411"/>
      <c r="F15" s="242">
        <v>2015</v>
      </c>
      <c r="G15" s="243">
        <v>4</v>
      </c>
      <c r="H15" s="237"/>
      <c r="I15" s="237"/>
      <c r="J15" s="1409" t="str">
        <f t="shared" si="0"/>
        <v/>
      </c>
      <c r="K15" s="1409"/>
      <c r="L15" s="1409"/>
      <c r="M15" s="1409"/>
      <c r="N15" s="1409"/>
      <c r="O15" s="1409"/>
      <c r="P15" s="1409"/>
      <c r="Q15" s="1409"/>
      <c r="R15" s="1409"/>
      <c r="S15" s="1409"/>
      <c r="T15" s="1409"/>
      <c r="U15" s="1410"/>
      <c r="V15" s="563"/>
      <c r="W15" s="1091" t="s">
        <v>790</v>
      </c>
      <c r="X15" s="161"/>
      <c r="Y15" s="123" t="str">
        <f>C.6SEffectiveYr&amp;"-Q"&amp;C.6SEffectiveQtr</f>
        <v>2015-Q4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9" t="s">
        <v>242</v>
      </c>
      <c r="E16" s="1419"/>
      <c r="F16" s="1419"/>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22" t="s">
        <v>219</v>
      </c>
      <c r="G17" s="1422"/>
      <c r="H17" s="1422"/>
      <c r="I17" s="246"/>
      <c r="J17" s="215"/>
      <c r="K17" s="1420" t="s">
        <v>244</v>
      </c>
      <c r="L17" s="1420"/>
      <c r="M17" s="1420"/>
      <c r="N17" s="1420"/>
      <c r="O17" s="1420"/>
      <c r="P17" s="1420"/>
      <c r="Q17" s="1420"/>
      <c r="R17" s="1420"/>
      <c r="S17" s="1420"/>
      <c r="T17" s="1420"/>
      <c r="U17" s="209"/>
      <c r="V17" s="563"/>
      <c r="W17" s="162" t="s">
        <v>0</v>
      </c>
      <c r="X17" s="174"/>
      <c r="Y17" s="115" t="s">
        <v>0</v>
      </c>
      <c r="Z17" s="115"/>
      <c r="AA17" s="115"/>
      <c r="AB17" s="115"/>
      <c r="AC17" s="115"/>
      <c r="AD17" s="115"/>
      <c r="AE17" s="115" t="s">
        <v>0</v>
      </c>
    </row>
    <row r="18" spans="1:31" s="2" customFormat="1" ht="29.25" customHeight="1">
      <c r="A18" s="601"/>
      <c r="B18" s="563"/>
      <c r="C18" s="211"/>
      <c r="D18" s="1376" t="s">
        <v>217</v>
      </c>
      <c r="E18" s="1377"/>
      <c r="F18" s="1377"/>
      <c r="G18" s="1414"/>
      <c r="H18" s="1414"/>
      <c r="I18" s="1414"/>
      <c r="J18" s="1414"/>
      <c r="K18" s="1363"/>
      <c r="L18" s="1363"/>
      <c r="M18" s="1363"/>
      <c r="N18" s="1363"/>
      <c r="O18" s="1363"/>
      <c r="P18" s="1363"/>
      <c r="Q18" s="1363"/>
      <c r="R18" s="1363"/>
      <c r="S18" s="1363"/>
      <c r="T18" s="1363"/>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42" t="s">
        <v>416</v>
      </c>
      <c r="E20" s="1342"/>
      <c r="F20" s="230"/>
      <c r="G20" s="230"/>
      <c r="H20" s="1412" t="s">
        <v>0</v>
      </c>
      <c r="I20" s="1413"/>
      <c r="J20" s="1413"/>
      <c r="K20" s="1336" t="s">
        <v>37</v>
      </c>
      <c r="L20" s="1337"/>
      <c r="M20" s="1337"/>
      <c r="N20" s="1337"/>
      <c r="O20" s="1337"/>
      <c r="P20" s="1337"/>
      <c r="Q20" s="1337"/>
      <c r="R20" s="1337"/>
      <c r="S20" s="1337"/>
      <c r="T20" s="1338"/>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8" t="s">
        <v>247</v>
      </c>
      <c r="I21" s="1408"/>
      <c r="J21" s="1408"/>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47" t="s">
        <v>0</v>
      </c>
      <c r="E25" s="1248"/>
      <c r="F25" s="1248"/>
      <c r="G25" s="1248"/>
      <c r="H25" s="1248"/>
      <c r="I25" s="1248"/>
      <c r="J25" s="1248"/>
      <c r="K25" s="1248"/>
      <c r="L25" s="1248"/>
      <c r="M25" s="1248"/>
      <c r="N25" s="1248"/>
      <c r="O25" s="1248"/>
      <c r="P25" s="1248"/>
      <c r="Q25" s="1248"/>
      <c r="R25" s="1248"/>
      <c r="S25" s="1248"/>
      <c r="T25" s="1249"/>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33"/>
      <c r="E27" s="1334"/>
      <c r="F27" s="1334"/>
      <c r="G27" s="1334"/>
      <c r="H27" s="1334"/>
      <c r="I27" s="1334"/>
      <c r="J27" s="1334"/>
      <c r="K27" s="1334"/>
      <c r="L27" s="1334"/>
      <c r="M27" s="1334"/>
      <c r="N27" s="1334"/>
      <c r="O27" s="1334"/>
      <c r="P27" s="1334"/>
      <c r="Q27" s="1334"/>
      <c r="R27" s="1334"/>
      <c r="S27" s="1334"/>
      <c r="T27" s="1335"/>
      <c r="U27" s="201"/>
      <c r="V27" s="563"/>
      <c r="X27" s="161"/>
      <c r="Y27" s="122"/>
      <c r="Z27" s="122"/>
      <c r="AA27" s="147"/>
      <c r="AB27" s="844"/>
      <c r="AC27" s="844"/>
      <c r="AD27" s="844"/>
      <c r="AE27" s="147"/>
    </row>
    <row r="28" spans="1:31" ht="15.6">
      <c r="B28" s="563"/>
      <c r="C28" s="213"/>
      <c r="D28" s="214"/>
      <c r="E28" s="214"/>
      <c r="F28" s="214"/>
      <c r="G28" s="214"/>
      <c r="H28" s="1221">
        <f ca="1">TODAY()</f>
        <v>41947</v>
      </c>
      <c r="I28" s="1221"/>
      <c r="J28" s="1221"/>
      <c r="K28" s="1221"/>
      <c r="L28" s="1221"/>
      <c r="M28" s="1221"/>
      <c r="N28" s="1221"/>
      <c r="O28" s="1221"/>
      <c r="P28" s="1221"/>
      <c r="Q28" s="1221"/>
      <c r="R28" s="1221"/>
      <c r="S28" s="1221"/>
      <c r="T28" s="1221"/>
      <c r="U28" s="1222"/>
      <c r="V28" s="563"/>
    </row>
    <row r="29" spans="1:31" ht="15.6">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10" workbookViewId="0">
      <selection activeCell="G4" sqref="G4"/>
    </sheetView>
  </sheetViews>
  <sheetFormatPr defaultColWidth="9" defaultRowHeight="15" outlineLevelCol="1"/>
  <cols>
    <col min="1" max="1" width="13.69921875" style="602" customWidth="1"/>
    <col min="2" max="2" width="2.59765625" style="160" customWidth="1"/>
    <col min="3" max="3" width="2.69921875" style="178" customWidth="1"/>
    <col min="4" max="4" width="19.3984375" style="178" customWidth="1"/>
    <col min="5" max="5" width="2.59765625" style="178" customWidth="1"/>
    <col min="6" max="6" width="13" style="178" customWidth="1"/>
    <col min="7" max="7" width="15.3984375" style="178" customWidth="1"/>
    <col min="8" max="8" width="12" style="178" customWidth="1"/>
    <col min="9" max="9" width="2.59765625" style="178" customWidth="1"/>
    <col min="10" max="19" width="1.8984375" style="178" customWidth="1"/>
    <col min="20" max="20" width="2.69921875" style="178" customWidth="1"/>
    <col min="21" max="21" width="2.59765625" style="160" customWidth="1"/>
    <col min="22" max="22" width="31.5" style="571" customWidth="1"/>
    <col min="23" max="23" width="9" style="160"/>
    <col min="24" max="25" width="9" style="178" hidden="1" customWidth="1" outlineLevel="1"/>
    <col min="26" max="26" width="16.59765625" style="178" hidden="1" customWidth="1" outlineLevel="1"/>
    <col min="27" max="27" width="8.8984375" style="379" hidden="1" customWidth="1" outlineLevel="1"/>
    <col min="28" max="28" width="25.69921875" style="178" hidden="1" customWidth="1" outlineLevel="1"/>
    <col min="29" max="29" width="19.8984375" customWidth="1" collapsed="1"/>
    <col min="30" max="57" width="8.69921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54" t="s">
        <v>306</v>
      </c>
      <c r="Y1" s="1454"/>
      <c r="Z1" s="1454"/>
      <c r="AA1" s="626"/>
      <c r="AB1" s="147"/>
    </row>
    <row r="2" spans="1:59" s="74" customFormat="1" ht="30" customHeight="1" thickBot="1">
      <c r="A2" s="602"/>
      <c r="B2" s="563"/>
      <c r="C2" s="1101">
        <v>7</v>
      </c>
      <c r="D2" s="1395" t="s">
        <v>298</v>
      </c>
      <c r="E2" s="1395"/>
      <c r="F2" s="1395"/>
      <c r="G2" s="1381" t="str">
        <f>C.2Name</f>
        <v>Oregon State Implementation Plan revision for PM2.5 National Ambient Air Quality Standards</v>
      </c>
      <c r="H2" s="1381"/>
      <c r="I2" s="1381"/>
      <c r="J2" s="1381"/>
      <c r="K2" s="1381"/>
      <c r="L2" s="1381"/>
      <c r="M2" s="1381"/>
      <c r="N2" s="1381"/>
      <c r="O2" s="1381"/>
      <c r="P2" s="1381"/>
      <c r="Q2" s="1381"/>
      <c r="R2" s="1381"/>
      <c r="S2" s="1381"/>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6" t="s">
        <v>1069</v>
      </c>
      <c r="F5" s="1458"/>
      <c r="G5" s="1459"/>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6" t="s">
        <v>1071</v>
      </c>
      <c r="F6" s="1458"/>
      <c r="G6" s="1459"/>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20" t="s">
        <v>296</v>
      </c>
      <c r="E7" s="1320"/>
      <c r="F7" s="1320"/>
      <c r="G7" s="1320"/>
      <c r="H7" s="714"/>
      <c r="I7" s="715"/>
      <c r="J7" s="1386" t="s">
        <v>282</v>
      </c>
      <c r="K7" s="1387"/>
      <c r="L7" s="1387"/>
      <c r="M7" s="1387"/>
      <c r="N7" s="1387"/>
      <c r="O7" s="1387"/>
      <c r="P7" s="1387"/>
      <c r="Q7" s="1387"/>
      <c r="R7" s="1387"/>
      <c r="S7" s="1388"/>
      <c r="T7" s="201"/>
      <c r="U7" s="563"/>
      <c r="V7" s="573" t="s">
        <v>767</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20"/>
      <c r="E8" s="1320"/>
      <c r="F8" s="1320"/>
      <c r="G8" s="1320"/>
      <c r="H8" s="1460" t="s">
        <v>280</v>
      </c>
      <c r="I8" s="1461"/>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3" t="s">
        <v>141</v>
      </c>
      <c r="E10" s="1353"/>
      <c r="F10" s="1353"/>
      <c r="G10" s="1353"/>
      <c r="H10" s="1442"/>
      <c r="I10" s="1443"/>
      <c r="J10" s="1443"/>
      <c r="K10" s="1443"/>
      <c r="L10" s="1443"/>
      <c r="M10" s="1443"/>
      <c r="N10" s="1443"/>
      <c r="O10" s="1443"/>
      <c r="P10" s="1443"/>
      <c r="Q10" s="1443"/>
      <c r="R10" s="1443"/>
      <c r="S10" s="1444"/>
      <c r="T10" s="206"/>
      <c r="U10" s="563"/>
      <c r="V10" s="575"/>
      <c r="W10" s="285"/>
      <c r="X10" s="284" t="b">
        <v>0</v>
      </c>
      <c r="Y10" s="1425" t="str">
        <f>IF($X10=FALSE,"",IF(COUNTIF($X$11:$X16,TRUE)=0,LOWER($D10),IF(COUNTIF($X$11:$X16,TRUE)=1,LOWER($D10)&amp;" and ",LOWER($D10)&amp;", ")))</f>
        <v/>
      </c>
      <c r="Z10" s="1425"/>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3" t="s">
        <v>297</v>
      </c>
      <c r="E11" s="1353"/>
      <c r="F11" s="1353"/>
      <c r="G11" s="1353"/>
      <c r="H11" s="1463"/>
      <c r="I11" s="1464"/>
      <c r="J11" s="1464"/>
      <c r="K11" s="1464"/>
      <c r="L11" s="1464"/>
      <c r="M11" s="1464"/>
      <c r="N11" s="1464"/>
      <c r="O11" s="1464"/>
      <c r="P11" s="1464"/>
      <c r="Q11" s="1464"/>
      <c r="R11" s="1464"/>
      <c r="S11" s="1465"/>
      <c r="T11" s="206"/>
      <c r="U11" s="563"/>
      <c r="V11" s="575"/>
      <c r="W11" s="285"/>
      <c r="X11" s="284" t="b">
        <v>0</v>
      </c>
      <c r="Y11" s="1425" t="str">
        <f>IF($X11=FALSE,"",IF(COUNTIF($X$12:$X16,TRUE)=0,LOWER($D11),IF(COUNTIF($X$12:$X16,TRUE)=1,LOWER($D11)&amp;" and ",LOWER($D11)&amp;", ")))</f>
        <v/>
      </c>
      <c r="Z11" s="1425"/>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6" t="s">
        <v>142</v>
      </c>
      <c r="E12" s="1356"/>
      <c r="F12" s="1356"/>
      <c r="G12" s="1356"/>
      <c r="H12" s="1468"/>
      <c r="I12" s="1468"/>
      <c r="J12" s="1468"/>
      <c r="K12" s="1468"/>
      <c r="L12" s="1468"/>
      <c r="M12" s="1468"/>
      <c r="N12" s="1468"/>
      <c r="O12" s="1468"/>
      <c r="P12" s="1468"/>
      <c r="Q12" s="1468"/>
      <c r="R12" s="1468"/>
      <c r="S12" s="1468"/>
      <c r="T12" s="206"/>
      <c r="U12" s="563"/>
      <c r="V12" s="575"/>
      <c r="W12" s="285"/>
      <c r="X12" s="284" t="b">
        <v>1</v>
      </c>
      <c r="Y12" s="1425" t="str">
        <f>IF($X12=FALSE,"",IF(COUNTIF($X$13:$X16,TRUE)=0,LOWER($D12),IF(COUNTIF($X$13:$X16,TRUE)=1,LOWER($D12)&amp;" and ",LOWER($D12)&amp;", ")))</f>
        <v>loss of federal funding</v>
      </c>
      <c r="Z12" s="1425"/>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6" t="s">
        <v>301</v>
      </c>
      <c r="E13" s="1356"/>
      <c r="F13" s="1356"/>
      <c r="G13" s="1356"/>
      <c r="H13" s="1442"/>
      <c r="I13" s="1443"/>
      <c r="J13" s="1443"/>
      <c r="K13" s="1443"/>
      <c r="L13" s="1443"/>
      <c r="M13" s="1443"/>
      <c r="N13" s="1443"/>
      <c r="O13" s="1443"/>
      <c r="P13" s="1443"/>
      <c r="Q13" s="1443"/>
      <c r="R13" s="1443"/>
      <c r="S13" s="1444"/>
      <c r="T13" s="206"/>
      <c r="U13" s="563"/>
      <c r="V13" s="575"/>
      <c r="W13" s="285"/>
      <c r="X13" s="284" t="b">
        <v>0</v>
      </c>
      <c r="Y13" s="1425" t="str">
        <f>IF($X13=FALSE,"",IF(COUNTIF($X$14:$X16,TRUE)=0,LOWER($D13),IF(COUNTIF($X$14:$X16,TRUE)=1,LOWER($D13)&amp;" and ",LOWER($D13)&amp;", ")))</f>
        <v/>
      </c>
      <c r="Z13" s="1425"/>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6" t="s">
        <v>431</v>
      </c>
      <c r="E14" s="1356"/>
      <c r="F14" s="1356"/>
      <c r="G14" s="1356"/>
      <c r="H14" s="1442"/>
      <c r="I14" s="1443"/>
      <c r="J14" s="1443"/>
      <c r="K14" s="1443"/>
      <c r="L14" s="1443"/>
      <c r="M14" s="1443"/>
      <c r="N14" s="1443"/>
      <c r="O14" s="1443"/>
      <c r="P14" s="1443"/>
      <c r="Q14" s="1443"/>
      <c r="R14" s="1443"/>
      <c r="S14" s="1444"/>
      <c r="T14" s="206"/>
      <c r="U14" s="563"/>
      <c r="V14" s="575"/>
      <c r="W14" s="285"/>
      <c r="X14" s="284" t="b">
        <v>0</v>
      </c>
      <c r="Y14" s="1425" t="str">
        <f>IF($X14=FALSE,"",IF(COUNTIF($X$15:$X16,TRUE)=0,LOWER($D14),IF(COUNTIF($X$15:$X16,TRUE)=1,LOWER($D14)&amp;" and ",LOWER($D14)&amp;", ")))</f>
        <v/>
      </c>
      <c r="Z14" s="1425"/>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6" t="s">
        <v>299</v>
      </c>
      <c r="E15" s="1466"/>
      <c r="F15" s="1466"/>
      <c r="G15" s="1467"/>
      <c r="H15" s="1442" t="s">
        <v>0</v>
      </c>
      <c r="I15" s="1443"/>
      <c r="J15" s="1443"/>
      <c r="K15" s="1443"/>
      <c r="L15" s="1443"/>
      <c r="M15" s="1443"/>
      <c r="N15" s="1443"/>
      <c r="O15" s="1443"/>
      <c r="P15" s="1443"/>
      <c r="Q15" s="1443"/>
      <c r="R15" s="1443"/>
      <c r="S15" s="1444"/>
      <c r="T15" s="206"/>
      <c r="U15" s="563"/>
      <c r="V15" s="575"/>
      <c r="W15" s="285"/>
      <c r="X15" s="284" t="b">
        <v>0</v>
      </c>
      <c r="Y15" s="1425" t="str">
        <f>IF($X15=FALSE,"",IF($X$16=FALSE,LOWER($D15),LOWER($D15)&amp;" and "))</f>
        <v/>
      </c>
      <c r="Z15" s="1425"/>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8" t="s">
        <v>299</v>
      </c>
      <c r="E16" s="1368"/>
      <c r="F16" s="1368"/>
      <c r="G16" s="1368"/>
      <c r="H16" s="1442"/>
      <c r="I16" s="1443"/>
      <c r="J16" s="1443"/>
      <c r="K16" s="1443"/>
      <c r="L16" s="1443"/>
      <c r="M16" s="1443"/>
      <c r="N16" s="1443"/>
      <c r="O16" s="1443"/>
      <c r="P16" s="1443"/>
      <c r="Q16" s="1443"/>
      <c r="R16" s="1443"/>
      <c r="S16" s="1444"/>
      <c r="T16" s="206"/>
      <c r="U16" s="563"/>
      <c r="V16" s="575"/>
      <c r="W16" s="285"/>
      <c r="X16" s="284" t="b">
        <v>0</v>
      </c>
      <c r="Y16" s="1425" t="str">
        <f>IF($X16=FALSE,"",LOWER($D16))</f>
        <v/>
      </c>
      <c r="Z16" s="1425"/>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5" t="str">
        <f>IF(COUNTIF(X10:X16,TRUE),Y10&amp;Y11&amp;Y12&amp;Y13&amp;Y14&amp;Y15&amp;Y16&amp;".","")</f>
        <v>loss of federal funding.</v>
      </c>
      <c r="Y17" s="1456"/>
      <c r="Z17" s="1457"/>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62" t="s">
        <v>305</v>
      </c>
      <c r="E18" s="1462"/>
      <c r="F18" s="1462"/>
      <c r="G18" s="348"/>
      <c r="H18" s="1441" t="s">
        <v>302</v>
      </c>
      <c r="I18" s="1441"/>
      <c r="J18" s="1441"/>
      <c r="K18" s="1441"/>
      <c r="L18" s="1441"/>
      <c r="M18" s="1441"/>
      <c r="N18" s="1441"/>
      <c r="O18" s="1441"/>
      <c r="P18" s="1441"/>
      <c r="Q18" s="1441"/>
      <c r="R18" s="1441"/>
      <c r="S18" s="1441"/>
      <c r="T18" s="349"/>
      <c r="U18" s="563"/>
      <c r="V18" s="584"/>
      <c r="W18" s="286"/>
      <c r="X18" s="1424" t="str">
        <f>IF(COUNTIF(X19:X21,FALSE)=3,"Does not apply","Required")</f>
        <v>Does not apply</v>
      </c>
      <c r="Y18" s="1424"/>
      <c r="Z18" s="1424"/>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40" t="str">
        <f>X18</f>
        <v>Does not apply</v>
      </c>
      <c r="I19" s="1440"/>
      <c r="J19" s="1440"/>
      <c r="K19" s="1440"/>
      <c r="L19" s="1440"/>
      <c r="M19" s="1440"/>
      <c r="N19" s="1440"/>
      <c r="O19" s="1440"/>
      <c r="P19" s="1440"/>
      <c r="Q19" s="1440"/>
      <c r="R19" s="1440"/>
      <c r="S19" s="1440"/>
      <c r="T19" s="349"/>
      <c r="U19" s="563"/>
      <c r="W19" s="286"/>
      <c r="X19" s="284" t="b">
        <v>0</v>
      </c>
      <c r="Y19" s="1425" t="str">
        <f>IF($X19=FALSE,"",IF(COUNTIF($X$20:$X21,TRUE)=0,LOWER($D19),IF(COUNTIF($X$20:$X21,TRUE)=1,LOWER($D19)&amp;" and ",LOWER($D19)&amp;", ")))</f>
        <v/>
      </c>
      <c r="Z19" s="1425"/>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7" t="s">
        <v>303</v>
      </c>
      <c r="I20" s="1427"/>
      <c r="J20" s="1427"/>
      <c r="K20" s="1427"/>
      <c r="L20" s="1427"/>
      <c r="M20" s="1427"/>
      <c r="N20" s="1427"/>
      <c r="O20" s="1427"/>
      <c r="P20" s="1427"/>
      <c r="Q20" s="1427"/>
      <c r="R20" s="1427"/>
      <c r="S20" s="1427"/>
      <c r="T20" s="349"/>
      <c r="U20" s="563"/>
      <c r="V20" s="584"/>
      <c r="W20" s="286"/>
      <c r="X20" s="284" t="b">
        <v>0</v>
      </c>
      <c r="Y20" s="1425" t="str">
        <f>IF($X20=FALSE,"",IF($X$21=FALSE,LOWER($D20),LOWER($D20)&amp;" and "))</f>
        <v/>
      </c>
      <c r="Z20" s="1426"/>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7" t="s">
        <v>304</v>
      </c>
      <c r="I21" s="1427"/>
      <c r="J21" s="1427"/>
      <c r="K21" s="1427"/>
      <c r="L21" s="1427"/>
      <c r="M21" s="1427"/>
      <c r="N21" s="1427"/>
      <c r="O21" s="1427"/>
      <c r="P21" s="1427"/>
      <c r="Q21" s="1427"/>
      <c r="R21" s="1427"/>
      <c r="S21" s="1427"/>
      <c r="T21" s="349"/>
      <c r="U21" s="563"/>
      <c r="V21" s="584"/>
      <c r="W21" s="286"/>
      <c r="X21" s="284" t="b">
        <v>0</v>
      </c>
      <c r="Y21" s="1425" t="str">
        <f>IF($X21=FALSE,"",LOWER($D21))</f>
        <v/>
      </c>
      <c r="Z21" s="1426"/>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31" t="s">
        <v>516</v>
      </c>
      <c r="H23" s="1432"/>
      <c r="I23" s="1432"/>
      <c r="J23" s="1432"/>
      <c r="K23" s="1432"/>
      <c r="L23" s="1432"/>
      <c r="M23" s="1432"/>
      <c r="N23" s="1432"/>
      <c r="O23" s="1432"/>
      <c r="P23" s="1432"/>
      <c r="Q23" s="1432"/>
      <c r="R23" s="1432"/>
      <c r="S23" s="1433"/>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7" t="s">
        <v>113</v>
      </c>
      <c r="E24" s="1437"/>
      <c r="F24" s="760"/>
      <c r="G24" s="761" t="s">
        <v>114</v>
      </c>
      <c r="H24" s="762"/>
      <c r="I24" s="762"/>
      <c r="J24" s="1469" t="s">
        <v>7</v>
      </c>
      <c r="K24" s="1469"/>
      <c r="L24" s="1469"/>
      <c r="M24" s="1469"/>
      <c r="N24" s="1469"/>
      <c r="O24" s="1469"/>
      <c r="P24" s="1469"/>
      <c r="Q24" s="1469"/>
      <c r="R24" s="1469"/>
      <c r="S24" s="1469"/>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9" t="s">
        <v>334</v>
      </c>
      <c r="E25" s="1439"/>
      <c r="F25" s="1439"/>
      <c r="G25" s="1434" t="s">
        <v>205</v>
      </c>
      <c r="H25" s="1434"/>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6</v>
      </c>
      <c r="Y25" s="884"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9" t="s">
        <v>346</v>
      </c>
      <c r="E26" s="1439"/>
      <c r="F26" s="1439"/>
      <c r="G26" s="1434" t="s">
        <v>205</v>
      </c>
      <c r="H26" s="1434"/>
      <c r="I26" s="705"/>
      <c r="J26" s="726">
        <v>1</v>
      </c>
      <c r="K26" s="727">
        <v>2</v>
      </c>
      <c r="L26" s="728">
        <v>3</v>
      </c>
      <c r="M26" s="729">
        <v>4</v>
      </c>
      <c r="N26" s="730">
        <v>5</v>
      </c>
      <c r="O26" s="731">
        <v>6</v>
      </c>
      <c r="P26" s="732">
        <v>7</v>
      </c>
      <c r="Q26" s="733">
        <v>8</v>
      </c>
      <c r="R26" s="734">
        <v>9</v>
      </c>
      <c r="S26" s="735">
        <v>10</v>
      </c>
      <c r="T26" s="304"/>
      <c r="U26" s="563"/>
      <c r="V26" s="580" t="s">
        <v>821</v>
      </c>
      <c r="W26" s="161"/>
      <c r="X26" s="52">
        <f t="shared" si="1"/>
        <v>6</v>
      </c>
      <c r="Y26" s="884"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9" t="s">
        <v>335</v>
      </c>
      <c r="E27" s="1439"/>
      <c r="F27" s="1439"/>
      <c r="G27" s="1434" t="s">
        <v>205</v>
      </c>
      <c r="H27" s="1434"/>
      <c r="I27" s="705"/>
      <c r="J27" s="726">
        <v>1</v>
      </c>
      <c r="K27" s="727">
        <v>2</v>
      </c>
      <c r="L27" s="728">
        <v>3</v>
      </c>
      <c r="M27" s="729">
        <v>4</v>
      </c>
      <c r="N27" s="730">
        <v>5</v>
      </c>
      <c r="O27" s="731">
        <v>6</v>
      </c>
      <c r="P27" s="732">
        <v>7</v>
      </c>
      <c r="Q27" s="733">
        <v>8</v>
      </c>
      <c r="R27" s="734">
        <v>9</v>
      </c>
      <c r="S27" s="735">
        <v>10</v>
      </c>
      <c r="T27" s="304"/>
      <c r="U27" s="563"/>
      <c r="V27" s="580" t="s">
        <v>821</v>
      </c>
      <c r="W27" s="161"/>
      <c r="X27" s="52">
        <f t="shared" si="1"/>
        <v>6</v>
      </c>
      <c r="Y27" s="884"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9" t="s">
        <v>341</v>
      </c>
      <c r="E28" s="1439"/>
      <c r="F28" s="1439"/>
      <c r="G28" s="1434" t="s">
        <v>205</v>
      </c>
      <c r="H28" s="1434"/>
      <c r="I28" s="705"/>
      <c r="J28" s="726">
        <v>1</v>
      </c>
      <c r="K28" s="727">
        <v>2</v>
      </c>
      <c r="L28" s="728">
        <v>3</v>
      </c>
      <c r="M28" s="729">
        <v>4</v>
      </c>
      <c r="N28" s="730">
        <v>5</v>
      </c>
      <c r="O28" s="731">
        <v>6</v>
      </c>
      <c r="P28" s="732">
        <v>7</v>
      </c>
      <c r="Q28" s="733">
        <v>8</v>
      </c>
      <c r="R28" s="734">
        <v>9</v>
      </c>
      <c r="S28" s="735">
        <v>10</v>
      </c>
      <c r="T28" s="304"/>
      <c r="U28" s="563"/>
      <c r="V28" s="580" t="s">
        <v>821</v>
      </c>
      <c r="W28" s="161"/>
      <c r="X28" s="52">
        <f t="shared" si="1"/>
        <v>6</v>
      </c>
      <c r="Y28" s="884"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9" t="s">
        <v>347</v>
      </c>
      <c r="E29" s="1439"/>
      <c r="F29" s="1439"/>
      <c r="G29" s="1434" t="s">
        <v>6</v>
      </c>
      <c r="H29" s="1434"/>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9" t="s">
        <v>348</v>
      </c>
      <c r="E30" s="1439"/>
      <c r="F30" s="1439"/>
      <c r="G30" s="1434" t="s">
        <v>6</v>
      </c>
      <c r="H30" s="1434"/>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9" t="s">
        <v>1</v>
      </c>
      <c r="E31" s="1439"/>
      <c r="F31" s="1439"/>
      <c r="G31" s="1434" t="s">
        <v>6</v>
      </c>
      <c r="H31" s="1434"/>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9" t="s">
        <v>447</v>
      </c>
      <c r="E32" s="1439"/>
      <c r="F32" s="1439"/>
      <c r="G32" s="1434" t="s">
        <v>6</v>
      </c>
      <c r="H32" s="1434"/>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8" t="s">
        <v>213</v>
      </c>
      <c r="E33" s="1448"/>
      <c r="F33" s="1448"/>
      <c r="G33" s="1434" t="s">
        <v>6</v>
      </c>
      <c r="H33" s="1434"/>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8" t="s">
        <v>213</v>
      </c>
      <c r="E34" s="1448"/>
      <c r="F34" s="1448"/>
      <c r="G34" s="1434" t="s">
        <v>6</v>
      </c>
      <c r="H34" s="1434"/>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5" t="s">
        <v>116</v>
      </c>
      <c r="H37" s="1435"/>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6" t="s">
        <v>443</v>
      </c>
      <c r="E38" s="1436"/>
      <c r="F38" s="1436"/>
      <c r="G38" s="1436"/>
      <c r="H38" s="1436"/>
      <c r="I38" s="1436"/>
      <c r="J38" s="1436"/>
      <c r="K38" s="1436"/>
      <c r="L38" s="1436"/>
      <c r="M38" s="1436"/>
      <c r="N38" s="1436"/>
      <c r="O38" s="1436"/>
      <c r="P38" s="1436"/>
      <c r="Q38" s="1436"/>
      <c r="R38" s="1436"/>
      <c r="S38" s="1436"/>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5"/>
      <c r="E39" s="1236"/>
      <c r="F39" s="1236"/>
      <c r="G39" s="1236"/>
      <c r="H39" s="1236"/>
      <c r="I39" s="1236"/>
      <c r="J39" s="1236"/>
      <c r="K39" s="1236"/>
      <c r="L39" s="1236"/>
      <c r="M39" s="1236"/>
      <c r="N39" s="1236"/>
      <c r="O39" s="1236"/>
      <c r="P39" s="1236"/>
      <c r="Q39" s="1236"/>
      <c r="R39" s="1236"/>
      <c r="S39" s="1236"/>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8" t="s">
        <v>213</v>
      </c>
      <c r="K44" s="1438"/>
      <c r="L44" s="1438"/>
      <c r="M44" s="1438"/>
      <c r="N44" s="1438"/>
      <c r="O44" s="1438"/>
      <c r="P44" s="1438"/>
      <c r="Q44" s="1438"/>
      <c r="R44" s="1438"/>
      <c r="S44" s="1438"/>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30" t="str">
        <f>C.7Invoicing</f>
        <v/>
      </c>
      <c r="E45" s="1430"/>
      <c r="F45" s="1430"/>
      <c r="G45" s="1430"/>
      <c r="H45" s="1430"/>
      <c r="I45" s="1430"/>
      <c r="J45" s="1430"/>
      <c r="K45" s="1430"/>
      <c r="L45" s="1430"/>
      <c r="M45" s="1430"/>
      <c r="N45" s="1430"/>
      <c r="O45" s="1430"/>
      <c r="P45" s="1430"/>
      <c r="Q45" s="1430"/>
      <c r="R45" s="1430"/>
      <c r="S45" s="1430"/>
      <c r="T45" s="304"/>
      <c r="U45" s="563"/>
      <c r="V45" s="572"/>
      <c r="W45" s="161"/>
      <c r="X45" s="1428" t="str">
        <f>IF(COUNTIF(X41:Z44,TRUE)&gt;0,"Since an invoicing system is involved with this rulemaking, please consult with resource system owner early in the rulemaking process.","")</f>
        <v/>
      </c>
      <c r="Y45" s="1429"/>
      <c r="Z45" s="1429"/>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5" t="s">
        <v>243</v>
      </c>
      <c r="E46" s="1415"/>
      <c r="F46" s="1415"/>
      <c r="G46" s="1415"/>
      <c r="H46" s="1415"/>
      <c r="I46" s="1415"/>
      <c r="J46" s="1415"/>
      <c r="K46" s="1415"/>
      <c r="L46" s="1415"/>
      <c r="M46" s="1415"/>
      <c r="N46" s="1415"/>
      <c r="O46" s="1415"/>
      <c r="P46" s="1415"/>
      <c r="Q46" s="1415"/>
      <c r="R46" s="1415"/>
      <c r="S46" s="1415"/>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5" t="s">
        <v>0</v>
      </c>
      <c r="E47" s="1236"/>
      <c r="F47" s="1236"/>
      <c r="G47" s="1236"/>
      <c r="H47" s="1236"/>
      <c r="I47" s="1236"/>
      <c r="J47" s="1236"/>
      <c r="K47" s="1236"/>
      <c r="L47" s="1236"/>
      <c r="M47" s="1236"/>
      <c r="N47" s="1236"/>
      <c r="O47" s="1236"/>
      <c r="P47" s="1236"/>
      <c r="Q47" s="1236"/>
      <c r="R47" s="1236"/>
      <c r="S47" s="1236"/>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9" t="s">
        <v>0</v>
      </c>
      <c r="I49" s="1384"/>
      <c r="J49" s="1336" t="s">
        <v>37</v>
      </c>
      <c r="K49" s="1337"/>
      <c r="L49" s="1337"/>
      <c r="M49" s="1337"/>
      <c r="N49" s="1337"/>
      <c r="O49" s="1337"/>
      <c r="P49" s="1337"/>
      <c r="Q49" s="1337"/>
      <c r="R49" s="1337"/>
      <c r="S49" s="1338"/>
      <c r="T49" s="346"/>
      <c r="U49" s="563"/>
      <c r="V49" s="573" t="s">
        <v>838</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2" t="s">
        <v>247</v>
      </c>
      <c r="I50" s="1453"/>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9" t="s">
        <v>0</v>
      </c>
      <c r="E53" s="1450"/>
      <c r="F53" s="1450"/>
      <c r="G53" s="1450"/>
      <c r="H53" s="1450"/>
      <c r="I53" s="1450"/>
      <c r="J53" s="1450"/>
      <c r="K53" s="1450"/>
      <c r="L53" s="1450"/>
      <c r="M53" s="1450"/>
      <c r="N53" s="1450"/>
      <c r="O53" s="1450"/>
      <c r="P53" s="1450"/>
      <c r="Q53" s="1450"/>
      <c r="R53" s="1450"/>
      <c r="S53" s="1451"/>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5" t="s">
        <v>0</v>
      </c>
      <c r="E55" s="1446"/>
      <c r="F55" s="1446"/>
      <c r="G55" s="1446"/>
      <c r="H55" s="1446"/>
      <c r="I55" s="1446"/>
      <c r="J55" s="1446"/>
      <c r="K55" s="1446"/>
      <c r="L55" s="1446"/>
      <c r="M55" s="1446"/>
      <c r="N55" s="1446"/>
      <c r="O55" s="1446"/>
      <c r="P55" s="1446"/>
      <c r="Q55" s="1446"/>
      <c r="R55" s="1446"/>
      <c r="S55" s="1447"/>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63"/>
      <c r="C56" s="293"/>
      <c r="D56" s="294"/>
      <c r="E56" s="294"/>
      <c r="F56" s="294"/>
      <c r="G56" s="1221">
        <f ca="1">TODAY()</f>
        <v>41947</v>
      </c>
      <c r="H56" s="1221"/>
      <c r="I56" s="1221"/>
      <c r="J56" s="1221"/>
      <c r="K56" s="1221"/>
      <c r="L56" s="1221"/>
      <c r="M56" s="1221"/>
      <c r="N56" s="1221"/>
      <c r="O56" s="1221"/>
      <c r="P56" s="1221"/>
      <c r="Q56" s="1221"/>
      <c r="R56" s="1221"/>
      <c r="S56" s="1221"/>
      <c r="T56" s="1222"/>
      <c r="U56" s="563"/>
      <c r="X56" s="147"/>
      <c r="Y56" s="147"/>
      <c r="Z56" s="147"/>
      <c r="AA56" s="147"/>
      <c r="AB56" s="147"/>
    </row>
    <row r="57" spans="1:57" ht="15.6">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zoomScale="80" zoomScaleNormal="80" workbookViewId="0">
      <selection activeCell="V21" sqref="V21"/>
    </sheetView>
  </sheetViews>
  <sheetFormatPr defaultColWidth="9" defaultRowHeight="15" outlineLevelCol="1"/>
  <cols>
    <col min="1" max="1" width="13.59765625" style="601" customWidth="1"/>
    <col min="2" max="2" width="2.69921875" style="160" customWidth="1"/>
    <col min="3" max="3" width="2.59765625" style="273" customWidth="1"/>
    <col min="4" max="4" width="19" style="273" customWidth="1"/>
    <col min="5" max="5" width="2.59765625" style="273" customWidth="1"/>
    <col min="6" max="6" width="9.09765625" style="273" customWidth="1"/>
    <col min="7" max="7" width="18.3984375" style="273" customWidth="1"/>
    <col min="8" max="8" width="6.59765625" style="273" customWidth="1"/>
    <col min="9" max="19" width="1.8984375" style="273" customWidth="1"/>
    <col min="20" max="20" width="2.69921875" style="273" customWidth="1"/>
    <col min="21" max="21" width="3.09765625" style="160" customWidth="1"/>
    <col min="22" max="22" width="31.5" style="160" customWidth="1"/>
    <col min="23" max="23" width="9" style="160"/>
    <col min="24" max="24" width="9" style="273" hidden="1" customWidth="1" outlineLevel="1"/>
    <col min="25" max="25" width="4.59765625" style="285" hidden="1" customWidth="1" outlineLevel="1"/>
    <col min="26" max="26" width="5.09765625" style="273" hidden="1" customWidth="1" outlineLevel="1"/>
    <col min="27" max="27" width="57.1992187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72" t="str">
        <f>C.2Name</f>
        <v>Oregon State Implementation Plan revision for PM2.5 National Ambient Air Quality Standards</v>
      </c>
      <c r="G2" s="1472"/>
      <c r="H2" s="1472"/>
      <c r="I2" s="1472"/>
      <c r="J2" s="1472"/>
      <c r="K2" s="1472"/>
      <c r="L2" s="1472"/>
      <c r="M2" s="1472"/>
      <c r="N2" s="1472"/>
      <c r="O2" s="1472"/>
      <c r="P2" s="1472"/>
      <c r="Q2" s="1472"/>
      <c r="R2" s="1472"/>
      <c r="S2" s="1472"/>
      <c r="T2" s="1105"/>
      <c r="U2" s="563"/>
      <c r="V2" s="272" t="s">
        <v>0</v>
      </c>
      <c r="W2" s="159"/>
      <c r="X2" s="68"/>
      <c r="Y2" s="68"/>
      <c r="Z2" s="147"/>
      <c r="AA2" s="147"/>
    </row>
    <row r="3" spans="1:59" s="66" customFormat="1" ht="12.75" customHeight="1" thickTop="1">
      <c r="A3" s="601"/>
      <c r="B3" s="563"/>
      <c r="C3" s="1483"/>
      <c r="D3" s="1484"/>
      <c r="E3" s="1484"/>
      <c r="F3" s="1484"/>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7" t="s">
        <v>274</v>
      </c>
      <c r="H4" s="1477"/>
      <c r="I4" s="1476" t="s">
        <v>274</v>
      </c>
      <c r="J4" s="1476"/>
      <c r="K4" s="1476"/>
      <c r="L4" s="1476"/>
      <c r="M4" s="1476"/>
      <c r="N4" s="1476"/>
      <c r="O4" s="1476"/>
      <c r="P4" s="1476"/>
      <c r="Q4" s="1476"/>
      <c r="R4" s="1476"/>
      <c r="S4" s="1476"/>
      <c r="T4" s="201"/>
      <c r="U4" s="563"/>
      <c r="V4" s="272"/>
      <c r="W4" s="161"/>
      <c r="X4" s="271"/>
      <c r="Y4" s="289"/>
      <c r="Z4" s="147"/>
      <c r="AA4" s="147"/>
    </row>
    <row r="5" spans="1:59" s="66" customFormat="1" ht="18" customHeight="1">
      <c r="A5" s="601"/>
      <c r="B5" s="563"/>
      <c r="C5" s="274"/>
      <c r="D5" s="1471" t="s">
        <v>1064</v>
      </c>
      <c r="E5" s="1471"/>
      <c r="F5" s="1471"/>
      <c r="G5" s="1473"/>
      <c r="H5" s="1473"/>
      <c r="I5" s="1480"/>
      <c r="J5" s="1481"/>
      <c r="K5" s="1481"/>
      <c r="L5" s="1481"/>
      <c r="M5" s="1481"/>
      <c r="N5" s="1481"/>
      <c r="O5" s="1481"/>
      <c r="P5" s="1481"/>
      <c r="Q5" s="1481"/>
      <c r="R5" s="1481"/>
      <c r="S5" s="1482"/>
      <c r="T5" s="201"/>
      <c r="U5" s="563"/>
      <c r="V5" s="272"/>
      <c r="W5" s="161"/>
      <c r="X5" s="271"/>
      <c r="Y5" s="289"/>
      <c r="Z5" s="147"/>
      <c r="AA5" s="147"/>
    </row>
    <row r="6" spans="1:59" s="843" customFormat="1" ht="18" customHeight="1">
      <c r="A6" s="852"/>
      <c r="B6" s="851"/>
      <c r="C6" s="849"/>
      <c r="D6" s="1471" t="s">
        <v>0</v>
      </c>
      <c r="E6" s="1471"/>
      <c r="F6" s="1471"/>
      <c r="G6" s="1474" t="s">
        <v>0</v>
      </c>
      <c r="H6" s="1475"/>
      <c r="I6" s="1478"/>
      <c r="J6" s="1478"/>
      <c r="K6" s="1478"/>
      <c r="L6" s="1478"/>
      <c r="M6" s="1478"/>
      <c r="N6" s="1478"/>
      <c r="O6" s="1478"/>
      <c r="P6" s="1478"/>
      <c r="Q6" s="1478"/>
      <c r="R6" s="1478"/>
      <c r="S6" s="1479"/>
      <c r="T6" s="848"/>
      <c r="U6" s="851"/>
      <c r="V6" s="847"/>
      <c r="W6" s="846"/>
      <c r="X6" s="845"/>
      <c r="Y6" s="845"/>
      <c r="Z6" s="844"/>
      <c r="AA6" s="844"/>
    </row>
    <row r="7" spans="1:59" s="66" customFormat="1" ht="25.5" customHeight="1">
      <c r="A7" s="601"/>
      <c r="B7" s="563"/>
      <c r="C7" s="274"/>
      <c r="D7" s="343" t="s">
        <v>273</v>
      </c>
      <c r="E7" s="311"/>
      <c r="F7" s="311"/>
      <c r="G7" s="311"/>
      <c r="H7" s="311"/>
      <c r="I7" s="1470"/>
      <c r="J7" s="1470"/>
      <c r="K7" s="1470"/>
      <c r="L7" s="1470"/>
      <c r="M7" s="1470"/>
      <c r="N7" s="1470"/>
      <c r="O7" s="1470"/>
      <c r="P7" s="1470"/>
      <c r="Q7" s="1470"/>
      <c r="R7" s="1470"/>
      <c r="S7" s="1470"/>
      <c r="T7" s="201"/>
      <c r="U7" s="563"/>
      <c r="V7" s="272"/>
      <c r="W7" s="161"/>
      <c r="X7" s="271"/>
      <c r="Y7" s="289"/>
      <c r="Z7" s="147"/>
      <c r="AA7" s="147"/>
    </row>
    <row r="8" spans="1:59" s="843" customFormat="1" ht="18" customHeight="1">
      <c r="A8" s="852"/>
      <c r="B8" s="851"/>
      <c r="C8" s="1021"/>
      <c r="D8" s="1471" t="s">
        <v>1070</v>
      </c>
      <c r="E8" s="1471"/>
      <c r="F8" s="1471"/>
      <c r="G8" s="1473"/>
      <c r="H8" s="1473"/>
      <c r="I8" s="1480"/>
      <c r="J8" s="1481"/>
      <c r="K8" s="1481"/>
      <c r="L8" s="1481"/>
      <c r="M8" s="1481"/>
      <c r="N8" s="1481"/>
      <c r="O8" s="1481"/>
      <c r="P8" s="1481"/>
      <c r="Q8" s="1481"/>
      <c r="R8" s="1481"/>
      <c r="S8" s="1482"/>
      <c r="T8" s="848"/>
      <c r="U8" s="851"/>
      <c r="V8" s="1017"/>
      <c r="W8" s="846"/>
      <c r="X8" s="845"/>
      <c r="Y8" s="845"/>
      <c r="Z8" s="844"/>
      <c r="AA8" s="844"/>
    </row>
    <row r="9" spans="1:59" s="843" customFormat="1" ht="18" customHeight="1">
      <c r="A9" s="852"/>
      <c r="B9" s="851"/>
      <c r="C9" s="1021"/>
      <c r="D9" s="1471" t="s">
        <v>0</v>
      </c>
      <c r="E9" s="1471"/>
      <c r="F9" s="1471"/>
      <c r="G9" s="1474" t="s">
        <v>0</v>
      </c>
      <c r="H9" s="1475"/>
      <c r="I9" s="1478"/>
      <c r="J9" s="1478"/>
      <c r="K9" s="1478"/>
      <c r="L9" s="1478"/>
      <c r="M9" s="1478"/>
      <c r="N9" s="1478"/>
      <c r="O9" s="1478"/>
      <c r="P9" s="1478"/>
      <c r="Q9" s="1478"/>
      <c r="R9" s="1478"/>
      <c r="S9" s="1479"/>
      <c r="T9" s="848"/>
      <c r="U9" s="851"/>
      <c r="V9" s="1017"/>
      <c r="W9" s="846"/>
      <c r="X9" s="845"/>
      <c r="Y9" s="845"/>
      <c r="Z9" s="844"/>
      <c r="AA9" s="844"/>
    </row>
    <row r="10" spans="1:59" s="66" customFormat="1" ht="25.5" customHeight="1">
      <c r="A10" s="601"/>
      <c r="B10" s="563"/>
      <c r="C10" s="274"/>
      <c r="D10" s="1022" t="s">
        <v>192</v>
      </c>
      <c r="E10" s="311"/>
      <c r="F10" s="311"/>
      <c r="G10" s="311"/>
      <c r="H10" s="311"/>
      <c r="I10" s="1498"/>
      <c r="J10" s="1498"/>
      <c r="K10" s="1498"/>
      <c r="L10" s="1498"/>
      <c r="M10" s="1498"/>
      <c r="N10" s="1498"/>
      <c r="O10" s="1498"/>
      <c r="P10" s="1498"/>
      <c r="Q10" s="1498"/>
      <c r="R10" s="1498"/>
      <c r="S10" s="1498"/>
      <c r="T10" s="201"/>
      <c r="U10" s="563"/>
      <c r="V10" s="272"/>
      <c r="W10" s="161"/>
      <c r="X10" s="271"/>
      <c r="Y10" s="289"/>
      <c r="Z10" s="147"/>
      <c r="AA10" s="147"/>
    </row>
    <row r="11" spans="1:59" s="843" customFormat="1" ht="18" customHeight="1">
      <c r="A11" s="852"/>
      <c r="B11" s="851"/>
      <c r="C11" s="1021"/>
      <c r="D11" s="1471" t="s">
        <v>1065</v>
      </c>
      <c r="E11" s="1471"/>
      <c r="F11" s="1471"/>
      <c r="G11" s="1473"/>
      <c r="H11" s="1473"/>
      <c r="I11" s="1480"/>
      <c r="J11" s="1481"/>
      <c r="K11" s="1481"/>
      <c r="L11" s="1481"/>
      <c r="M11" s="1481"/>
      <c r="N11" s="1481"/>
      <c r="O11" s="1481"/>
      <c r="P11" s="1481"/>
      <c r="Q11" s="1481"/>
      <c r="R11" s="1481"/>
      <c r="S11" s="1482"/>
      <c r="T11" s="848"/>
      <c r="U11" s="851"/>
      <c r="V11" s="1017"/>
      <c r="W11" s="846"/>
      <c r="X11" s="845"/>
      <c r="Y11" s="845"/>
      <c r="Z11" s="844"/>
      <c r="AA11" s="844"/>
    </row>
    <row r="12" spans="1:59" s="843" customFormat="1" ht="18" customHeight="1">
      <c r="A12" s="852"/>
      <c r="B12" s="851"/>
      <c r="C12" s="1021"/>
      <c r="D12" s="1471" t="s">
        <v>0</v>
      </c>
      <c r="E12" s="1471"/>
      <c r="F12" s="1471"/>
      <c r="G12" s="1474" t="s">
        <v>0</v>
      </c>
      <c r="H12" s="1475"/>
      <c r="I12" s="1474"/>
      <c r="J12" s="1499"/>
      <c r="K12" s="1499"/>
      <c r="L12" s="1499"/>
      <c r="M12" s="1499"/>
      <c r="N12" s="1499"/>
      <c r="O12" s="1499"/>
      <c r="P12" s="1499"/>
      <c r="Q12" s="1499"/>
      <c r="R12" s="1499"/>
      <c r="S12" s="1475"/>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6" t="s">
        <v>283</v>
      </c>
      <c r="J14" s="1387"/>
      <c r="K14" s="1387"/>
      <c r="L14" s="1387"/>
      <c r="M14" s="1387"/>
      <c r="N14" s="1387"/>
      <c r="O14" s="1387"/>
      <c r="P14" s="1387"/>
      <c r="Q14" s="1387"/>
      <c r="R14" s="1388"/>
      <c r="S14" s="183"/>
      <c r="T14" s="201"/>
      <c r="U14" s="563"/>
      <c r="V14" s="385" t="s">
        <v>844</v>
      </c>
      <c r="W14" s="161"/>
      <c r="X14" s="33">
        <f>VLOOKUP(I14,C.VL_SeverityRating,2,FALSE)</f>
        <v>3</v>
      </c>
      <c r="Y14" s="637" t="str">
        <f>I14</f>
        <v>low to medium</v>
      </c>
      <c r="Z14" s="55"/>
      <c r="AA14" s="55"/>
    </row>
    <row r="15" spans="1:59" s="66" customFormat="1" ht="17.25" customHeight="1">
      <c r="A15" s="601"/>
      <c r="B15" s="563"/>
      <c r="C15" s="279"/>
      <c r="D15"/>
      <c r="E15"/>
      <c r="F15"/>
      <c r="G15" s="1496" t="s">
        <v>280</v>
      </c>
      <c r="H15" s="1497"/>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1" t="s">
        <v>300</v>
      </c>
      <c r="I16" s="1491"/>
      <c r="J16" s="1491"/>
      <c r="K16" s="1491"/>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3" t="s">
        <v>277</v>
      </c>
      <c r="E17" s="1353"/>
      <c r="F17" s="1353"/>
      <c r="G17" s="1353"/>
      <c r="H17" s="1485" t="s">
        <v>0</v>
      </c>
      <c r="I17" s="1486"/>
      <c r="J17" s="1486"/>
      <c r="K17" s="1486"/>
      <c r="L17" s="1486"/>
      <c r="M17" s="1486"/>
      <c r="N17" s="1486"/>
      <c r="O17" s="1486"/>
      <c r="P17" s="1486"/>
      <c r="Q17" s="1486"/>
      <c r="R17" s="1486"/>
      <c r="S17" s="1487"/>
      <c r="T17" s="206"/>
      <c r="U17" s="563"/>
      <c r="V17" s="1080"/>
      <c r="W17" s="273"/>
      <c r="X17" s="284" t="b">
        <v>0</v>
      </c>
      <c r="Y17" s="284"/>
      <c r="Z17" s="1425" t="str">
        <f>IF($X17=FALSE,"",IF(COUNTIF($X18:$X$23,TRUE)=0,LOWER($D17),IF(COUNTIF($X18:$X$23,TRUE)=1,LOWER($D17)&amp;" and ",LOWER($D17)&amp;", ")))</f>
        <v/>
      </c>
      <c r="AA17" s="1425"/>
      <c r="AC17" s="273"/>
      <c r="AD17" s="273"/>
    </row>
    <row r="18" spans="1:30" s="66" customFormat="1" ht="21" customHeight="1">
      <c r="A18" s="601"/>
      <c r="B18" s="563"/>
      <c r="C18" s="202"/>
      <c r="D18" s="1353" t="s">
        <v>279</v>
      </c>
      <c r="E18" s="1353"/>
      <c r="F18" s="1353"/>
      <c r="G18" s="1353"/>
      <c r="H18" s="1485"/>
      <c r="I18" s="1486"/>
      <c r="J18" s="1486"/>
      <c r="K18" s="1486"/>
      <c r="L18" s="1486"/>
      <c r="M18" s="1486"/>
      <c r="N18" s="1486"/>
      <c r="O18" s="1486"/>
      <c r="P18" s="1486"/>
      <c r="Q18" s="1486"/>
      <c r="R18" s="1486"/>
      <c r="S18" s="1487"/>
      <c r="T18" s="206"/>
      <c r="U18" s="563"/>
      <c r="V18" s="273"/>
      <c r="W18" s="273"/>
      <c r="X18" s="284" t="b">
        <v>0</v>
      </c>
      <c r="Y18" s="284"/>
      <c r="Z18" s="1425" t="str">
        <f>IF($X18=FALSE,"",IF(COUNTIF($X19:$X$23,TRUE)=0,LOWER($D18),IF(COUNTIF($X19:$X$23,TRUE)=1,LOWER($D18)&amp;" and ",LOWER($D18)&amp;", ")))</f>
        <v/>
      </c>
      <c r="AA18" s="1425"/>
      <c r="AC18" s="273"/>
      <c r="AD18" s="273"/>
    </row>
    <row r="19" spans="1:30" s="66" customFormat="1" ht="21" customHeight="1">
      <c r="A19" s="601"/>
      <c r="B19" s="563"/>
      <c r="C19" s="202"/>
      <c r="D19" s="1356" t="s">
        <v>275</v>
      </c>
      <c r="E19" s="1356"/>
      <c r="F19" s="1356"/>
      <c r="G19" s="1356"/>
      <c r="H19" s="1485"/>
      <c r="I19" s="1486"/>
      <c r="J19" s="1486"/>
      <c r="K19" s="1486"/>
      <c r="L19" s="1486"/>
      <c r="M19" s="1486"/>
      <c r="N19" s="1486"/>
      <c r="O19" s="1486"/>
      <c r="P19" s="1486"/>
      <c r="Q19" s="1486"/>
      <c r="R19" s="1486"/>
      <c r="S19" s="1487"/>
      <c r="T19" s="206"/>
      <c r="U19" s="563"/>
      <c r="V19" s="273"/>
      <c r="W19" s="273"/>
      <c r="X19" s="284" t="b">
        <v>0</v>
      </c>
      <c r="Y19" s="284"/>
      <c r="Z19" s="1425" t="str">
        <f>IF($X19=FALSE,"",IF(COUNTIF($X21:$X$23,TRUE)=0,LOWER($D19),IF(COUNTIF($X21:$X$23,TRUE)=1,LOWER($D19)&amp;" and ",LOWER($D19)&amp;", ")))</f>
        <v/>
      </c>
      <c r="AA19" s="1425"/>
      <c r="AC19" s="273"/>
      <c r="AD19" s="273"/>
    </row>
    <row r="20" spans="1:30" s="843" customFormat="1" ht="21" customHeight="1">
      <c r="A20" s="852"/>
      <c r="B20" s="851"/>
      <c r="C20" s="202"/>
      <c r="D20" s="1356" t="s">
        <v>278</v>
      </c>
      <c r="E20" s="1356"/>
      <c r="F20" s="1356"/>
      <c r="G20" s="1356"/>
      <c r="H20" s="1485"/>
      <c r="I20" s="1486"/>
      <c r="J20" s="1486"/>
      <c r="K20" s="1486"/>
      <c r="L20" s="1486"/>
      <c r="M20" s="1486"/>
      <c r="N20" s="1486"/>
      <c r="O20" s="1486"/>
      <c r="P20" s="1486"/>
      <c r="Q20" s="1486"/>
      <c r="R20" s="1486"/>
      <c r="S20" s="1487"/>
      <c r="T20" s="206"/>
      <c r="U20" s="851"/>
      <c r="V20" s="1087"/>
      <c r="W20" s="1087"/>
      <c r="X20" s="284"/>
      <c r="Y20" s="284"/>
      <c r="Z20" s="1086"/>
      <c r="AA20" s="1086"/>
      <c r="AC20" s="1087"/>
      <c r="AD20" s="1087"/>
    </row>
    <row r="21" spans="1:30" s="66" customFormat="1" ht="42" customHeight="1">
      <c r="A21" s="601"/>
      <c r="B21" s="563"/>
      <c r="C21" s="202"/>
      <c r="D21" s="1356" t="s">
        <v>860</v>
      </c>
      <c r="E21" s="1356"/>
      <c r="F21" s="1356"/>
      <c r="G21" s="1356"/>
      <c r="H21" s="1485" t="s">
        <v>1063</v>
      </c>
      <c r="I21" s="1486"/>
      <c r="J21" s="1486"/>
      <c r="K21" s="1486"/>
      <c r="L21" s="1486"/>
      <c r="M21" s="1486"/>
      <c r="N21" s="1486"/>
      <c r="O21" s="1486"/>
      <c r="P21" s="1486"/>
      <c r="Q21" s="1486"/>
      <c r="R21" s="1486"/>
      <c r="S21" s="1487"/>
      <c r="T21" s="206"/>
      <c r="U21" s="563"/>
      <c r="V21" s="273"/>
      <c r="W21" s="273"/>
      <c r="X21" s="284" t="b">
        <v>1</v>
      </c>
      <c r="Y21" s="284"/>
      <c r="Z21" s="1425" t="str">
        <f>IF($X21=FALSE,"",IF(COUNTIF($X22:$X$23,TRUE)=0,LOWER($D20),IF(COUNTIF($X22:$X$23,TRUE)=1,LOWER($D20)&amp;" and ",LOWER($D20)&amp;", ")))</f>
        <v>failure to comply with clean air act</v>
      </c>
      <c r="AA21" s="1425"/>
      <c r="AC21" s="273"/>
      <c r="AD21" s="273"/>
    </row>
    <row r="22" spans="1:30" s="66" customFormat="1" ht="21" customHeight="1">
      <c r="A22" s="601"/>
      <c r="B22" s="563"/>
      <c r="C22" s="202"/>
      <c r="D22" s="1368" t="s">
        <v>276</v>
      </c>
      <c r="E22" s="1368"/>
      <c r="F22" s="1368"/>
      <c r="G22" s="1368"/>
      <c r="H22" s="1488" t="s">
        <v>0</v>
      </c>
      <c r="I22" s="1489"/>
      <c r="J22" s="1489"/>
      <c r="K22" s="1489"/>
      <c r="L22" s="1489"/>
      <c r="M22" s="1489"/>
      <c r="N22" s="1489"/>
      <c r="O22" s="1489"/>
      <c r="P22" s="1489"/>
      <c r="Q22" s="1489"/>
      <c r="R22" s="1489"/>
      <c r="S22" s="1490"/>
      <c r="T22" s="206"/>
      <c r="U22" s="563"/>
      <c r="V22" s="273"/>
      <c r="W22" s="273"/>
      <c r="X22" s="284" t="b">
        <v>0</v>
      </c>
      <c r="Y22" s="284"/>
      <c r="Z22" s="1425" t="str">
        <f>IF($X22=FALSE,"",IF($X23:$X$23=FALSE,LOWER($E22),LOWER($E22)&amp;" and "))</f>
        <v/>
      </c>
      <c r="AA22" s="1425"/>
      <c r="AC22" s="273" t="s">
        <v>0</v>
      </c>
      <c r="AD22" s="273"/>
    </row>
    <row r="23" spans="1:30" s="66" customFormat="1" ht="21" customHeight="1">
      <c r="A23" s="601"/>
      <c r="B23" s="563"/>
      <c r="C23" s="202"/>
      <c r="D23" s="1368" t="s">
        <v>276</v>
      </c>
      <c r="E23" s="1368"/>
      <c r="F23" s="1368"/>
      <c r="G23" s="1368"/>
      <c r="H23" s="1485"/>
      <c r="I23" s="1486"/>
      <c r="J23" s="1486"/>
      <c r="K23" s="1486"/>
      <c r="L23" s="1486"/>
      <c r="M23" s="1486"/>
      <c r="N23" s="1486"/>
      <c r="O23" s="1486"/>
      <c r="P23" s="1486"/>
      <c r="Q23" s="1486"/>
      <c r="R23" s="1486"/>
      <c r="S23" s="1487"/>
      <c r="T23" s="206"/>
      <c r="U23" s="563"/>
      <c r="V23" s="273"/>
      <c r="W23" s="273"/>
      <c r="X23" s="284" t="b">
        <v>0</v>
      </c>
      <c r="Y23" s="284"/>
      <c r="Z23" s="1425" t="str">
        <f>IF($X23=FALSE,"",LOWER($E23))</f>
        <v/>
      </c>
      <c r="AA23" s="1425"/>
      <c r="AC23" s="285" t="s">
        <v>0</v>
      </c>
      <c r="AD23" s="273"/>
    </row>
    <row r="24" spans="1:30" s="66" customFormat="1" ht="30" customHeight="1">
      <c r="A24" s="601"/>
      <c r="B24" s="563"/>
      <c r="C24" s="202"/>
      <c r="D24" s="1415" t="s">
        <v>267</v>
      </c>
      <c r="E24" s="1415"/>
      <c r="F24" s="1415"/>
      <c r="G24" s="1415"/>
      <c r="H24" s="193"/>
      <c r="I24" s="193"/>
      <c r="J24" s="193"/>
      <c r="K24" s="193"/>
      <c r="L24" s="193"/>
      <c r="M24" s="193"/>
      <c r="N24" s="193"/>
      <c r="O24" s="193"/>
      <c r="P24" s="193"/>
      <c r="Q24" s="193"/>
      <c r="R24" s="193"/>
      <c r="S24" s="275"/>
      <c r="T24" s="206"/>
      <c r="U24" s="563"/>
      <c r="V24" s="161"/>
      <c r="W24" s="161"/>
      <c r="X24" s="1373" t="str">
        <f>IF(COUNTIF(X17:X23,TRUE),"LEGAL: "&amp;Z17&amp;Z18&amp;Z19&amp;Z21&amp;Z22&amp;Z23&amp;".","")</f>
        <v>LEGAL: failure to comply with clean air act.</v>
      </c>
      <c r="Y24" s="1495"/>
      <c r="Z24" s="1495"/>
      <c r="AA24" s="1374"/>
    </row>
    <row r="25" spans="1:30" s="66" customFormat="1" ht="15.75" customHeight="1">
      <c r="A25" s="601"/>
      <c r="B25" s="563"/>
      <c r="C25" s="202"/>
      <c r="D25" s="1247" t="s">
        <v>0</v>
      </c>
      <c r="E25" s="1248"/>
      <c r="F25" s="1248"/>
      <c r="G25" s="1248"/>
      <c r="H25" s="1248"/>
      <c r="I25" s="1248"/>
      <c r="J25" s="1248"/>
      <c r="K25" s="1248"/>
      <c r="L25" s="1248"/>
      <c r="M25" s="1248"/>
      <c r="N25" s="1248"/>
      <c r="O25" s="1248"/>
      <c r="P25" s="1248"/>
      <c r="Q25" s="1248"/>
      <c r="R25" s="1248"/>
      <c r="S25" s="1248"/>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6" t="s">
        <v>37</v>
      </c>
      <c r="J27" s="1337"/>
      <c r="K27" s="1337"/>
      <c r="L27" s="1337"/>
      <c r="M27" s="1337"/>
      <c r="N27" s="1337"/>
      <c r="O27" s="1337"/>
      <c r="P27" s="1337"/>
      <c r="Q27" s="1337"/>
      <c r="R27" s="1338"/>
      <c r="S27" s="183"/>
      <c r="T27" s="201"/>
      <c r="U27" s="563"/>
      <c r="V27" s="313" t="s">
        <v>838</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96" t="s">
        <v>239</v>
      </c>
      <c r="H28" s="1497"/>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92" t="s">
        <v>0</v>
      </c>
      <c r="E32" s="1493"/>
      <c r="F32" s="1493"/>
      <c r="G32" s="1493"/>
      <c r="H32" s="1493"/>
      <c r="I32" s="1493"/>
      <c r="J32" s="1493"/>
      <c r="K32" s="1493"/>
      <c r="L32" s="1493"/>
      <c r="M32" s="1493"/>
      <c r="N32" s="1493"/>
      <c r="O32" s="1493"/>
      <c r="P32" s="1493"/>
      <c r="Q32" s="1493"/>
      <c r="R32" s="1493"/>
      <c r="S32" s="1494"/>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5" t="s">
        <v>0</v>
      </c>
      <c r="E34" s="1446"/>
      <c r="F34" s="1446"/>
      <c r="G34" s="1446"/>
      <c r="H34" s="1446"/>
      <c r="I34" s="1446"/>
      <c r="J34" s="1446"/>
      <c r="K34" s="1446"/>
      <c r="L34" s="1446"/>
      <c r="M34" s="1446"/>
      <c r="N34" s="1446"/>
      <c r="O34" s="1446"/>
      <c r="P34" s="1446"/>
      <c r="Q34" s="1446"/>
      <c r="R34" s="1446"/>
      <c r="S34" s="1447"/>
      <c r="T34" s="201"/>
      <c r="U34" s="563"/>
      <c r="W34" s="161"/>
      <c r="X34" s="122"/>
      <c r="Y34" s="122"/>
      <c r="Z34" s="147"/>
      <c r="AA34" s="147"/>
    </row>
    <row r="35" spans="1:27" ht="15.6">
      <c r="B35" s="563"/>
      <c r="C35" s="276"/>
      <c r="D35" s="277"/>
      <c r="E35" s="277"/>
      <c r="F35" s="277"/>
      <c r="G35" s="1221">
        <f ca="1">TODAY()</f>
        <v>41947</v>
      </c>
      <c r="H35" s="1221"/>
      <c r="I35" s="1221"/>
      <c r="J35" s="1221"/>
      <c r="K35" s="1221"/>
      <c r="L35" s="1221"/>
      <c r="M35" s="1221"/>
      <c r="N35" s="1221"/>
      <c r="O35" s="1221"/>
      <c r="P35" s="1221"/>
      <c r="Q35" s="1221"/>
      <c r="R35" s="1221"/>
      <c r="S35" s="1221"/>
      <c r="T35" s="1222"/>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zoomScale="80" zoomScaleNormal="80" workbookViewId="0">
      <selection activeCell="G16" sqref="G16"/>
    </sheetView>
  </sheetViews>
  <sheetFormatPr defaultRowHeight="15" outlineLevelCol="1"/>
  <cols>
    <col min="1" max="1" width="14" style="601"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9" customWidth="1"/>
    <col min="24" max="24" width="9" hidden="1" customWidth="1" outlineLevel="1"/>
    <col min="25" max="25" width="23.699218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72" t="str">
        <f>C.2Name</f>
        <v>Oregon State Implementation Plan revision for PM2.5 National Ambient Air Quality Standards</v>
      </c>
      <c r="G2" s="1472"/>
      <c r="H2" s="1472"/>
      <c r="I2" s="1472"/>
      <c r="J2" s="1472"/>
      <c r="K2" s="1472"/>
      <c r="L2" s="1472"/>
      <c r="M2" s="1472"/>
      <c r="N2" s="1472"/>
      <c r="O2" s="1472"/>
      <c r="P2" s="1472"/>
      <c r="Q2" s="1472"/>
      <c r="R2" s="1472"/>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3" t="s">
        <v>1083</v>
      </c>
      <c r="E4" s="1504"/>
      <c r="F4" s="1504"/>
      <c r="G4" s="1504"/>
      <c r="H4" s="1504"/>
      <c r="I4" s="1504"/>
      <c r="J4" s="1504"/>
      <c r="K4" s="1504"/>
      <c r="L4" s="1504"/>
      <c r="M4" s="1504"/>
      <c r="N4" s="1504"/>
      <c r="O4" s="1504"/>
      <c r="P4" s="1504"/>
      <c r="Q4" s="1504"/>
      <c r="R4" s="1505"/>
      <c r="S4" s="292"/>
      <c r="T4" s="563"/>
      <c r="U4" s="114"/>
      <c r="V4" s="114"/>
      <c r="W4" s="161"/>
      <c r="X4" s="55"/>
      <c r="Y4" s="38"/>
      <c r="Z4" s="66"/>
    </row>
    <row r="5" spans="1:31" ht="30.75" customHeight="1">
      <c r="B5" s="563"/>
      <c r="C5" s="398"/>
      <c r="D5" s="1299" t="s">
        <v>193</v>
      </c>
      <c r="E5" s="1299"/>
      <c r="F5" s="1299"/>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21" t="s">
        <v>217</v>
      </c>
      <c r="E7" s="1322"/>
      <c r="F7" s="1323"/>
      <c r="G7" s="1323"/>
      <c r="H7" s="1295"/>
      <c r="I7" s="1295"/>
      <c r="J7" s="1295"/>
      <c r="K7" s="1295"/>
      <c r="L7" s="1295"/>
      <c r="M7" s="1295"/>
      <c r="N7" s="1295"/>
      <c r="O7" s="1295"/>
      <c r="P7" s="1295"/>
      <c r="Q7" s="1295"/>
      <c r="R7" s="1295"/>
      <c r="S7" s="212"/>
      <c r="T7" s="563"/>
      <c r="U7" s="2"/>
      <c r="V7" s="2"/>
      <c r="W7" s="2"/>
      <c r="X7" s="144">
        <v>1</v>
      </c>
      <c r="Y7" s="147" t="s">
        <v>230</v>
      </c>
      <c r="Z7" s="164"/>
    </row>
    <row r="8" spans="1:31" ht="39" customHeight="1">
      <c r="B8" s="563"/>
      <c r="C8" s="365" t="s">
        <v>0</v>
      </c>
      <c r="D8" s="1299" t="s">
        <v>216</v>
      </c>
      <c r="E8" s="1299"/>
      <c r="F8" s="1299"/>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21" t="s">
        <v>217</v>
      </c>
      <c r="E10" s="1322"/>
      <c r="F10" s="1323"/>
      <c r="G10" s="1323"/>
      <c r="H10" s="1295"/>
      <c r="I10" s="1295"/>
      <c r="J10" s="1295"/>
      <c r="K10" s="1295"/>
      <c r="L10" s="1295"/>
      <c r="M10" s="1295"/>
      <c r="N10" s="1295"/>
      <c r="O10" s="1295"/>
      <c r="P10" s="1295"/>
      <c r="Q10" s="1295"/>
      <c r="R10" s="1295"/>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9" t="s">
        <v>432</v>
      </c>
      <c r="E12" s="1419"/>
      <c r="F12" s="1419"/>
      <c r="G12" s="1419"/>
      <c r="H12" s="1419"/>
      <c r="I12" s="1336" t="s">
        <v>37</v>
      </c>
      <c r="J12" s="1337"/>
      <c r="K12" s="1337"/>
      <c r="L12" s="1337"/>
      <c r="M12" s="1337"/>
      <c r="N12" s="1337"/>
      <c r="O12" s="1337"/>
      <c r="P12" s="1337"/>
      <c r="Q12" s="1337"/>
      <c r="R12" s="1338"/>
      <c r="S12" s="201"/>
      <c r="T12" s="563"/>
      <c r="U12" s="313" t="s">
        <v>760</v>
      </c>
      <c r="V12" s="313"/>
      <c r="W12" s="161"/>
      <c r="X12" s="1019" t="str">
        <f>IF(C.9Infrastructure=1,"low",IF(C.9Infrastructure=2,"low/medium",IF(C.9Infrastructure=3,"medium",IF(C.9Infrastructure=4,"medium/high","high"))))</f>
        <v>low</v>
      </c>
      <c r="Y12" s="147"/>
    </row>
    <row r="13" spans="1:31" ht="15.6">
      <c r="B13" s="563"/>
      <c r="C13" s="202"/>
      <c r="D13" s="238" t="s">
        <v>117</v>
      </c>
      <c r="E13" s="850" t="s">
        <v>0</v>
      </c>
      <c r="F13" s="1500" t="s">
        <v>247</v>
      </c>
      <c r="G13" s="1501"/>
      <c r="H13" s="1502"/>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1</v>
      </c>
      <c r="Y13" s="882" t="str">
        <f>I12</f>
        <v>definitely not complex</v>
      </c>
    </row>
    <row r="14" spans="1:31" ht="15.6">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ht="15.6">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47" t="s">
        <v>0</v>
      </c>
      <c r="E17" s="1248"/>
      <c r="F17" s="1248"/>
      <c r="G17" s="1248"/>
      <c r="H17" s="1248"/>
      <c r="I17" s="1248"/>
      <c r="J17" s="1248"/>
      <c r="K17" s="1248"/>
      <c r="L17" s="1248"/>
      <c r="M17" s="1248"/>
      <c r="N17" s="1248"/>
      <c r="O17" s="1248"/>
      <c r="P17" s="1248"/>
      <c r="Q17" s="1248"/>
      <c r="R17" s="1248"/>
      <c r="S17" s="1249"/>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3" t="s">
        <v>0</v>
      </c>
      <c r="E19" s="1214"/>
      <c r="F19" s="1214"/>
      <c r="G19" s="1214"/>
      <c r="H19" s="1214"/>
      <c r="I19" s="1214"/>
      <c r="J19" s="1214"/>
      <c r="K19" s="1214"/>
      <c r="L19" s="1214"/>
      <c r="M19" s="1214"/>
      <c r="N19" s="1214"/>
      <c r="O19" s="1214"/>
      <c r="P19" s="1214"/>
      <c r="Q19" s="1214"/>
      <c r="R19" s="1215"/>
      <c r="S19" s="201"/>
      <c r="T19" s="563"/>
      <c r="U19" s="161"/>
      <c r="V19" s="161"/>
      <c r="W19" s="161"/>
      <c r="X19" s="50"/>
      <c r="Y19" s="50"/>
      <c r="Z19" s="163"/>
    </row>
    <row r="20" spans="1:26" ht="18">
      <c r="B20" s="563"/>
      <c r="C20" s="371"/>
      <c r="D20" s="372"/>
      <c r="E20" s="372"/>
      <c r="F20" s="1221">
        <f ca="1">TODAY()</f>
        <v>41947</v>
      </c>
      <c r="G20" s="1221"/>
      <c r="H20" s="1221"/>
      <c r="I20" s="1221"/>
      <c r="J20" s="1221"/>
      <c r="K20" s="1221"/>
      <c r="L20" s="1221"/>
      <c r="M20" s="1221"/>
      <c r="N20" s="1221"/>
      <c r="O20" s="1221"/>
      <c r="P20" s="1221"/>
      <c r="Q20" s="1221"/>
      <c r="R20" s="1221"/>
      <c r="S20" s="1222"/>
      <c r="T20" s="563"/>
      <c r="U20" s="161"/>
      <c r="V20" s="161"/>
      <c r="W20" s="161"/>
      <c r="X20" s="147"/>
      <c r="Y20" s="147"/>
      <c r="Z20" s="163"/>
    </row>
    <row r="21" spans="1:26" ht="15.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I9" sqref="I9:R9"/>
    </sheetView>
  </sheetViews>
  <sheetFormatPr defaultColWidth="9" defaultRowHeight="15" outlineLevelCol="1"/>
  <cols>
    <col min="1" max="1" width="13.8984375" style="601" customWidth="1"/>
    <col min="2" max="2" width="2.5" style="248" customWidth="1"/>
    <col min="3" max="3" width="4.19921875" style="379" customWidth="1"/>
    <col min="4" max="4" width="19.3984375" style="379" customWidth="1"/>
    <col min="5" max="5" width="2.59765625" style="379" customWidth="1"/>
    <col min="6" max="7" width="19.19921875" style="379" customWidth="1"/>
    <col min="8" max="8" width="1.59765625" style="379" customWidth="1"/>
    <col min="9" max="18" width="1.8984375" style="379" customWidth="1"/>
    <col min="19" max="19" width="2.5" style="379" customWidth="1"/>
    <col min="20" max="20" width="2.59765625" style="379" customWidth="1"/>
    <col min="21" max="21" width="33.5976562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72" t="str">
        <f>C.2Name</f>
        <v>Oregon State Implementation Plan revision for PM2.5 National Ambient Air Quality Standards</v>
      </c>
      <c r="G2" s="1472"/>
      <c r="H2" s="1472"/>
      <c r="I2" s="1472"/>
      <c r="J2" s="1472"/>
      <c r="K2" s="1472"/>
      <c r="L2" s="1472"/>
      <c r="M2" s="1472"/>
      <c r="N2" s="1472"/>
      <c r="O2" s="1472"/>
      <c r="P2" s="1472"/>
      <c r="Q2" s="1472"/>
      <c r="R2" s="1472"/>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6.5" customHeight="1">
      <c r="B4" s="563"/>
      <c r="C4" s="202"/>
      <c r="D4" s="1508"/>
      <c r="E4" s="1509"/>
      <c r="F4" s="1509"/>
      <c r="G4" s="1509"/>
      <c r="H4" s="1509"/>
      <c r="I4" s="1509"/>
      <c r="J4" s="1509"/>
      <c r="K4" s="1509"/>
      <c r="L4" s="1509"/>
      <c r="M4" s="1509"/>
      <c r="N4" s="1509"/>
      <c r="O4" s="1509"/>
      <c r="P4" s="1509"/>
      <c r="Q4" s="1509"/>
      <c r="R4" s="1510"/>
      <c r="S4" s="292"/>
      <c r="T4" s="563"/>
      <c r="U4" s="114"/>
      <c r="V4" s="114"/>
      <c r="W4" s="161"/>
      <c r="X4" s="55"/>
      <c r="Y4" s="38"/>
      <c r="Z4" s="66"/>
    </row>
    <row r="5" spans="1:43" ht="30.75" customHeight="1">
      <c r="B5" s="563"/>
      <c r="C5" s="398"/>
      <c r="D5" s="1299" t="s">
        <v>352</v>
      </c>
      <c r="E5" s="1299"/>
      <c r="F5" s="1299"/>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21" t="s">
        <v>217</v>
      </c>
      <c r="E7" s="1322"/>
      <c r="F7" s="1323"/>
      <c r="G7" s="1323"/>
      <c r="H7" s="1295"/>
      <c r="I7" s="1295"/>
      <c r="J7" s="1295"/>
      <c r="K7" s="1295"/>
      <c r="L7" s="1295"/>
      <c r="M7" s="1295"/>
      <c r="N7" s="1295"/>
      <c r="O7" s="1295"/>
      <c r="P7" s="1295"/>
      <c r="Q7" s="1295"/>
      <c r="R7" s="1295"/>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4" t="s">
        <v>1057</v>
      </c>
      <c r="E9" s="1514"/>
      <c r="F9" s="1514"/>
      <c r="G9" s="1083"/>
      <c r="H9" s="1083"/>
      <c r="I9" s="1336" t="s">
        <v>37</v>
      </c>
      <c r="J9" s="1337"/>
      <c r="K9" s="1337"/>
      <c r="L9" s="1337"/>
      <c r="M9" s="1337"/>
      <c r="N9" s="1337"/>
      <c r="O9" s="1337"/>
      <c r="P9" s="1337"/>
      <c r="Q9" s="1337"/>
      <c r="R9" s="1338"/>
      <c r="S9" s="201"/>
      <c r="T9" s="563"/>
      <c r="U9" s="385" t="s">
        <v>760</v>
      </c>
      <c r="V9" s="313"/>
      <c r="W9" s="161"/>
      <c r="X9" s="1019" t="str">
        <f>IF(C.10PolicyRisk=1,"low",IF(C.10PolicyRisk=2,"low/medium",IF(C.10PolicyRisk=3,"medium",IF(C.10PolicyRisk=4,"medium/high","high"))))</f>
        <v>low</v>
      </c>
      <c r="Y9" s="147"/>
    </row>
    <row r="10" spans="1:43" ht="15.6">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ht="15.6">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47" t="s">
        <v>0</v>
      </c>
      <c r="E14" s="1248"/>
      <c r="F14" s="1248"/>
      <c r="G14" s="1248"/>
      <c r="H14" s="1248"/>
      <c r="I14" s="1248"/>
      <c r="J14" s="1248"/>
      <c r="K14" s="1248"/>
      <c r="L14" s="1248"/>
      <c r="M14" s="1248"/>
      <c r="N14" s="1248"/>
      <c r="O14" s="1248"/>
      <c r="P14" s="1248"/>
      <c r="Q14" s="1248"/>
      <c r="R14" s="1248"/>
      <c r="S14" s="1249"/>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1" t="s">
        <v>0</v>
      </c>
      <c r="E16" s="1512"/>
      <c r="F16" s="1512"/>
      <c r="G16" s="1512"/>
      <c r="H16" s="1512"/>
      <c r="I16" s="1512"/>
      <c r="J16" s="1512"/>
      <c r="K16" s="1512"/>
      <c r="L16" s="1512"/>
      <c r="M16" s="1512"/>
      <c r="N16" s="1512"/>
      <c r="O16" s="1512"/>
      <c r="P16" s="1512"/>
      <c r="Q16" s="1512"/>
      <c r="R16" s="1513"/>
      <c r="S16" s="201"/>
      <c r="T16" s="563"/>
      <c r="U16" s="161"/>
      <c r="V16" s="161"/>
      <c r="W16" s="161"/>
      <c r="X16" s="50"/>
      <c r="Y16" s="50"/>
      <c r="Z16" s="163"/>
    </row>
    <row r="17" spans="1:26" ht="18">
      <c r="B17" s="563"/>
      <c r="C17" s="371"/>
      <c r="D17" s="372"/>
      <c r="E17" s="372"/>
      <c r="F17" s="1221">
        <f ca="1">TODAY()</f>
        <v>41947</v>
      </c>
      <c r="G17" s="1221"/>
      <c r="H17" s="1221"/>
      <c r="I17" s="1221"/>
      <c r="J17" s="1221"/>
      <c r="K17" s="1221"/>
      <c r="L17" s="1221"/>
      <c r="M17" s="1221"/>
      <c r="N17" s="1221"/>
      <c r="O17" s="1221"/>
      <c r="P17" s="1221"/>
      <c r="Q17" s="1221"/>
      <c r="R17" s="1221"/>
      <c r="S17" s="1222"/>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tabSelected="1" zoomScale="80" zoomScaleNormal="80" workbookViewId="0">
      <selection activeCell="I6" sqref="I6:R6"/>
    </sheetView>
  </sheetViews>
  <sheetFormatPr defaultColWidth="9" defaultRowHeight="15" outlineLevelCol="1"/>
  <cols>
    <col min="1" max="1" width="13.69921875" style="601" customWidth="1"/>
    <col min="2" max="2" width="2.69921875" style="379" customWidth="1"/>
    <col min="3" max="3" width="4.19921875" style="379" customWidth="1"/>
    <col min="4" max="4" width="19.3984375" style="379" customWidth="1"/>
    <col min="5" max="5" width="2.59765625" style="379" customWidth="1"/>
    <col min="6" max="6" width="6.09765625" style="379" customWidth="1"/>
    <col min="7" max="7" width="21.3984375" style="379" customWidth="1"/>
    <col min="8" max="8" width="1.59765625" style="379" customWidth="1"/>
    <col min="9" max="18" width="1.8984375" style="379" customWidth="1"/>
    <col min="19" max="19" width="2.5" style="379" customWidth="1"/>
    <col min="20" max="20" width="2.59765625" style="379" customWidth="1"/>
    <col min="21" max="21" width="30.6992187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72" t="str">
        <f>C.2Name</f>
        <v>Oregon State Implementation Plan revision for PM2.5 National Ambient Air Quality Standards</v>
      </c>
      <c r="G2" s="1472"/>
      <c r="H2" s="1472"/>
      <c r="I2" s="1472"/>
      <c r="J2" s="1472"/>
      <c r="K2" s="1472"/>
      <c r="L2" s="1472"/>
      <c r="M2" s="1472"/>
      <c r="N2" s="1472"/>
      <c r="O2" s="1472"/>
      <c r="P2" s="1472"/>
      <c r="Q2" s="1472"/>
      <c r="R2" s="1472"/>
      <c r="S2" s="200"/>
      <c r="T2" s="563"/>
      <c r="U2" s="424" t="s">
        <v>0</v>
      </c>
      <c r="V2" s="424"/>
      <c r="W2" s="424"/>
      <c r="X2" s="68" t="s">
        <v>0</v>
      </c>
      <c r="Y2" s="68"/>
      <c r="Z2" s="176"/>
    </row>
    <row r="3" spans="1:43" ht="37.5" customHeight="1" thickTop="1">
      <c r="B3" s="563"/>
      <c r="C3" s="202"/>
      <c r="D3" s="1519" t="s">
        <v>398</v>
      </c>
      <c r="E3" s="1519"/>
      <c r="F3" s="1519"/>
      <c r="G3" s="1519"/>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5.75" customHeight="1">
      <c r="A4" s="379"/>
      <c r="B4" s="563"/>
      <c r="C4" s="202"/>
      <c r="D4" s="1515" t="s">
        <v>1066</v>
      </c>
      <c r="E4" s="1516"/>
      <c r="F4" s="1516"/>
      <c r="G4" s="1516"/>
      <c r="H4" s="1516"/>
      <c r="I4" s="1516"/>
      <c r="J4" s="1516"/>
      <c r="K4" s="1516"/>
      <c r="L4" s="1516"/>
      <c r="M4" s="1516"/>
      <c r="N4" s="1516"/>
      <c r="O4" s="1516"/>
      <c r="P4" s="1516"/>
      <c r="Q4" s="1516"/>
      <c r="R4" s="1517"/>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8" t="s">
        <v>403</v>
      </c>
      <c r="E6" s="1518"/>
      <c r="F6" s="1518"/>
      <c r="G6" s="1018"/>
      <c r="H6" s="1020"/>
      <c r="I6" s="1336" t="s">
        <v>37</v>
      </c>
      <c r="J6" s="1337"/>
      <c r="K6" s="1337"/>
      <c r="L6" s="1337"/>
      <c r="M6" s="1337"/>
      <c r="N6" s="1337"/>
      <c r="O6" s="1337"/>
      <c r="P6" s="1337"/>
      <c r="Q6" s="1337"/>
      <c r="R6" s="1338"/>
      <c r="S6" s="201"/>
      <c r="T6" s="563"/>
      <c r="U6" s="385" t="s">
        <v>760</v>
      </c>
      <c r="V6" s="313"/>
      <c r="W6" s="161"/>
      <c r="X6" s="147"/>
      <c r="Y6" s="147"/>
    </row>
    <row r="7" spans="1:43" ht="15.6">
      <c r="B7" s="563"/>
      <c r="C7" s="202"/>
      <c r="D7" s="1518"/>
      <c r="E7" s="1518"/>
      <c r="F7" s="1518"/>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8"/>
      <c r="E8" s="1518"/>
      <c r="F8" s="1518"/>
      <c r="G8" s="690"/>
      <c r="H8" s="216"/>
      <c r="I8" s="216"/>
      <c r="J8" s="216"/>
      <c r="K8" s="216"/>
      <c r="L8" s="216"/>
      <c r="M8" s="216"/>
      <c r="N8" s="216"/>
      <c r="O8" s="216"/>
      <c r="P8" s="216"/>
      <c r="Q8" s="216"/>
      <c r="R8" s="216"/>
      <c r="S8" s="154"/>
      <c r="T8" s="563"/>
      <c r="U8" s="313" t="s">
        <v>761</v>
      </c>
      <c r="V8" s="9"/>
      <c r="W8" s="9"/>
      <c r="X8" s="58"/>
      <c r="Y8" s="147"/>
    </row>
    <row r="9" spans="1:43" ht="15.6">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ht="15.6">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ht="15.6">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9" t="s">
        <v>0</v>
      </c>
      <c r="E13" s="1450"/>
      <c r="F13" s="1450"/>
      <c r="G13" s="1450"/>
      <c r="H13" s="1450"/>
      <c r="I13" s="1450"/>
      <c r="J13" s="1450"/>
      <c r="K13" s="1450"/>
      <c r="L13" s="1450"/>
      <c r="M13" s="1450"/>
      <c r="N13" s="1450"/>
      <c r="O13" s="1450"/>
      <c r="P13" s="1450"/>
      <c r="Q13" s="1450"/>
      <c r="R13" s="1451"/>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33" t="s">
        <v>0</v>
      </c>
      <c r="E15" s="1334"/>
      <c r="F15" s="1334"/>
      <c r="G15" s="1334"/>
      <c r="H15" s="1334"/>
      <c r="I15" s="1334"/>
      <c r="J15" s="1334"/>
      <c r="K15" s="1334"/>
      <c r="L15" s="1334"/>
      <c r="M15" s="1334"/>
      <c r="N15" s="1334"/>
      <c r="O15" s="1334"/>
      <c r="P15" s="1334"/>
      <c r="Q15" s="1334"/>
      <c r="R15" s="1335"/>
      <c r="S15" s="201"/>
      <c r="T15" s="563"/>
      <c r="U15" s="161"/>
      <c r="V15" s="161"/>
      <c r="W15" s="161"/>
      <c r="X15" s="50"/>
      <c r="Y15" s="50"/>
      <c r="Z15" s="163"/>
    </row>
    <row r="16" spans="1:43" ht="18">
      <c r="B16" s="563"/>
      <c r="C16" s="371"/>
      <c r="D16" s="372"/>
      <c r="E16" s="372"/>
      <c r="F16" s="1221">
        <f ca="1">TODAY()</f>
        <v>41947</v>
      </c>
      <c r="G16" s="1221"/>
      <c r="H16" s="1221"/>
      <c r="I16" s="1221"/>
      <c r="J16" s="1221"/>
      <c r="K16" s="1221"/>
      <c r="L16" s="1221"/>
      <c r="M16" s="1221"/>
      <c r="N16" s="1221"/>
      <c r="O16" s="1221"/>
      <c r="P16" s="1221"/>
      <c r="Q16" s="1221"/>
      <c r="R16" s="1221"/>
      <c r="S16" s="1222"/>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I6" sqref="I6:R6"/>
    </sheetView>
  </sheetViews>
  <sheetFormatPr defaultColWidth="9" defaultRowHeight="15" outlineLevelCol="1"/>
  <cols>
    <col min="1" max="1" width="13.8984375" style="601" customWidth="1"/>
    <col min="2" max="2" width="2.59765625" style="379" customWidth="1"/>
    <col min="3" max="3" width="4.19921875" style="379" customWidth="1"/>
    <col min="4" max="4" width="19.3984375" style="379" customWidth="1"/>
    <col min="5" max="5" width="2.59765625" style="379" customWidth="1"/>
    <col min="6" max="7" width="21.59765625" style="379" customWidth="1"/>
    <col min="8" max="8" width="1.59765625" style="379" customWidth="1"/>
    <col min="9" max="18" width="1.8984375" style="379" customWidth="1"/>
    <col min="19" max="19" width="2.5" style="379" customWidth="1"/>
    <col min="20" max="20" width="2.59765625" style="379" customWidth="1"/>
    <col min="21" max="21" width="31.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1" t="s">
        <v>329</v>
      </c>
      <c r="E2" s="1521"/>
      <c r="F2" s="1472" t="str">
        <f>C.2Name</f>
        <v>Oregon State Implementation Plan revision for PM2.5 National Ambient Air Quality Standards</v>
      </c>
      <c r="G2" s="1472"/>
      <c r="H2" s="1472"/>
      <c r="I2" s="1472"/>
      <c r="J2" s="1472"/>
      <c r="K2" s="1472"/>
      <c r="L2" s="1472"/>
      <c r="M2" s="1472"/>
      <c r="N2" s="1472"/>
      <c r="O2" s="1472"/>
      <c r="P2" s="1472"/>
      <c r="Q2" s="1472"/>
      <c r="R2" s="1472"/>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20" t="s">
        <v>1071</v>
      </c>
      <c r="E4" s="1520"/>
      <c r="F4" s="1520"/>
      <c r="G4" s="1520"/>
      <c r="H4" s="1520"/>
      <c r="I4" s="1520"/>
      <c r="J4" s="1520"/>
      <c r="K4" s="1520"/>
      <c r="L4" s="1520"/>
      <c r="M4" s="1520"/>
      <c r="N4" s="1520"/>
      <c r="O4" s="1520"/>
      <c r="P4" s="1520"/>
      <c r="Q4" s="1520"/>
      <c r="R4" s="1520"/>
      <c r="S4" s="771"/>
      <c r="T4" s="563"/>
      <c r="U4" s="1506" t="s">
        <v>0</v>
      </c>
      <c r="V4" s="1506"/>
      <c r="W4" s="1506"/>
      <c r="X4" s="406"/>
      <c r="Y4" s="407" t="s">
        <v>0</v>
      </c>
      <c r="Z4" s="405"/>
      <c r="AA4" s="405"/>
      <c r="AB4" s="405"/>
      <c r="AC4" s="405"/>
      <c r="AD4" s="143"/>
      <c r="AE4" s="143"/>
      <c r="AF4" s="1507" t="s">
        <v>0</v>
      </c>
      <c r="AG4" s="1507"/>
      <c r="AH4" s="1507"/>
      <c r="AI4" s="1507"/>
      <c r="AJ4" s="1507"/>
      <c r="AK4" s="1507"/>
      <c r="AL4" s="1507"/>
      <c r="AM4" s="1507"/>
      <c r="AN4" s="1507"/>
      <c r="AO4" s="1507"/>
      <c r="AP4" s="1507"/>
      <c r="AQ4" s="1507"/>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6" t="s">
        <v>37</v>
      </c>
      <c r="J6" s="1337"/>
      <c r="K6" s="1337"/>
      <c r="L6" s="1337"/>
      <c r="M6" s="1337"/>
      <c r="N6" s="1337"/>
      <c r="O6" s="1337"/>
      <c r="P6" s="1337"/>
      <c r="Q6" s="1337"/>
      <c r="R6" s="1338"/>
      <c r="S6" s="201"/>
      <c r="T6" s="563"/>
      <c r="U6" s="385" t="s">
        <v>760</v>
      </c>
      <c r="V6" s="313"/>
      <c r="W6" s="161"/>
      <c r="X6" s="147"/>
      <c r="Y6" s="147"/>
    </row>
    <row r="7" spans="1:43" ht="18">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47" t="s">
        <v>0</v>
      </c>
      <c r="E12" s="1248"/>
      <c r="F12" s="1248"/>
      <c r="G12" s="1248"/>
      <c r="H12" s="1248"/>
      <c r="I12" s="1248"/>
      <c r="J12" s="1248"/>
      <c r="K12" s="1248"/>
      <c r="L12" s="1248"/>
      <c r="M12" s="1248"/>
      <c r="N12" s="1248"/>
      <c r="O12" s="1248"/>
      <c r="P12" s="1248"/>
      <c r="Q12" s="1248"/>
      <c r="R12" s="1249"/>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33" t="s">
        <v>0</v>
      </c>
      <c r="E14" s="1334"/>
      <c r="F14" s="1334"/>
      <c r="G14" s="1334"/>
      <c r="H14" s="1334"/>
      <c r="I14" s="1334"/>
      <c r="J14" s="1334"/>
      <c r="K14" s="1334"/>
      <c r="L14" s="1334"/>
      <c r="M14" s="1334"/>
      <c r="N14" s="1334"/>
      <c r="O14" s="1334"/>
      <c r="P14" s="1334"/>
      <c r="Q14" s="1334"/>
      <c r="R14" s="1335"/>
      <c r="S14" s="201"/>
      <c r="T14" s="563"/>
      <c r="U14" s="161"/>
      <c r="V14" s="161"/>
      <c r="W14" s="161"/>
      <c r="X14" s="146"/>
      <c r="Y14" s="146"/>
      <c r="Z14" s="163"/>
    </row>
    <row r="15" spans="1:43" ht="31.5" customHeight="1">
      <c r="A15" s="1078" t="s">
        <v>251</v>
      </c>
      <c r="B15" s="563"/>
      <c r="C15" s="371"/>
      <c r="D15" s="372"/>
      <c r="E15" s="372"/>
      <c r="F15" s="1221">
        <f ca="1">TODAY()</f>
        <v>41947</v>
      </c>
      <c r="G15" s="1221"/>
      <c r="H15" s="1221"/>
      <c r="I15" s="1221"/>
      <c r="J15" s="1221"/>
      <c r="K15" s="1221"/>
      <c r="L15" s="1221"/>
      <c r="M15" s="1221"/>
      <c r="N15" s="1221"/>
      <c r="O15" s="1221"/>
      <c r="P15" s="1221"/>
      <c r="Q15" s="1221"/>
      <c r="R15" s="1221"/>
      <c r="S15" s="1222"/>
      <c r="T15" s="563"/>
      <c r="U15" s="161"/>
      <c r="V15" s="161"/>
      <c r="W15" s="161"/>
      <c r="X15" s="50"/>
      <c r="Y15" s="50"/>
      <c r="Z15" s="163"/>
    </row>
    <row r="16" spans="1:43" ht="15.6">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3.8"/>
  <cols>
    <col min="1" max="1" width="8.69921875" style="1066" customWidth="1"/>
    <col min="2" max="2" width="9.3984375" style="1067" customWidth="1"/>
    <col min="3" max="3" width="9" style="1068"/>
    <col min="4" max="4" width="10.3984375" customWidth="1"/>
    <col min="5" max="5" width="11.3984375" customWidth="1"/>
    <col min="6" max="6" width="8.09765625" style="1065" customWidth="1"/>
    <col min="7" max="7" width="26.19921875" style="1075" customWidth="1"/>
    <col min="8" max="8" width="23.8984375" style="1075" customWidth="1"/>
    <col min="9" max="9" width="8.5" style="1068" customWidth="1"/>
    <col min="10" max="10" width="5.59765625" customWidth="1"/>
    <col min="11" max="11" width="5.3984375" style="1063" customWidth="1"/>
    <col min="12" max="20" width="3.69921875" customWidth="1"/>
    <col min="21" max="30" width="4.69921875" customWidth="1"/>
    <col min="31" max="34" width="4.69921875" style="1065" customWidth="1"/>
  </cols>
  <sheetData>
    <row r="1" spans="1:34" s="1063" customFormat="1" ht="20.399999999999999">
      <c r="A1" s="1152" t="s">
        <v>551</v>
      </c>
      <c r="B1" s="1152"/>
      <c r="C1" s="1152"/>
      <c r="D1" s="1152"/>
      <c r="E1" s="1152"/>
      <c r="F1" s="1152"/>
      <c r="G1" s="1152"/>
      <c r="H1" s="1076"/>
      <c r="I1" s="1151" t="s">
        <v>550</v>
      </c>
      <c r="J1" s="1151"/>
      <c r="K1" s="1151"/>
      <c r="L1" s="1151"/>
      <c r="M1" s="1151"/>
      <c r="N1" s="1151"/>
      <c r="O1" s="1151"/>
      <c r="P1" s="1151"/>
      <c r="Q1" s="1151"/>
      <c r="R1" s="1151"/>
      <c r="S1" s="1151"/>
      <c r="T1" s="1151"/>
      <c r="U1" s="1151"/>
      <c r="V1" s="1151"/>
      <c r="W1" s="1151"/>
      <c r="X1" s="1151"/>
      <c r="Y1" s="1151"/>
      <c r="Z1" s="1151"/>
      <c r="AA1" s="1151"/>
      <c r="AB1" s="1151"/>
      <c r="AC1" s="1151"/>
      <c r="AD1" s="1151"/>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7.6">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7.6">
      <c r="A5" s="1066">
        <v>1</v>
      </c>
      <c r="B5" s="1067">
        <v>3</v>
      </c>
      <c r="C5" s="1068">
        <v>41148</v>
      </c>
      <c r="D5" s="1064" t="s">
        <v>583</v>
      </c>
      <c r="E5" s="1064" t="s">
        <v>584</v>
      </c>
      <c r="F5" s="1065" t="s">
        <v>585</v>
      </c>
      <c r="G5" s="1075" t="s">
        <v>589</v>
      </c>
      <c r="H5" s="1075" t="s">
        <v>590</v>
      </c>
      <c r="I5" s="1068">
        <f>Table1[[#This Row],[Date]]</f>
        <v>41148</v>
      </c>
      <c r="J5" s="46"/>
      <c r="K5" s="46"/>
    </row>
    <row r="6" spans="1:34" ht="27.6">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7.6">
      <c r="A9" s="1066">
        <v>1</v>
      </c>
      <c r="B9" s="1067">
        <v>7</v>
      </c>
      <c r="C9" s="1068">
        <v>41148</v>
      </c>
      <c r="D9" s="1064" t="s">
        <v>583</v>
      </c>
      <c r="E9" s="1064" t="s">
        <v>367</v>
      </c>
      <c r="F9" s="1065" t="s">
        <v>591</v>
      </c>
      <c r="G9" s="1075" t="s">
        <v>589</v>
      </c>
      <c r="H9" s="1075" t="s">
        <v>590</v>
      </c>
      <c r="I9" s="1068">
        <f>Table1[[#This Row],[Date]]</f>
        <v>41148</v>
      </c>
      <c r="J9" s="46"/>
      <c r="K9" s="46"/>
    </row>
    <row r="10" spans="1:34" ht="27.6">
      <c r="A10" s="1066">
        <v>1</v>
      </c>
      <c r="B10" s="1067">
        <v>8</v>
      </c>
      <c r="C10" s="1068">
        <v>41148</v>
      </c>
      <c r="D10" s="1064" t="s">
        <v>583</v>
      </c>
      <c r="E10" s="1064" t="s">
        <v>367</v>
      </c>
      <c r="F10" s="1065" t="s">
        <v>585</v>
      </c>
      <c r="G10" s="1075" t="s">
        <v>589</v>
      </c>
      <c r="H10" s="1075" t="s">
        <v>590</v>
      </c>
      <c r="I10" s="1068">
        <f>Table1[[#This Row],[Date]]</f>
        <v>41148</v>
      </c>
      <c r="J10" s="46"/>
      <c r="K10" s="46"/>
    </row>
    <row r="11" spans="1:34" ht="27.6">
      <c r="A11" s="1066">
        <v>1</v>
      </c>
      <c r="B11" s="1067">
        <v>9</v>
      </c>
      <c r="C11" s="1068">
        <v>41148</v>
      </c>
      <c r="D11" s="1064" t="s">
        <v>583</v>
      </c>
      <c r="E11" s="1064" t="s">
        <v>368</v>
      </c>
      <c r="F11" s="1065" t="s">
        <v>585</v>
      </c>
      <c r="G11" s="1075" t="s">
        <v>589</v>
      </c>
      <c r="H11" s="1075" t="s">
        <v>590</v>
      </c>
      <c r="I11" s="1068">
        <f>Table1[[#This Row],[Date]]</f>
        <v>41148</v>
      </c>
      <c r="J11" s="46"/>
      <c r="K11" s="46"/>
    </row>
    <row r="12" spans="1:34" ht="27.6">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c r="B30" s="1067">
        <v>28</v>
      </c>
      <c r="C30" s="1068">
        <v>41148</v>
      </c>
      <c r="D30" s="1064" t="s">
        <v>583</v>
      </c>
      <c r="E30" s="1064" t="s">
        <v>368</v>
      </c>
      <c r="F30" s="1065" t="s">
        <v>616</v>
      </c>
      <c r="G30" s="1075" t="s">
        <v>617</v>
      </c>
      <c r="H30" s="1075" t="s">
        <v>618</v>
      </c>
      <c r="I30" s="1068">
        <f>Table1[[#This Row],[Date]]</f>
        <v>41148</v>
      </c>
      <c r="J30" s="46"/>
      <c r="K30" s="46"/>
    </row>
    <row r="31" spans="2:11" ht="27.6">
      <c r="B31" s="1067">
        <v>29</v>
      </c>
      <c r="C31" s="1068">
        <v>41148</v>
      </c>
      <c r="D31" s="1064" t="s">
        <v>583</v>
      </c>
      <c r="E31" s="1064" t="s">
        <v>368</v>
      </c>
      <c r="F31" s="1065" t="s">
        <v>619</v>
      </c>
      <c r="G31" s="1075" t="s">
        <v>586</v>
      </c>
      <c r="H31" s="1075" t="s">
        <v>620</v>
      </c>
      <c r="I31" s="1068">
        <f>Table1[[#This Row],[Date]]</f>
        <v>41148</v>
      </c>
      <c r="J31" s="46"/>
      <c r="K31" s="46"/>
    </row>
    <row r="32" spans="2:11" ht="27.6">
      <c r="B32" s="1067">
        <v>30</v>
      </c>
      <c r="C32" s="1068">
        <v>41148</v>
      </c>
      <c r="D32" s="1064" t="s">
        <v>583</v>
      </c>
      <c r="E32" s="1064" t="s">
        <v>368</v>
      </c>
      <c r="F32" s="1065" t="s">
        <v>621</v>
      </c>
      <c r="G32" s="1075" t="s">
        <v>622</v>
      </c>
      <c r="H32" s="1075" t="s">
        <v>623</v>
      </c>
      <c r="I32" s="1068">
        <f>Table1[[#This Row],[Date]]</f>
        <v>41148</v>
      </c>
      <c r="J32" s="46"/>
      <c r="K32" s="46"/>
    </row>
    <row r="33" spans="2:11" ht="41.4">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7.6">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1.4">
      <c r="B56" s="1067">
        <v>54</v>
      </c>
      <c r="C56" s="1068">
        <v>41149</v>
      </c>
      <c r="D56" s="1080" t="s">
        <v>583</v>
      </c>
      <c r="E56" s="1080" t="s">
        <v>584</v>
      </c>
      <c r="F56" s="1065" t="s">
        <v>656</v>
      </c>
      <c r="G56" s="1075" t="s">
        <v>658</v>
      </c>
      <c r="H56" s="1075" t="s">
        <v>659</v>
      </c>
      <c r="I56" s="1068">
        <f>Table1[[#This Row],[Date]]</f>
        <v>41149</v>
      </c>
      <c r="J56" s="46"/>
      <c r="K56" s="46"/>
    </row>
    <row r="57" spans="2:11" ht="41.4">
      <c r="B57" s="1067">
        <v>55</v>
      </c>
      <c r="C57" s="1068">
        <v>41149</v>
      </c>
      <c r="D57" s="1080" t="s">
        <v>583</v>
      </c>
      <c r="E57" s="1080" t="s">
        <v>584</v>
      </c>
      <c r="F57" s="1065" t="s">
        <v>657</v>
      </c>
      <c r="G57" s="1075" t="s">
        <v>658</v>
      </c>
      <c r="H57" s="1075" t="s">
        <v>659</v>
      </c>
      <c r="I57" s="1068">
        <f>Table1[[#This Row],[Date]]</f>
        <v>41149</v>
      </c>
      <c r="J57" s="46"/>
      <c r="K57" s="46"/>
    </row>
    <row r="58" spans="2:11" ht="27.6">
      <c r="B58" s="1067">
        <v>56</v>
      </c>
      <c r="C58" s="1068">
        <v>41149</v>
      </c>
      <c r="D58" s="1080" t="s">
        <v>583</v>
      </c>
      <c r="E58" s="1080" t="s">
        <v>584</v>
      </c>
      <c r="F58" s="1065" t="s">
        <v>660</v>
      </c>
      <c r="G58" s="1075" t="s">
        <v>665</v>
      </c>
      <c r="H58" s="1075" t="s">
        <v>666</v>
      </c>
      <c r="I58" s="1068">
        <f>Table1[[#This Row],[Date]]</f>
        <v>41149</v>
      </c>
      <c r="J58" s="46"/>
      <c r="K58" s="46"/>
    </row>
    <row r="59" spans="2:11" ht="27.6">
      <c r="B59" s="1067">
        <v>57</v>
      </c>
      <c r="C59" s="1068">
        <v>41149</v>
      </c>
      <c r="D59" s="1080" t="s">
        <v>583</v>
      </c>
      <c r="E59" s="1080" t="s">
        <v>584</v>
      </c>
      <c r="F59" s="1065" t="s">
        <v>661</v>
      </c>
      <c r="G59" s="1075" t="s">
        <v>665</v>
      </c>
      <c r="H59" s="1075" t="s">
        <v>666</v>
      </c>
      <c r="I59" s="1068">
        <f>Table1[[#This Row],[Date]]</f>
        <v>41149</v>
      </c>
      <c r="J59" s="46"/>
      <c r="K59" s="46"/>
    </row>
    <row r="60" spans="2:11" ht="27.6">
      <c r="B60" s="1067">
        <v>58</v>
      </c>
      <c r="C60" s="1068">
        <v>41149</v>
      </c>
      <c r="D60" s="1080" t="s">
        <v>583</v>
      </c>
      <c r="E60" s="1080" t="s">
        <v>584</v>
      </c>
      <c r="F60" s="1065" t="s">
        <v>662</v>
      </c>
      <c r="G60" s="1075" t="s">
        <v>665</v>
      </c>
      <c r="H60" s="1075" t="s">
        <v>667</v>
      </c>
      <c r="I60" s="1068">
        <f>Table1[[#This Row],[Date]]</f>
        <v>41149</v>
      </c>
      <c r="J60" s="46"/>
      <c r="K60" s="46"/>
    </row>
    <row r="61" spans="2:11" ht="27.6">
      <c r="B61" s="1067">
        <v>59</v>
      </c>
      <c r="C61" s="1068">
        <v>41149</v>
      </c>
      <c r="D61" s="1080" t="s">
        <v>583</v>
      </c>
      <c r="E61" s="1080" t="s">
        <v>584</v>
      </c>
      <c r="F61" s="1065" t="s">
        <v>663</v>
      </c>
      <c r="G61" s="1075" t="s">
        <v>665</v>
      </c>
      <c r="H61" s="1075" t="s">
        <v>667</v>
      </c>
      <c r="I61" s="1068">
        <f>Table1[[#This Row],[Date]]</f>
        <v>41149</v>
      </c>
      <c r="J61" s="46"/>
      <c r="K61" s="46"/>
    </row>
    <row r="62" spans="2:11" ht="41.4">
      <c r="B62" s="1067">
        <v>60</v>
      </c>
      <c r="C62" s="1068">
        <v>41149</v>
      </c>
      <c r="D62" s="1080" t="s">
        <v>583</v>
      </c>
      <c r="E62" s="1080" t="s">
        <v>584</v>
      </c>
      <c r="F62" s="1065" t="s">
        <v>664</v>
      </c>
      <c r="G62" s="1075" t="s">
        <v>668</v>
      </c>
      <c r="H62" s="1075" t="s">
        <v>669</v>
      </c>
      <c r="I62" s="1068">
        <f>Table1[[#This Row],[Date]]</f>
        <v>41149</v>
      </c>
      <c r="J62" s="46"/>
      <c r="K62" s="46"/>
    </row>
    <row r="63" spans="2:11" ht="27.6">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7.6">
      <c r="B65" s="1067">
        <v>63</v>
      </c>
      <c r="C65" s="1068">
        <v>41149</v>
      </c>
      <c r="D65" s="1080" t="s">
        <v>583</v>
      </c>
      <c r="E65" s="1080" t="s">
        <v>367</v>
      </c>
      <c r="F65" s="1065" t="s">
        <v>675</v>
      </c>
      <c r="G65" s="1075" t="s">
        <v>671</v>
      </c>
      <c r="H65" s="1075" t="s">
        <v>672</v>
      </c>
      <c r="I65" s="1068">
        <f>Table1[[#This Row],[Date]]</f>
        <v>41149</v>
      </c>
      <c r="J65" s="46"/>
      <c r="K65" s="46"/>
    </row>
    <row r="66" spans="2:11" ht="27.6">
      <c r="B66" s="1067">
        <v>64</v>
      </c>
      <c r="C66" s="1068">
        <v>41149</v>
      </c>
      <c r="D66" s="1080" t="s">
        <v>583</v>
      </c>
      <c r="E66" s="1080" t="s">
        <v>367</v>
      </c>
      <c r="F66" s="1065" t="s">
        <v>676</v>
      </c>
      <c r="G66" s="1075" t="s">
        <v>671</v>
      </c>
      <c r="H66" s="1075" t="s">
        <v>672</v>
      </c>
      <c r="I66" s="1068">
        <f>Table1[[#This Row],[Date]]</f>
        <v>41149</v>
      </c>
      <c r="J66" s="46"/>
      <c r="K66" s="46"/>
    </row>
    <row r="67" spans="2:11" ht="27.6">
      <c r="B67" s="1067">
        <v>65</v>
      </c>
      <c r="C67" s="1068">
        <v>41149</v>
      </c>
      <c r="D67" s="1080" t="s">
        <v>583</v>
      </c>
      <c r="E67" s="1080" t="s">
        <v>367</v>
      </c>
      <c r="F67" s="1065" t="s">
        <v>677</v>
      </c>
      <c r="G67" s="1075" t="s">
        <v>671</v>
      </c>
      <c r="H67" s="1075" t="s">
        <v>672</v>
      </c>
      <c r="I67" s="1068">
        <f>Table1[[#This Row],[Date]]</f>
        <v>41149</v>
      </c>
      <c r="J67" s="46"/>
      <c r="K67" s="46"/>
    </row>
    <row r="68" spans="2:11" ht="27.6">
      <c r="B68" s="1067">
        <v>66</v>
      </c>
      <c r="C68" s="1068">
        <v>41149</v>
      </c>
      <c r="D68" s="1080" t="s">
        <v>583</v>
      </c>
      <c r="E68" s="1080" t="s">
        <v>367</v>
      </c>
      <c r="F68" s="1065" t="s">
        <v>678</v>
      </c>
      <c r="G68" s="1075" t="s">
        <v>671</v>
      </c>
      <c r="H68" s="1075" t="s">
        <v>672</v>
      </c>
      <c r="I68" s="1068">
        <f>Table1[[#This Row],[Date]]</f>
        <v>41149</v>
      </c>
      <c r="J68" s="46"/>
      <c r="K68" s="46"/>
    </row>
    <row r="69" spans="2:11" ht="27.6">
      <c r="B69" s="1067">
        <v>67</v>
      </c>
      <c r="C69" s="1068">
        <v>41149</v>
      </c>
      <c r="D69" s="1080" t="s">
        <v>583</v>
      </c>
      <c r="E69" s="1080" t="s">
        <v>367</v>
      </c>
      <c r="F69" s="1065" t="s">
        <v>679</v>
      </c>
      <c r="G69" s="1075" t="s">
        <v>671</v>
      </c>
      <c r="H69" s="1075" t="s">
        <v>672</v>
      </c>
      <c r="I69" s="1068">
        <f>Table1[[#This Row],[Date]]</f>
        <v>41149</v>
      </c>
      <c r="J69" s="46"/>
      <c r="K69" s="46"/>
    </row>
    <row r="70" spans="2:11" ht="27.6">
      <c r="B70" s="1067">
        <v>68</v>
      </c>
      <c r="C70" s="1068">
        <v>41149</v>
      </c>
      <c r="D70" s="1080" t="s">
        <v>583</v>
      </c>
      <c r="E70" s="1080" t="s">
        <v>367</v>
      </c>
      <c r="F70" s="1065" t="s">
        <v>680</v>
      </c>
      <c r="G70" s="1075" t="s">
        <v>671</v>
      </c>
      <c r="H70" s="1075" t="s">
        <v>672</v>
      </c>
      <c r="I70" s="1068">
        <f>Table1[[#This Row],[Date]]</f>
        <v>41149</v>
      </c>
      <c r="J70" s="46"/>
      <c r="K70" s="46"/>
    </row>
    <row r="71" spans="2:11" ht="27.6">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7.6">
      <c r="B79" s="1067">
        <v>77</v>
      </c>
      <c r="C79" s="1068">
        <v>41149</v>
      </c>
      <c r="D79" s="1080" t="s">
        <v>583</v>
      </c>
      <c r="E79" s="1080" t="s">
        <v>367</v>
      </c>
      <c r="F79" s="1065" t="s">
        <v>682</v>
      </c>
      <c r="G79" s="1075" t="s">
        <v>683</v>
      </c>
      <c r="H79" s="1075" t="s">
        <v>684</v>
      </c>
      <c r="I79" s="1068">
        <f>Table1[[#This Row],[Date]]</f>
        <v>41149</v>
      </c>
      <c r="J79" s="46"/>
      <c r="K79" s="46"/>
    </row>
    <row r="80" spans="2:11" ht="27.6">
      <c r="B80" s="1067">
        <v>78</v>
      </c>
      <c r="C80" s="1068">
        <v>41149</v>
      </c>
      <c r="D80" s="1080" t="s">
        <v>583</v>
      </c>
      <c r="E80" s="1080" t="s">
        <v>367</v>
      </c>
      <c r="F80" s="1065" t="s">
        <v>685</v>
      </c>
      <c r="G80" s="1075" t="s">
        <v>683</v>
      </c>
      <c r="H80" s="1075" t="s">
        <v>684</v>
      </c>
      <c r="I80" s="1068">
        <f>Table1[[#This Row],[Date]]</f>
        <v>41149</v>
      </c>
      <c r="J80" s="46"/>
      <c r="K80" s="46"/>
    </row>
    <row r="81" spans="2:11" ht="41.4">
      <c r="B81" s="1067">
        <v>79</v>
      </c>
      <c r="C81" s="1068">
        <v>41149</v>
      </c>
      <c r="D81" s="1080" t="s">
        <v>583</v>
      </c>
      <c r="E81" s="1080" t="s">
        <v>367</v>
      </c>
      <c r="F81" s="1065" t="s">
        <v>686</v>
      </c>
      <c r="G81" s="1075" t="s">
        <v>687</v>
      </c>
      <c r="H81" s="1075" t="s">
        <v>688</v>
      </c>
      <c r="I81" s="1068">
        <f>Table1[[#This Row],[Date]]</f>
        <v>41149</v>
      </c>
      <c r="J81" s="46"/>
      <c r="K81" s="46"/>
    </row>
    <row r="82" spans="2:11" ht="41.4">
      <c r="B82" s="1067">
        <v>80</v>
      </c>
      <c r="C82" s="1068">
        <v>41149</v>
      </c>
      <c r="D82" s="1080" t="s">
        <v>583</v>
      </c>
      <c r="E82" s="1080" t="s">
        <v>367</v>
      </c>
      <c r="F82" s="1065" t="s">
        <v>689</v>
      </c>
      <c r="G82" s="1075" t="s">
        <v>691</v>
      </c>
      <c r="H82" s="1075" t="s">
        <v>692</v>
      </c>
      <c r="I82" s="1068">
        <f>Table1[[#This Row],[Date]]</f>
        <v>41149</v>
      </c>
      <c r="J82" s="46"/>
      <c r="K82" s="46"/>
    </row>
    <row r="83" spans="2:11" ht="41.4">
      <c r="B83" s="1067">
        <v>81</v>
      </c>
      <c r="C83" s="1068">
        <v>41149</v>
      </c>
      <c r="D83" s="1080" t="s">
        <v>583</v>
      </c>
      <c r="E83" s="1080" t="s">
        <v>367</v>
      </c>
      <c r="F83" s="1065" t="s">
        <v>690</v>
      </c>
      <c r="G83" s="1075" t="s">
        <v>691</v>
      </c>
      <c r="H83" s="1075" t="s">
        <v>692</v>
      </c>
      <c r="I83" s="1068">
        <f>Table1[[#This Row],[Date]]</f>
        <v>41149</v>
      </c>
      <c r="J83" s="46"/>
      <c r="K83" s="46"/>
    </row>
    <row r="84" spans="2:11" ht="27.6">
      <c r="B84" s="1067">
        <v>82</v>
      </c>
      <c r="C84" s="1068">
        <v>41149</v>
      </c>
      <c r="D84" s="1080" t="s">
        <v>583</v>
      </c>
      <c r="E84" s="1080" t="s">
        <v>367</v>
      </c>
      <c r="F84" s="1065" t="s">
        <v>689</v>
      </c>
      <c r="G84" s="1075" t="s">
        <v>693</v>
      </c>
      <c r="H84" s="1075" t="s">
        <v>694</v>
      </c>
      <c r="I84" s="1068">
        <f>Table1[[#This Row],[Date]]</f>
        <v>41149</v>
      </c>
      <c r="J84" s="46"/>
      <c r="K84" s="46"/>
    </row>
    <row r="85" spans="2:11" ht="27.6">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7.6">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7.6">
      <c r="B91" s="1067">
        <v>89</v>
      </c>
      <c r="C91" s="1068">
        <v>41149</v>
      </c>
      <c r="D91" s="1080" t="s">
        <v>583</v>
      </c>
      <c r="E91" s="1080" t="s">
        <v>368</v>
      </c>
      <c r="F91" s="1065" t="s">
        <v>707</v>
      </c>
      <c r="G91" s="1075" t="s">
        <v>708</v>
      </c>
      <c r="H91" s="1075" t="s">
        <v>709</v>
      </c>
      <c r="I91" s="1068">
        <f>Table1[[#This Row],[Date]]</f>
        <v>41149</v>
      </c>
      <c r="J91" s="46"/>
      <c r="K91" s="46"/>
    </row>
    <row r="92" spans="2:11" ht="27.6">
      <c r="B92" s="1067">
        <v>90</v>
      </c>
      <c r="C92" s="1068">
        <v>41149</v>
      </c>
      <c r="D92" s="1080" t="s">
        <v>583</v>
      </c>
      <c r="E92" s="1080" t="s">
        <v>368</v>
      </c>
      <c r="F92" s="1065" t="s">
        <v>710</v>
      </c>
      <c r="G92" s="1075" t="s">
        <v>711</v>
      </c>
      <c r="H92" s="1075" t="s">
        <v>712</v>
      </c>
      <c r="I92" s="1068">
        <f>Table1[[#This Row],[Date]]</f>
        <v>41149</v>
      </c>
      <c r="J92" s="46"/>
      <c r="K92" s="46"/>
    </row>
    <row r="93" spans="2:11" ht="41.4">
      <c r="B93" s="1067">
        <v>91</v>
      </c>
      <c r="C93" s="1068">
        <v>41149</v>
      </c>
      <c r="D93" s="1080" t="s">
        <v>583</v>
      </c>
      <c r="E93" s="1080" t="s">
        <v>368</v>
      </c>
      <c r="F93" s="1065" t="s">
        <v>713</v>
      </c>
      <c r="G93" s="1075" t="s">
        <v>714</v>
      </c>
      <c r="H93" s="1075" t="s">
        <v>715</v>
      </c>
      <c r="I93" s="1068">
        <f>Table1[[#This Row],[Date]]</f>
        <v>41149</v>
      </c>
      <c r="J93" s="46"/>
      <c r="K93" s="46"/>
    </row>
    <row r="94" spans="2:11" ht="41.4">
      <c r="B94" s="1067">
        <v>92</v>
      </c>
      <c r="C94" s="1068">
        <v>41149</v>
      </c>
      <c r="D94" s="1080" t="s">
        <v>583</v>
      </c>
      <c r="E94" s="1080" t="s">
        <v>368</v>
      </c>
      <c r="F94" s="1065" t="s">
        <v>656</v>
      </c>
      <c r="G94" s="1075" t="s">
        <v>714</v>
      </c>
      <c r="H94" s="1075" t="s">
        <v>715</v>
      </c>
      <c r="I94" s="1068">
        <f>Table1[[#This Row],[Date]]</f>
        <v>41149</v>
      </c>
      <c r="J94" s="46"/>
      <c r="K94" s="46"/>
    </row>
    <row r="95" spans="2:11" ht="27.6">
      <c r="B95" s="1067">
        <v>93</v>
      </c>
      <c r="C95" s="1068">
        <v>41149</v>
      </c>
      <c r="D95" s="1080" t="s">
        <v>583</v>
      </c>
      <c r="E95" s="1080" t="s">
        <v>368</v>
      </c>
      <c r="F95" s="1065" t="s">
        <v>716</v>
      </c>
      <c r="G95" s="1075" t="s">
        <v>726</v>
      </c>
      <c r="H95" s="1075" t="s">
        <v>727</v>
      </c>
      <c r="I95" s="1068">
        <f>Table1[[#This Row],[Date]]</f>
        <v>41149</v>
      </c>
      <c r="J95" s="46"/>
      <c r="K95" s="46"/>
    </row>
    <row r="96" spans="2:11" ht="27.6">
      <c r="B96" s="1067">
        <v>94</v>
      </c>
      <c r="C96" s="1068">
        <v>41149</v>
      </c>
      <c r="D96" s="1080" t="s">
        <v>583</v>
      </c>
      <c r="E96" s="1080" t="s">
        <v>368</v>
      </c>
      <c r="F96" s="1065" t="s">
        <v>717</v>
      </c>
      <c r="G96" s="1075" t="s">
        <v>726</v>
      </c>
      <c r="H96" s="1075" t="s">
        <v>728</v>
      </c>
      <c r="I96" s="1068">
        <f>Table1[[#This Row],[Date]]</f>
        <v>41149</v>
      </c>
      <c r="J96" s="46"/>
      <c r="K96" s="46"/>
    </row>
    <row r="97" spans="2:30" ht="27.6">
      <c r="B97" s="1067">
        <v>95</v>
      </c>
      <c r="C97" s="1068">
        <v>41149</v>
      </c>
      <c r="D97" s="1080" t="s">
        <v>583</v>
      </c>
      <c r="E97" s="1080" t="s">
        <v>368</v>
      </c>
      <c r="F97" s="1065" t="s">
        <v>718</v>
      </c>
      <c r="G97" s="1075" t="s">
        <v>726</v>
      </c>
      <c r="H97" s="1075" t="s">
        <v>729</v>
      </c>
      <c r="I97" s="1068">
        <f>Table1[[#This Row],[Date]]</f>
        <v>41149</v>
      </c>
      <c r="J97" s="46"/>
      <c r="K97" s="46"/>
    </row>
    <row r="98" spans="2:30" ht="27.6">
      <c r="B98" s="1067">
        <v>96</v>
      </c>
      <c r="C98" s="1068">
        <v>41149</v>
      </c>
      <c r="D98" s="1080" t="s">
        <v>583</v>
      </c>
      <c r="E98" s="1080" t="s">
        <v>368</v>
      </c>
      <c r="F98" s="1065" t="s">
        <v>719</v>
      </c>
      <c r="G98" s="1075" t="s">
        <v>726</v>
      </c>
      <c r="H98" s="1075" t="s">
        <v>730</v>
      </c>
      <c r="I98" s="1068">
        <f>Table1[[#This Row],[Date]]</f>
        <v>41149</v>
      </c>
      <c r="J98" s="46"/>
      <c r="K98" s="46"/>
    </row>
    <row r="99" spans="2:30" ht="27.6">
      <c r="B99" s="1067">
        <v>97</v>
      </c>
      <c r="C99" s="1068">
        <v>41149</v>
      </c>
      <c r="D99" s="1080" t="s">
        <v>583</v>
      </c>
      <c r="E99" s="1080" t="s">
        <v>368</v>
      </c>
      <c r="F99" s="1065" t="s">
        <v>720</v>
      </c>
      <c r="G99" s="1075" t="s">
        <v>726</v>
      </c>
      <c r="H99" s="1075" t="s">
        <v>731</v>
      </c>
      <c r="I99" s="1068">
        <f>Table1[[#This Row],[Date]]</f>
        <v>41149</v>
      </c>
      <c r="J99" s="46"/>
      <c r="K99" s="46"/>
    </row>
    <row r="100" spans="2:30" ht="27.6">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7.6">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7.6">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7.6">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7.6">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7.6">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7.6">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1.4">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7.6">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7.6">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1.4">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7.6">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7.6">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7.6">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7.6">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7.6">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7.6">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7.6">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7.6">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7.6">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7.6">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7.6">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7.6">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1.4">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7.6">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7.6">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7.6">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7.6">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1.4">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7.6">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7.6">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7.6">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7.6">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7.6">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7.6">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7.6">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7.6">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7.6">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7.6">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7.6">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7.6">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7.6">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7.6">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7.6">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7.6">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7.6">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7.6">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7.6">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7.6">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7.6">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7.6">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7.6">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7.6">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7.6">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7.6">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7.6">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7.6">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7.6">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7.6">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7.6">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1.4">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7.6">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7.6">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7.6">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7.6">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7.6">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7.6">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7.6">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7.6">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7.6">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7.6">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7.6">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7.6">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7.6">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7.6">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7.6">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7.6">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7.6">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7.6">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1.4">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7.6">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7.6">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7.6">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7.6">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7.6">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1.4">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7.6">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7.6">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7.6">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7.6">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7.6">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7.6">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7.6">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1.4">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7.6">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7.6">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7.6">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7.6">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7.6">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7.6">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1.4">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7.6">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7.6">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7.6">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7.6">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7.6">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7.6">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7.6">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7.6">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5.2">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1.4">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1.4">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7.6">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7.6">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7.6">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7.6">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7.6">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7.6">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7.6">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7.6">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7.6">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7.6">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7.6">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7.6">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7.6">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7.6">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7.6">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7.6">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7.6">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7.6">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7.6">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7.6">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7.6">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7.6">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7.6">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1.4">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1.4">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1.4">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1.4">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1.4">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1.4">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1.4">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1.4">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1.4">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1.4">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1.4">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7.6">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7.6">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7.6">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7.6">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7.6">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7.6">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7.6">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7.6">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1.4">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7.6">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7.6">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7.6">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1.4">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7.6">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7.6">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7.6">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7.6">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7.6">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7.6">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7.6">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7.6">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1.4">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69">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7.6">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1.4">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1.4">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1.4">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7.6">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1.4">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7.6">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7.6">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7.6">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A91" zoomScaleNormal="100" workbookViewId="0">
      <selection activeCell="J49" sqref="C2:X49"/>
    </sheetView>
  </sheetViews>
  <sheetFormatPr defaultColWidth="5.59765625" defaultRowHeight="13.8" outlineLevelCol="1"/>
  <cols>
    <col min="1" max="1" width="13.69921875" style="379" customWidth="1"/>
    <col min="2" max="2" width="2.59765625" style="160" customWidth="1"/>
    <col min="3" max="3" width="2.59765625" style="820" customWidth="1"/>
    <col min="4" max="10" width="7.09765625" customWidth="1"/>
    <col min="11" max="11" width="7.8984375" customWidth="1"/>
    <col min="12" max="12" width="7.09765625" customWidth="1"/>
    <col min="13" max="13" width="7.09765625" style="248" customWidth="1"/>
    <col min="14" max="22" width="1.59765625" customWidth="1"/>
    <col min="23" max="24" width="2.59765625" customWidth="1"/>
    <col min="25" max="25" width="2.59765625" style="176" customWidth="1"/>
    <col min="26" max="26" width="33" style="176" customWidth="1"/>
    <col min="27" max="32" width="10.59765625" style="176" customWidth="1"/>
    <col min="33" max="33" width="8.59765625" style="176" customWidth="1"/>
    <col min="34" max="34" width="6.59765625" style="160" customWidth="1" outlineLevel="1"/>
    <col min="35" max="35" width="5.59765625" style="160" customWidth="1" outlineLevel="1"/>
    <col min="36" max="37" width="9.8984375" style="160" customWidth="1" outlineLevel="1"/>
    <col min="38" max="50" width="5.5976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3" t="s">
        <v>125</v>
      </c>
      <c r="E2" s="1173"/>
      <c r="F2" s="1173"/>
      <c r="G2" s="1173"/>
      <c r="H2" s="1173"/>
      <c r="I2" s="416"/>
      <c r="J2" s="416"/>
      <c r="K2" s="416"/>
      <c r="L2" s="1175">
        <f ca="1">TODAY()</f>
        <v>41947</v>
      </c>
      <c r="M2" s="1175"/>
      <c r="N2" s="1175"/>
      <c r="O2" s="1175"/>
      <c r="P2" s="1175"/>
      <c r="Q2" s="1175"/>
      <c r="R2" s="1175"/>
      <c r="S2" s="1175"/>
      <c r="T2" s="1175"/>
      <c r="U2" s="1175"/>
      <c r="V2" s="1175"/>
      <c r="W2" s="1175"/>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5" t="s">
        <v>419</v>
      </c>
      <c r="L3" s="1155"/>
      <c r="M3" s="1155"/>
      <c r="N3" s="1155"/>
      <c r="O3" s="1155"/>
      <c r="P3" s="1155"/>
      <c r="Q3" s="1155"/>
      <c r="R3" s="1155"/>
      <c r="S3" s="1155"/>
      <c r="T3" s="1155"/>
      <c r="U3" s="1155"/>
      <c r="V3" s="1155"/>
      <c r="W3" s="1155"/>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79" t="str">
        <f>C.2Name</f>
        <v>Oregon State Implementation Plan revision for PM2.5 National Ambient Air Quality Standards</v>
      </c>
      <c r="E4" s="1179"/>
      <c r="F4" s="1179"/>
      <c r="G4" s="1179"/>
      <c r="H4" s="1179"/>
      <c r="I4" s="1179"/>
      <c r="J4" s="1179"/>
      <c r="K4" s="1179"/>
      <c r="L4" s="1179"/>
      <c r="M4" s="1179"/>
      <c r="N4" s="1179"/>
      <c r="O4" s="1179"/>
      <c r="P4" s="1179"/>
      <c r="Q4" s="1179"/>
      <c r="R4" s="1179"/>
      <c r="S4" s="1179"/>
      <c r="T4" s="1179"/>
      <c r="U4" s="1179"/>
      <c r="V4" s="1179"/>
      <c r="W4" s="1179"/>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78" t="str">
        <f>C.4Program&amp;" - "&amp;IF(C.4Media="cross media",C.4Media,C.4Media&amp;" quality")</f>
        <v>Environmental Solutions AQ Planning Section - air quality</v>
      </c>
      <c r="E5" s="1178"/>
      <c r="F5" s="1178"/>
      <c r="G5" s="1178"/>
      <c r="H5" s="1178"/>
      <c r="I5" s="1178"/>
      <c r="J5" s="1178"/>
      <c r="K5" s="1178"/>
      <c r="L5" s="1178"/>
      <c r="M5" s="1178"/>
      <c r="N5" s="1178"/>
      <c r="O5" s="1178"/>
      <c r="P5" s="1178"/>
      <c r="Q5" s="1178"/>
      <c r="R5" s="1178"/>
      <c r="S5" s="1178"/>
      <c r="T5" s="1178"/>
      <c r="U5" s="1178"/>
      <c r="V5" s="1178"/>
      <c r="W5" s="1178"/>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19.5" customHeight="1">
      <c r="B6" s="555"/>
      <c r="C6" s="813"/>
      <c r="D6" s="1174" t="s">
        <v>214</v>
      </c>
      <c r="E6" s="1174"/>
      <c r="F6" s="1174"/>
      <c r="G6" s="1174"/>
      <c r="H6" s="1174"/>
      <c r="I6" s="1176" t="s">
        <v>373</v>
      </c>
      <c r="J6" s="1177"/>
      <c r="K6" s="1177"/>
      <c r="L6" s="1177"/>
      <c r="M6" s="1180"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9.5" customHeight="1">
      <c r="B7" s="556"/>
      <c r="C7" s="496"/>
      <c r="D7" s="1183" t="str">
        <f>C.2Summary</f>
        <v>DEQ proposes to incorporate the annual National Ambient Air Quality Standards for PM2.5 into the Oregon State Implementation Plan.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v>
      </c>
      <c r="E7" s="1183"/>
      <c r="F7" s="1183"/>
      <c r="G7" s="1183"/>
      <c r="H7" s="1183"/>
      <c r="I7" s="508">
        <v>1</v>
      </c>
      <c r="J7" s="1184" t="s">
        <v>406</v>
      </c>
      <c r="K7" s="1184"/>
      <c r="L7" s="1184"/>
      <c r="M7" s="1180"/>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9.5" customHeight="1">
      <c r="B8" s="556"/>
      <c r="C8" s="496"/>
      <c r="D8" s="1183"/>
      <c r="E8" s="1183"/>
      <c r="F8" s="1183"/>
      <c r="G8" s="1183"/>
      <c r="H8" s="1183"/>
      <c r="I8" s="508">
        <v>2</v>
      </c>
      <c r="J8" s="1182" t="s">
        <v>367</v>
      </c>
      <c r="K8" s="1182"/>
      <c r="L8" s="1182"/>
      <c r="M8" s="1181"/>
      <c r="N8" s="1185" t="s">
        <v>220</v>
      </c>
      <c r="O8" s="1185"/>
      <c r="P8" s="1185"/>
      <c r="Q8" s="1185"/>
      <c r="R8" s="1185"/>
      <c r="S8" s="1185"/>
      <c r="T8" s="1185"/>
      <c r="U8" s="1185"/>
      <c r="V8" s="1185"/>
      <c r="W8" s="1185"/>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9.5" customHeight="1">
      <c r="B9" s="556"/>
      <c r="C9" s="496"/>
      <c r="D9" s="1183"/>
      <c r="E9" s="1183"/>
      <c r="F9" s="1183"/>
      <c r="G9" s="1183"/>
      <c r="H9" s="1183"/>
      <c r="I9" s="508">
        <v>3</v>
      </c>
      <c r="J9" s="1186" t="s">
        <v>368</v>
      </c>
      <c r="K9" s="1187"/>
      <c r="L9" s="1148"/>
      <c r="M9" s="835"/>
      <c r="N9" s="1150">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9.5" customHeight="1">
      <c r="B10" s="556"/>
      <c r="C10" s="496"/>
      <c r="D10" s="1183"/>
      <c r="E10" s="1183"/>
      <c r="F10" s="1183"/>
      <c r="G10" s="1183"/>
      <c r="H10" s="1183"/>
      <c r="I10" s="508">
        <v>4</v>
      </c>
      <c r="J10" s="1149" t="s">
        <v>349</v>
      </c>
      <c r="K10" s="1148"/>
      <c r="L10" s="1148"/>
      <c r="M10" s="835">
        <f>C.4SeverityRating</f>
        <v>1</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9.5" customHeight="1">
      <c r="B11" s="556"/>
      <c r="C11" s="496"/>
      <c r="D11" s="1183"/>
      <c r="E11" s="1183"/>
      <c r="F11" s="1183"/>
      <c r="G11" s="1183"/>
      <c r="H11" s="1183"/>
      <c r="I11" s="508">
        <v>5</v>
      </c>
      <c r="J11" s="1186" t="s">
        <v>100</v>
      </c>
      <c r="K11" s="1187"/>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9.5" customHeight="1">
      <c r="B12" s="556"/>
      <c r="C12" s="496"/>
      <c r="D12" s="1183"/>
      <c r="E12" s="1183"/>
      <c r="F12" s="1183"/>
      <c r="G12" s="1183"/>
      <c r="H12" s="1183"/>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9.5" customHeight="1">
      <c r="B13" s="556"/>
      <c r="C13" s="496"/>
      <c r="D13" s="1183"/>
      <c r="E13" s="1183"/>
      <c r="F13" s="1183"/>
      <c r="G13" s="1183"/>
      <c r="H13" s="1183"/>
      <c r="I13" s="508">
        <v>7</v>
      </c>
      <c r="J13" s="1186" t="s">
        <v>298</v>
      </c>
      <c r="K13" s="1187"/>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9.5" customHeight="1">
      <c r="B14" s="556"/>
      <c r="C14" s="496"/>
      <c r="D14" s="1183"/>
      <c r="E14" s="1183"/>
      <c r="F14" s="1183"/>
      <c r="G14" s="1183"/>
      <c r="H14" s="1183"/>
      <c r="I14" s="508">
        <v>8</v>
      </c>
      <c r="J14" s="1149" t="s">
        <v>102</v>
      </c>
      <c r="K14" s="1148"/>
      <c r="L14" s="1148"/>
      <c r="M14" s="835">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9.5" customHeight="1">
      <c r="B15" s="556"/>
      <c r="C15" s="496"/>
      <c r="D15" s="1183"/>
      <c r="E15" s="1183"/>
      <c r="F15" s="1183"/>
      <c r="G15" s="1183"/>
      <c r="H15" s="1183"/>
      <c r="I15" s="508">
        <v>9</v>
      </c>
      <c r="J15" s="1186" t="s">
        <v>327</v>
      </c>
      <c r="K15" s="1187"/>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9.5" customHeight="1">
      <c r="B16" s="556"/>
      <c r="C16" s="496"/>
      <c r="D16" s="1183"/>
      <c r="E16" s="1183"/>
      <c r="F16" s="1183"/>
      <c r="G16" s="1183"/>
      <c r="H16" s="1183"/>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9.5" customHeight="1">
      <c r="B17" s="556"/>
      <c r="C17" s="496"/>
      <c r="D17" s="1183"/>
      <c r="E17" s="1183"/>
      <c r="F17" s="1183"/>
      <c r="G17" s="1183"/>
      <c r="H17" s="1183"/>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9.5" customHeight="1">
      <c r="B18" s="556"/>
      <c r="C18" s="496"/>
      <c r="D18" s="1183"/>
      <c r="E18" s="1183"/>
      <c r="F18" s="1183"/>
      <c r="G18" s="1183"/>
      <c r="H18" s="1183"/>
      <c r="I18" s="508">
        <v>12</v>
      </c>
      <c r="J18" s="1186" t="s">
        <v>329</v>
      </c>
      <c r="K18" s="1187"/>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17.2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1" t="s">
        <v>104</v>
      </c>
      <c r="D20" s="1172"/>
      <c r="E20" s="1172"/>
      <c r="F20" s="1172"/>
      <c r="G20" s="1172"/>
      <c r="H20" s="152"/>
      <c r="I20" s="1188" t="s">
        <v>233</v>
      </c>
      <c r="J20" s="1189"/>
      <c r="K20" s="1189"/>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70" t="s">
        <v>0</v>
      </c>
      <c r="E21" s="1170"/>
      <c r="F21" s="1170"/>
      <c r="G21" s="1170"/>
      <c r="H21" s="1170"/>
      <c r="I21" s="1170"/>
      <c r="J21" s="1170"/>
      <c r="K21" s="1170"/>
      <c r="L21" s="1170"/>
      <c r="M21" s="1170"/>
      <c r="N21" s="1170"/>
      <c r="O21" s="1170"/>
      <c r="P21" s="1170"/>
      <c r="Q21" s="1170"/>
      <c r="R21" s="1170"/>
      <c r="S21" s="1170"/>
      <c r="T21" s="1170"/>
      <c r="U21" s="1170"/>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90">
        <f>C.6SStartYr</f>
        <v>2014</v>
      </c>
      <c r="E22" s="1191"/>
      <c r="F22" s="1191"/>
      <c r="G22" s="1192"/>
      <c r="H22" s="1190">
        <f>D22+1</f>
        <v>2015</v>
      </c>
      <c r="I22" s="1191"/>
      <c r="J22" s="1191"/>
      <c r="K22" s="1192"/>
      <c r="L22" s="1190">
        <f>D22+2</f>
        <v>2016</v>
      </c>
      <c r="M22" s="1191"/>
      <c r="N22" s="1191"/>
      <c r="O22" s="1191"/>
      <c r="P22" s="1191"/>
      <c r="Q22" s="1191"/>
      <c r="R22" s="1191"/>
      <c r="S22" s="1191"/>
      <c r="T22" s="1191"/>
      <c r="U22" s="119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6" t="s">
        <v>209</v>
      </c>
      <c r="O23" s="1167"/>
      <c r="P23" s="1167"/>
      <c r="Q23" s="1167"/>
      <c r="R23" s="1166" t="s">
        <v>191</v>
      </c>
      <c r="S23" s="1167"/>
      <c r="T23" s="1167"/>
      <c r="U23" s="1168"/>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58" t="str">
        <f>IF(M24="Effective&gt;","",IF(AND(C.6SStartYr=$L$22,C.6SStartQtr=3),"&lt;Start",IF(AND(C.6SEffectiveYr=$L$22,C.6SEffectiveQtr=3),"Effective&gt;",IF(OR(M24="&lt;Start",M24="---"),"---",""))))</f>
        <v/>
      </c>
      <c r="O24" s="1158"/>
      <c r="P24" s="1158"/>
      <c r="Q24" s="1158"/>
      <c r="R24" s="1158" t="str">
        <f>IF(N24="Effective&gt;","",IF(AND(C.6SStartYr=$L$22,C.6SStartQtr=4),"&lt;Start",IF(AND(C.6SEffectiveYr=$L$22,C.6SEffectiveQtr=4),"Effective&gt;",IF(OR(N24="&lt;Start",N24="---"),"---",""))))</f>
        <v/>
      </c>
      <c r="S24" s="1158"/>
      <c r="T24" s="1158"/>
      <c r="U24" s="1158"/>
      <c r="V24" s="1163"/>
      <c r="W24" s="1164"/>
      <c r="X24" s="1165"/>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&lt;AdvCom</v>
      </c>
      <c r="G25" s="409" t="str">
        <f>IF(OR(F25="&lt;AdvCom&gt;",F25="End&gt;"),"",IF(AND(C.6SACStartYr=$D$22,C.6SACStartQtr=4,C.6SACEndYr=$D$22,C.7SACEndQtr=4),"&lt;AdvCom&gt;",IF(AND(C.6SACStartYr=$D$22,C.6SACStartQtr=4),"&lt;AdvCom",IF(AND(C.6SACEndYr=$D$22,C.7SACEndQtr=4),"End&gt;",IF(OR(F25="&lt;AdvCom",F25="---"),"---","")))))</f>
        <v>---</v>
      </c>
      <c r="H25" s="155" t="str">
        <f>IF(OR(G25="&lt;AdvCom&gt;",G25="End&gt;"),"",IF(AND(C.6SACStartYr=$H$22,C.6SACStartQtr=1,C.6SACEndYr=$H$22,C.7SACEndQtr=1),"&lt;AdvCom&gt;",IF(AND(C.6SACStartYr=$H$22,C.6SACStartQtr=1),"&lt;AdvCom",IF(AND(C.6SACEndYr=$H$22,C.7SACEndQtr=1),"End&gt;",IF(OR(G25="&lt;AdvCom",G25="---"),"---","")))))</f>
        <v>---</v>
      </c>
      <c r="I25" s="409" t="str">
        <f>IF(OR(H25="&lt;AdvCom&gt;",H25="End&gt;"),"",IF(AND(C.6SACStartYr=$H$22,C.6SACStartQtr=2,C.6SACEndYr=$H$22,C.7SACEndQtr=2),"&lt;AdvCom&gt;",IF(AND(C.6SACStartYr=$H$22,C.6SACStartQtr=2),"&lt;AdvCom",IF(AND(C.6SACEndYr=$H$22,C.7SACEndQtr=2),"End&gt;",IF(OR(H25="&lt;AdvCom",H25="---"),"---","")))))</f>
        <v>---</v>
      </c>
      <c r="J25" s="409" t="str">
        <f>IF(OR(H25="&lt;AdvCom&gt;",H25="End&gt;"),"",IF(AND(C.6SACStartYr=$H$22,C.6SACStartQtr=3,C.6SACEndYr=$H$22,C.7SACEndQtr=3),"&lt;AdvCom&gt;",IF(AND(C.6SACStartYr=$H$22,C.6SACStartQtr=3),"&lt;AdvCom",IF(AND(C.6SACEndYr=$H$22,C.7SACEndQtr=3),"End&gt;",IF(OR(H25="&lt;AdvCom",H25="---"),"---","")))))</f>
        <v>---</v>
      </c>
      <c r="K25" s="410" t="str">
        <f>IF(OR(J25="&lt;AdvCom&gt;",J25="End&gt;"),"",IF(AND(C.6SACStartYr=$H$22,C.6SACStartQtr=4,C.6SACEndYr=$H$22,C.7SACEndQtr=4),"&lt;AdvCom&gt;",IF(AND(C.6SACStartYr=$H$22,C.6SACStartQtr=4),"&lt;AdvCom",IF(AND(C.6SACEndYr=$H$22,C.7SACEndQtr=4),"End&gt;",IF(OR(J25="&lt;AdvCom",J25="---"),"---","")))))</f>
        <v>---</v>
      </c>
      <c r="L25" s="155" t="str">
        <f>IF(OR(K25="&lt;AdvCom&gt;",K25="End&gt;"),"",IF(AND(C.6SACStartYr=$L$22,C.6SACStartQtr=1,C.6SACEndYr=$L$22,C.7SACEndQtr=1),"&lt;AdvCom&gt;",IF(AND(C.6SACStartYr=$L$22,C.6SACStartQtr=1),"&lt;AdvCom",IF(AND(C.6SACEndYr=$L$22,C.7SACEndQtr=1),"End&gt;",IF(OR(K25="&lt;AdvCom",K25="---"),"---","")))))</f>
        <v>---</v>
      </c>
      <c r="M25" s="803" t="str">
        <f>IF(OR(L25="&lt;AdvCom&gt;",L25="End&gt;"),"",IF(AND(C.6SACStartYr=$L$22,C.6SACStartQtr=2,C.6SACEndYr=$L$22,C.7SACEndQtr=2),"&lt;AdvCom&gt;",IF(AND(C.6SACStartYr=$L$22,C.6SACStartQtr=2),"&lt;AdvCom",IF(AND(C.6SACEndYr=$L$22,C.7SACEndQtr=2),"End&gt;",IF(OR(L25="&lt;AdvCom",L25="---"),"---","")))))</f>
        <v>---</v>
      </c>
      <c r="N25" s="1158" t="str">
        <f>IF(OR(M25="&lt;AdvCom&gt;",M25="End&gt;"),"",IF(AND(C.6SACStartYr=$L$22,C.6SACStartQtr=2,C.6SACEndYr=$L$22,C.7SACEndQtr=3),"&lt;AdvCom&gt;",IF(AND(C.6SACStartYr=$L$22,C.6SACStartQtr=3),"&lt;AdvCom",IF(AND(C.6SACEndYr=$L$22,C.7SACEndQtr=3),"End&gt;",IF(OR(M25="&lt;AdvCom",M25="---"),"---","")))))</f>
        <v>---</v>
      </c>
      <c r="O25" s="1158"/>
      <c r="P25" s="1158"/>
      <c r="Q25" s="1158"/>
      <c r="R25" s="1158" t="str">
        <f>IF(OR(N25="&lt;AdvCom&gt;",N25="End&gt;"),"",IF(AND(C.6SACStartYr=$L$22,C.6SACStartQtr=4,C.6SACEndYr=$L$22,C.7SACEndQtr=4),"&lt;AdvCom&gt;",IF(AND(C.6SACStartYr=$L$22,C.6SACStartQtr=4),"&lt;AdvCom",IF(AND(C.6SACEndYr=$L$22,C.7SACEndQtr=4),"End&gt;",IF(OR(N25="&lt;AdvCom",N25="---"),"---","")))))</f>
        <v>---</v>
      </c>
      <c r="S25" s="1158"/>
      <c r="T25" s="1158"/>
      <c r="U25" s="1159"/>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58" t="str">
        <f>IF(OR(M26="&lt;Notice&gt;",M26="End&gt;"),"",IF(AND(C.6SNoticeStartYr=$L$22,C.6SNoticeStartQtr=3,C.6SNoticeEndYr=$L$22,C.6SNoticeEndQtr=3),"&lt;Notice&gt;",IF(AND(C.6SNoticeStartYr=$L$22,C.6SNoticeStartQtr=3),"&lt;Notice",IF(AND(C.6SNoticeEndYr=$L$22,C.6SNoticeEndQtr=3),"End&gt;",IF(OR(M26="&lt;Notice",M26="---"),"---","")))))</f>
        <v/>
      </c>
      <c r="O26" s="1158"/>
      <c r="P26" s="1158"/>
      <c r="Q26" s="1158"/>
      <c r="R26" s="1158" t="str">
        <f>IF(OR(N26="&lt;Notice&gt;",N26="End&gt;"),"",IF(AND(C.6SNoticeStartYr=$L$22,C.6SNoticeStartQtr=4,C.6SNoticeEndYr=$L$22,C.6SNoticeEndQtr=4),"&lt;Notice&gt;",IF(AND(C.6SNoticeStartYr=$L$22,C.6SNoticeStartQtr=4),"&lt;Notice",IF(AND(C.6SNoticeEndYr=$L$22,C.6SNoticeEndQtr=4),"End&gt;",IF(OR(N26="&lt;Notice",N26="---"),"---","")))))</f>
        <v/>
      </c>
      <c r="S26" s="1158"/>
      <c r="T26" s="1158"/>
      <c r="U26" s="1159"/>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60" t="str">
        <f>IF(AND(C.6SEQCYr=$L$22,C.6SEQCQtr=3),"EQC","")</f>
        <v/>
      </c>
      <c r="O27" s="1160"/>
      <c r="P27" s="1160"/>
      <c r="Q27" s="1160"/>
      <c r="R27" s="1160" t="str">
        <f>IF(AND(C.6SEQCYr=$L$22,C.6SEQCQtr=4),"EQC","")</f>
        <v/>
      </c>
      <c r="S27" s="1160"/>
      <c r="T27" s="1160"/>
      <c r="U27" s="1161"/>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99" t="s">
        <v>1061</v>
      </c>
      <c r="E29" s="1199"/>
      <c r="F29" s="1199"/>
      <c r="G29" s="1199"/>
      <c r="H29" s="120"/>
      <c r="I29" s="989" t="s">
        <v>130</v>
      </c>
      <c r="K29" s="783"/>
      <c r="L29" s="822">
        <f>C.2ComplianceRating</f>
        <v>0</v>
      </c>
      <c r="M29" s="1197" t="str">
        <f>'2Basics'!AA52</f>
        <v>not involved</v>
      </c>
      <c r="N29" s="1197"/>
      <c r="O29" s="1197"/>
      <c r="P29" s="1197"/>
      <c r="Q29" s="1197"/>
      <c r="R29" s="1197"/>
      <c r="S29" s="1197"/>
      <c r="T29" s="1197"/>
      <c r="U29" s="1197"/>
      <c r="V29" s="1197"/>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200" t="str">
        <f>"● "&amp;C.5EnvironmentalCorrelation</f>
        <v>● Address an environmental problem indirectly.</v>
      </c>
      <c r="E30" s="1200"/>
      <c r="F30" s="1200"/>
      <c r="G30" s="1200"/>
      <c r="H30" s="1200"/>
      <c r="I30" s="990" t="s">
        <v>131</v>
      </c>
      <c r="J30" s="120"/>
      <c r="K30" s="806"/>
      <c r="L30" s="824">
        <f>C.2PenaltyRating</f>
        <v>0</v>
      </c>
      <c r="M30" s="1198" t="str">
        <f>C.2Penalties</f>
        <v>not involved</v>
      </c>
      <c r="N30" s="1198"/>
      <c r="O30" s="1198"/>
      <c r="P30" s="1198"/>
      <c r="Q30" s="1198"/>
      <c r="R30" s="1198"/>
      <c r="S30" s="1198"/>
      <c r="T30" s="1198"/>
      <c r="U30" s="1198"/>
      <c r="V30" s="1198"/>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200"/>
      <c r="E31" s="1200"/>
      <c r="F31" s="1200"/>
      <c r="G31" s="1200"/>
      <c r="H31" s="1200"/>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200" t="str">
        <f>IF(C.5EnvCorrolation=0,"","● "&amp;C.5EnvReach)</f>
        <v>● have a statewide environmental reach.</v>
      </c>
      <c r="E32" s="1200"/>
      <c r="F32" s="1200"/>
      <c r="G32" s="1200"/>
      <c r="H32" s="1134"/>
      <c r="I32" s="991" t="s">
        <v>2</v>
      </c>
      <c r="J32" s="853"/>
      <c r="K32" s="825"/>
      <c r="L32" s="824">
        <f>'7Financial'!AA19</f>
        <v>0</v>
      </c>
      <c r="M32" s="1196" t="str">
        <f>C.7Fee</f>
        <v>not involved</v>
      </c>
      <c r="N32" s="1196"/>
      <c r="O32" s="1196"/>
      <c r="P32" s="1196"/>
      <c r="Q32" s="1196"/>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200"/>
      <c r="E33" s="1200"/>
      <c r="F33" s="1200"/>
      <c r="G33" s="1200"/>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200" t="str">
        <f>IF(C.5EnvCorrolation=0,"","● "&amp;C.5epaDialog)</f>
        <v>● align with 1 action in the EPA Strategic Plan.</v>
      </c>
      <c r="E34" s="1200"/>
      <c r="F34" s="1200"/>
      <c r="G34" s="1200"/>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14.25" customHeight="1">
      <c r="B35" s="556"/>
      <c r="C35" s="1138"/>
      <c r="D35" s="1200"/>
      <c r="E35" s="1200"/>
      <c r="F35" s="1200"/>
      <c r="G35" s="1200"/>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200" t="str">
        <f>IF(C.5EnvCorrolation=0,"","● "&amp;C.5NaturalStepDialog)</f>
        <v>● do not have a selection for Natural Step support at this time.</v>
      </c>
      <c r="E36" s="1200"/>
      <c r="F36" s="1200"/>
      <c r="G36" s="1200"/>
      <c r="H36" s="1200" t="str">
        <f>C.5DoNothing</f>
        <v>The "do nothing" environmental consequence is: delay in public health protection.</v>
      </c>
      <c r="I36" s="1200"/>
      <c r="J36" s="1200"/>
      <c r="K36" s="1200"/>
      <c r="L36" s="1200"/>
      <c r="M36" s="1200"/>
      <c r="N36" s="1200"/>
      <c r="O36" s="1200"/>
      <c r="P36" s="1200"/>
      <c r="Q36" s="1200"/>
      <c r="R36" s="1200"/>
      <c r="S36" s="1200"/>
      <c r="T36" s="1200"/>
      <c r="U36" s="1200"/>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9" t="s">
        <v>206</v>
      </c>
      <c r="E37" s="1169"/>
      <c r="F37" s="1169"/>
      <c r="G37" s="1169"/>
      <c r="H37" s="1169" t="s">
        <v>207</v>
      </c>
      <c r="I37" s="1169"/>
      <c r="J37" s="1169"/>
      <c r="K37" s="1169"/>
      <c r="L37" s="1169" t="s">
        <v>208</v>
      </c>
      <c r="M37" s="1169"/>
      <c r="N37" s="1169"/>
      <c r="O37" s="1169"/>
      <c r="P37" s="1169"/>
      <c r="Q37" s="1169"/>
      <c r="R37" s="1169"/>
      <c r="S37" s="1169"/>
      <c r="T37" s="1169"/>
      <c r="U37" s="1169"/>
      <c r="V37" s="1169"/>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2" t="s">
        <v>215</v>
      </c>
      <c r="E38" s="1162"/>
      <c r="F38" s="1162"/>
      <c r="G38" s="1162"/>
      <c r="H38" s="1162" t="s">
        <v>234</v>
      </c>
      <c r="I38" s="1162"/>
      <c r="J38" s="1162"/>
      <c r="K38" s="1162"/>
      <c r="L38" s="1162" t="s">
        <v>235</v>
      </c>
      <c r="M38" s="1162"/>
      <c r="N38" s="1162"/>
      <c r="O38" s="1162"/>
      <c r="P38" s="1162"/>
      <c r="Q38" s="1162"/>
      <c r="R38" s="1162"/>
      <c r="S38" s="1162"/>
      <c r="T38" s="1162"/>
      <c r="U38" s="1162"/>
      <c r="V38" s="1162"/>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73.2" customHeight="1">
      <c r="B39" s="558"/>
      <c r="C39" s="421"/>
      <c r="D39" s="1195" t="str">
        <f>C.2Ideal</f>
        <v>We want to keep PM2.5 pollution below harmful levels and maintain a federally approved State Implementation Plan to protect air quality.</v>
      </c>
      <c r="E39" s="1195"/>
      <c r="F39" s="1195"/>
      <c r="G39" s="1195"/>
      <c r="H39" s="1194" t="str">
        <f>C.2Reality</f>
        <v xml:space="preserve">We're trying to incorporate the annual NAAQS for PM2.5 into Oregon's State Implementation Plan by Dec. 14, 2015. </v>
      </c>
      <c r="I39" s="1194"/>
      <c r="J39" s="1194"/>
      <c r="K39" s="1194"/>
      <c r="L39" s="1193" t="str">
        <f>C.2Consequences</f>
        <v xml:space="preserve">If we do nothing, DEQ's SIP would become delinquent and DEQ could be sued and lose delegation of the AQ program.   </v>
      </c>
      <c r="M39" s="1193"/>
      <c r="N39" s="1193"/>
      <c r="O39" s="1193"/>
      <c r="P39" s="1193"/>
      <c r="Q39" s="1193"/>
      <c r="R39" s="1193"/>
      <c r="S39" s="1193"/>
      <c r="T39" s="1193"/>
      <c r="U39" s="1193"/>
      <c r="V39" s="1193"/>
      <c r="W39" s="1193"/>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421</v>
      </c>
      <c r="E40" s="1157"/>
      <c r="F40" s="1157"/>
      <c r="G40" s="1157"/>
      <c r="H40" s="1157" t="s">
        <v>422</v>
      </c>
      <c r="I40" s="1157"/>
      <c r="J40" s="1157"/>
      <c r="K40" s="1157"/>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205" t="str">
        <f>C.2Alternatives</f>
        <v>Because the rules are necessary to comply with the CAA, DEQ is not considering other options.</v>
      </c>
      <c r="E41" s="1205"/>
      <c r="F41" s="1205"/>
      <c r="G41" s="1205"/>
      <c r="H41" s="1156" t="str">
        <f>C.2Research</f>
        <v>We need to determine if there's an interstate transport component to this rulemaking</v>
      </c>
      <c r="I41" s="1156"/>
      <c r="J41" s="1156"/>
      <c r="K41" s="1156"/>
      <c r="L41" s="1201" t="str">
        <f>C.2Models</f>
        <v>We can use previous similar rulemakings as a model for this rulemaking.</v>
      </c>
      <c r="M41" s="1201"/>
      <c r="N41" s="1201"/>
      <c r="O41" s="1201"/>
      <c r="P41" s="1201"/>
      <c r="Q41" s="1201"/>
      <c r="R41" s="1201"/>
      <c r="S41" s="1201"/>
      <c r="T41" s="1201"/>
      <c r="U41" s="1201"/>
      <c r="V41" s="1201"/>
      <c r="W41" s="1201"/>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2.2222222222222223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99" t="str">
        <f>C.3Summary</f>
        <v xml:space="preserve">Interest in this proposal is low/medium. DEQ does not plan to appoint an advisory committee.  </v>
      </c>
      <c r="E43" s="1199"/>
      <c r="F43" s="1199"/>
      <c r="G43" s="1199"/>
      <c r="I43" s="854" t="str">
        <f>'3Stakeholders'!D8</f>
        <v>Business</v>
      </c>
      <c r="J43" s="855"/>
      <c r="K43" s="871">
        <f>'3Stakeholders'!AB8</f>
        <v>4</v>
      </c>
      <c r="L43" s="1202" t="str">
        <f>'3Stakeholders'!AA8</f>
        <v>affects  hundreds currently regulated</v>
      </c>
      <c r="M43" s="1203"/>
      <c r="N43" s="1203"/>
      <c r="O43" s="1203"/>
      <c r="P43" s="1203"/>
      <c r="Q43" s="1203"/>
      <c r="R43" s="1203"/>
      <c r="S43" s="1203"/>
      <c r="T43" s="1203"/>
      <c r="U43" s="1203"/>
      <c r="V43" s="1203"/>
      <c r="W43" s="1203"/>
      <c r="X43" s="1204"/>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99"/>
      <c r="E44" s="1199"/>
      <c r="F44" s="1199"/>
      <c r="G44" s="1199"/>
      <c r="I44" s="854" t="str">
        <f>'3Stakeholders'!D9</f>
        <v>Manufacturing</v>
      </c>
      <c r="J44" s="855"/>
      <c r="K44" s="871">
        <f>'3Stakeholders'!AB9</f>
        <v>3</v>
      </c>
      <c r="L44" s="858" t="str">
        <f>'3Stakeholders'!AA9</f>
        <v>affects  hundreds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99"/>
      <c r="E45" s="1199"/>
      <c r="F45" s="1199"/>
      <c r="G45" s="1199"/>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99"/>
      <c r="E46" s="1199"/>
      <c r="F46" s="1199"/>
      <c r="G46" s="1199"/>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99"/>
      <c r="E47" s="1199"/>
      <c r="F47" s="1199"/>
      <c r="G47" s="119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99"/>
      <c r="E48" s="1199"/>
      <c r="F48" s="1199"/>
      <c r="G48" s="119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3">
        <f ca="1">TODAY()</f>
        <v>41947</v>
      </c>
      <c r="K49" s="1153"/>
      <c r="L49" s="1153"/>
      <c r="M49" s="1153"/>
      <c r="N49" s="1153"/>
      <c r="O49" s="1153"/>
      <c r="P49" s="1153"/>
      <c r="Q49" s="1153"/>
      <c r="R49" s="1153"/>
      <c r="S49" s="1153"/>
      <c r="T49" s="1153"/>
      <c r="U49" s="1153"/>
      <c r="V49" s="1153"/>
      <c r="W49" s="1153"/>
      <c r="X49" s="1154"/>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4.4">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O9:W18 N10:N18">
    <cfRule type="colorScale" priority="56">
      <colorScale>
        <cfvo type="num" val="0"/>
        <cfvo type="num" val="5"/>
        <cfvo type="num" val="10"/>
        <color rgb="FF00B050"/>
        <color rgb="FFFFFF00"/>
        <color rgb="FFFF0000"/>
      </colorScale>
    </cfRule>
  </conditionalFormatting>
  <conditionalFormatting sqref="D25:U25">
    <cfRule type="expression" dxfId="364" priority="87">
      <formula>IF(OR(D25="&lt;AdvCom",D25="&lt;AdvCom&gt;",D25="---",D25="End&gt;"),TRUE)</formula>
    </cfRule>
  </conditionalFormatting>
  <conditionalFormatting sqref="D26:U26">
    <cfRule type="expression" dxfId="363" priority="83">
      <formula>IF(OR(D26="&lt;Notice",D26="&lt;Notice&gt;",D26="---",D26="End&gt;"),TRUE)</formula>
    </cfRule>
  </conditionalFormatting>
  <conditionalFormatting sqref="D24:U24">
    <cfRule type="expression" dxfId="362" priority="82">
      <formula>IF(OR(D24="&lt;Start",D24="---",D24="Effective&gt;"),TRUE)</formula>
    </cfRule>
  </conditionalFormatting>
  <conditionalFormatting sqref="E23">
    <cfRule type="expression" dxfId="361" priority="79">
      <formula>IF(ISODD($D$22),TRUE)</formula>
    </cfRule>
  </conditionalFormatting>
  <conditionalFormatting sqref="I23">
    <cfRule type="expression" dxfId="360" priority="78">
      <formula>IF(ISODD($H$22),TRUE)</formula>
    </cfRule>
  </conditionalFormatting>
  <conditionalFormatting sqref="M23">
    <cfRule type="expression" dxfId="359" priority="77">
      <formula>IF(ISODD($L$22),TRUE)</formula>
    </cfRule>
  </conditionalFormatting>
  <conditionalFormatting sqref="W9:W18">
    <cfRule type="expression" dxfId="358" priority="40" stopIfTrue="1">
      <formula>IF($AH9&lt;10,TRUE,)</formula>
    </cfRule>
  </conditionalFormatting>
  <conditionalFormatting sqref="N10:N18">
    <cfRule type="expression" dxfId="357" priority="41" stopIfTrue="1">
      <formula>IF($AH10&lt;1,TRUE,)</formula>
    </cfRule>
  </conditionalFormatting>
  <conditionalFormatting sqref="O9:O18">
    <cfRule type="expression" dxfId="356" priority="42" stopIfTrue="1">
      <formula>IF($AH9&lt;2,TRUE,)</formula>
    </cfRule>
  </conditionalFormatting>
  <conditionalFormatting sqref="P9:P18">
    <cfRule type="expression" dxfId="355" priority="43" stopIfTrue="1">
      <formula>IF(AH9&lt;3,TRUE,)</formula>
    </cfRule>
  </conditionalFormatting>
  <conditionalFormatting sqref="Q9:Q18">
    <cfRule type="expression" dxfId="354" priority="44" stopIfTrue="1">
      <formula>IF($AH9&lt;4,TRUE,)</formula>
    </cfRule>
  </conditionalFormatting>
  <conditionalFormatting sqref="R9:R18">
    <cfRule type="expression" dxfId="353" priority="45" stopIfTrue="1">
      <formula>IF($AH9&lt;5,TRUE,)</formula>
    </cfRule>
  </conditionalFormatting>
  <conditionalFormatting sqref="S9:S18">
    <cfRule type="expression" dxfId="352" priority="46" stopIfTrue="1">
      <formula>IF($AH9&lt;6,TRUE,)</formula>
    </cfRule>
  </conditionalFormatting>
  <conditionalFormatting sqref="T9:T18">
    <cfRule type="expression" dxfId="351" priority="47" stopIfTrue="1">
      <formula>IF($AH9&lt;7,TRUE,)</formula>
    </cfRule>
  </conditionalFormatting>
  <conditionalFormatting sqref="U9:U18">
    <cfRule type="expression" dxfId="350" priority="48" stopIfTrue="1">
      <formula>IF($AH9&lt;8,TRUE,)</formula>
    </cfRule>
  </conditionalFormatting>
  <conditionalFormatting sqref="V9:V18">
    <cfRule type="expression" dxfId="349" priority="49" stopIfTrue="1">
      <formula>IF($AH9&lt;9,TRUE,)</formula>
    </cfRule>
  </conditionalFormatting>
  <conditionalFormatting sqref="K43:K48">
    <cfRule type="iconSet" priority="14">
      <iconSet iconSet="3TrafficLights2" showValue="0" reverse="1">
        <cfvo type="percent" val="0"/>
        <cfvo type="num" val="3"/>
        <cfvo type="num" val="7"/>
      </iconSet>
    </cfRule>
  </conditionalFormatting>
  <conditionalFormatting sqref="C42">
    <cfRule type="iconSet" priority="5">
      <iconSet iconSet="3TrafficLights2" showValue="0" reverse="1">
        <cfvo type="percent" val="0"/>
        <cfvo type="num" val="4"/>
        <cfvo type="num" val="7"/>
      </iconSet>
    </cfRule>
  </conditionalFormatting>
  <conditionalFormatting sqref="C28">
    <cfRule type="iconSet" priority="4">
      <iconSet iconSet="3TrafficLights2" showValue="0" reverse="1">
        <cfvo type="percent" val="0"/>
        <cfvo type="num" val="4"/>
        <cfvo type="num" val="7"/>
      </iconSet>
    </cfRule>
  </conditionalFormatting>
  <conditionalFormatting sqref="M9:M18">
    <cfRule type="iconSet" priority="3">
      <iconSet iconSet="3TrafficLights2" showValue="0" reverse="1">
        <cfvo type="percent" val="0"/>
        <cfvo type="num" val="4"/>
        <cfvo type="num" val="7"/>
      </iconSet>
    </cfRule>
  </conditionalFormatting>
  <conditionalFormatting sqref="D27:U27">
    <cfRule type="expression" dxfId="348" priority="5379">
      <formula>IF(D$27="EQC",TRUE)</formula>
    </cfRule>
  </conditionalFormatting>
  <conditionalFormatting sqref="AD32:AD36 L29:L35">
    <cfRule type="iconSet" priority="5398">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176" activePane="bottomRight" state="frozen"/>
      <selection pane="topRight" activeCell="C1" sqref="C1"/>
      <selection pane="bottomLeft" activeCell="A5" sqref="A5"/>
      <selection pane="bottomRight" activeCell="A76" sqref="A76"/>
    </sheetView>
  </sheetViews>
  <sheetFormatPr defaultColWidth="9" defaultRowHeight="13.8" outlineLevelRow="1" outlineLevelCol="1"/>
  <cols>
    <col min="1" max="1" width="41.3984375" style="160" customWidth="1"/>
    <col min="2" max="2" width="3" style="1042" customWidth="1"/>
    <col min="3" max="3" width="24.19921875" style="910" customWidth="1" outlineLevel="1"/>
    <col min="4" max="4" width="3.19921875" style="911" customWidth="1"/>
    <col min="5" max="5" width="25.69921875" style="160" customWidth="1" outlineLevel="1"/>
    <col min="6" max="6" width="3.19921875" style="160" customWidth="1"/>
    <col min="7" max="7" width="25.69921875" style="160" customWidth="1" outlineLevel="1"/>
    <col min="8" max="8" width="3.19921875" style="160" customWidth="1"/>
    <col min="9" max="9" width="25.59765625" style="160" customWidth="1" outlineLevel="1"/>
    <col min="10" max="10" width="6.8984375" style="160" customWidth="1"/>
    <col min="11" max="11" width="31.5" style="160" customWidth="1"/>
    <col min="12" max="12" width="13.5" style="160" customWidth="1"/>
    <col min="13" max="13" width="1.69921875" style="160" customWidth="1"/>
    <col min="14" max="14" width="18.5" style="160" customWidth="1"/>
    <col min="15" max="16" width="9" style="160" customWidth="1"/>
    <col min="17" max="17" width="1.59765625" style="160" customWidth="1"/>
    <col min="18" max="18" width="12.8984375" style="160" customWidth="1"/>
    <col min="19" max="19" width="19.69921875" style="160" customWidth="1"/>
    <col min="20" max="23" width="9" style="160" customWidth="1"/>
    <col min="24" max="24" width="1.59765625" style="160" customWidth="1"/>
    <col min="25" max="25" width="20" style="160" customWidth="1"/>
    <col min="26" max="26" width="19.09765625" style="160" customWidth="1"/>
    <col min="27" max="27" width="18.69921875" style="160" customWidth="1"/>
    <col min="28" max="28" width="26.59765625" style="160" customWidth="1"/>
    <col min="29" max="29" width="8.59765625" style="160" customWidth="1"/>
    <col min="30" max="30" width="16" style="160" customWidth="1"/>
    <col min="31" max="31" width="8.3984375" style="160" customWidth="1"/>
    <col min="32" max="32" width="9.3984375" style="160" customWidth="1"/>
    <col min="33" max="33" width="1.69921875" style="160" customWidth="1"/>
    <col min="34" max="34" width="13.3984375" style="160" customWidth="1"/>
    <col min="35" max="39" width="9" style="160" customWidth="1"/>
    <col min="40" max="40" width="2.69921875" style="160" customWidth="1"/>
    <col min="41" max="41" width="1.59765625" style="160" customWidth="1"/>
    <col min="42" max="42" width="12.59765625" style="160" customWidth="1"/>
    <col min="43" max="47" width="9" style="160" customWidth="1"/>
    <col min="48" max="48" width="1.59765625" style="160" customWidth="1"/>
    <col min="49" max="49" width="11.8984375" style="160" customWidth="1"/>
    <col min="50" max="50" width="11.5" style="160" customWidth="1"/>
    <col min="51" max="51" width="10.3984375" style="160" customWidth="1"/>
    <col min="52" max="52" width="12.3984375" style="160" customWidth="1"/>
    <col min="53" max="53" width="10.19921875" style="160" customWidth="1"/>
    <col min="54" max="54" width="1.69921875" style="160" customWidth="1"/>
    <col min="55" max="55" width="14.5" style="160" customWidth="1"/>
    <col min="56" max="61" width="9" style="160" customWidth="1"/>
    <col min="62" max="62" width="1.59765625" style="160" customWidth="1"/>
    <col min="63" max="63" width="20.59765625" style="160" customWidth="1"/>
    <col min="64" max="68" width="9" style="160" customWidth="1"/>
    <col min="69" max="69" width="1.59765625" style="160" customWidth="1"/>
    <col min="70" max="70" width="20.59765625" style="160" customWidth="1"/>
    <col min="71" max="71" width="11.5" style="160" customWidth="1"/>
    <col min="72" max="72" width="10.3984375" style="160" customWidth="1"/>
    <col min="73" max="73" width="12.3984375" style="160" customWidth="1"/>
    <col min="74" max="74" width="10.19921875" style="160" customWidth="1"/>
    <col min="75" max="75" width="1.69921875" style="160" customWidth="1"/>
    <col min="76" max="76" width="20.59765625" style="160" customWidth="1"/>
    <col min="77" max="81" width="9" style="160" customWidth="1"/>
    <col min="82" max="82" width="1.59765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6" t="s">
        <v>0</v>
      </c>
    </row>
    <row r="3" spans="1:11" s="915" customFormat="1" ht="15.75" customHeight="1">
      <c r="A3" s="965"/>
      <c r="B3" s="1036" t="str">
        <f>IF(C.4Media="air","AQ",IF(C.4Media="water","WQ",IF(C.4Media="land","LQ","CP")))</f>
        <v>AQ</v>
      </c>
      <c r="C3" s="967" t="str">
        <f>C.4Program</f>
        <v>Environmental Solutions AQ Planning Section</v>
      </c>
      <c r="D3" s="965"/>
      <c r="E3" s="914"/>
      <c r="F3" s="913"/>
      <c r="G3" s="913"/>
      <c r="H3" s="913"/>
      <c r="I3" s="913"/>
      <c r="J3" s="913"/>
      <c r="K3" s="1206"/>
    </row>
    <row r="4" spans="1:11" ht="19.5" customHeight="1">
      <c r="A4" s="914"/>
      <c r="B4" s="1207" t="str">
        <f>C.2Divisions</f>
        <v>202-0060(3), 200</v>
      </c>
      <c r="C4" s="1207"/>
      <c r="D4" s="966"/>
      <c r="E4" s="914"/>
      <c r="F4" s="913"/>
      <c r="G4" s="913"/>
      <c r="H4" s="913"/>
      <c r="I4" s="913"/>
      <c r="J4" s="913"/>
      <c r="K4" s="1206"/>
    </row>
    <row r="5" spans="1:11" ht="19.5" hidden="1" customHeight="1">
      <c r="A5" s="914"/>
      <c r="B5" s="1044" t="s">
        <v>0</v>
      </c>
      <c r="C5" s="968" t="str">
        <f ca="1">CELL("filename")</f>
        <v>http://deqsps/programs/rulemaking/aq/sippm25/docs/1-Planning/[CONSIDERATIONS.xlsx]11Political</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DEQ proposes to incorporate the annual National Ambient Air Quality Standards for PM2.5 into the Oregon State Implementation Plan.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v>
      </c>
      <c r="D7" s="898"/>
      <c r="E7" s="919"/>
    </row>
    <row r="8" spans="1:11" ht="15" customHeight="1" collapsed="1">
      <c r="A8" s="922" t="s">
        <v>449</v>
      </c>
      <c r="B8" s="1037">
        <f>AVERAGEIF(B31:B175,"&gt;0")</f>
        <v>3.2826086956521738</v>
      </c>
      <c r="C8" s="923" t="str">
        <f>LOWER(C.2PermTemp)</f>
        <v>permanent</v>
      </c>
      <c r="D8" s="912"/>
      <c r="E8" s="919"/>
    </row>
    <row r="9" spans="1:11" ht="15" customHeight="1">
      <c r="A9" s="924" t="s">
        <v>451</v>
      </c>
      <c r="B9" s="1045"/>
      <c r="C9" s="926" t="str">
        <f>C.2Divisions</f>
        <v>202-0060(3), 200</v>
      </c>
      <c r="D9" s="925"/>
      <c r="E9" s="919"/>
    </row>
    <row r="10" spans="1:11" ht="15" customHeight="1">
      <c r="A10" s="924" t="s">
        <v>463</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0</v>
      </c>
      <c r="C17" s="926" t="str">
        <f>'2Basics'!H16</f>
        <v>does not apply</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We want to keep PM2.5 pollution below harmful levels and maintain a federally approved State Implementation Plan to protect air quality.</v>
      </c>
      <c r="D19" s="925"/>
      <c r="E19" s="919"/>
    </row>
    <row r="20" spans="1:5" s="915" customFormat="1" ht="15" hidden="1" customHeight="1" outlineLevel="1">
      <c r="A20" s="957" t="s">
        <v>466</v>
      </c>
      <c r="B20" s="1046"/>
      <c r="C20" s="959">
        <f>C.2IdealLong</f>
        <v>0</v>
      </c>
      <c r="D20" s="925"/>
      <c r="E20" s="919"/>
    </row>
    <row r="21" spans="1:5" s="915" customFormat="1" ht="15" hidden="1" customHeight="1" outlineLevel="1">
      <c r="A21" s="957" t="s">
        <v>471</v>
      </c>
      <c r="B21" s="1046"/>
      <c r="C21" s="959" t="str">
        <f>C.2Reality</f>
        <v xml:space="preserve">We're trying to incorporate the annual NAAQS for PM2.5 into Oregon's State Implementation Plan by Dec. 14, 2015. </v>
      </c>
      <c r="D21" s="925"/>
      <c r="E21" s="919"/>
    </row>
    <row r="22" spans="1:5" s="915" customFormat="1" ht="15" hidden="1" customHeight="1" outlineLevel="1">
      <c r="A22" s="957" t="s">
        <v>467</v>
      </c>
      <c r="B22" s="1046"/>
      <c r="C22" s="959" t="str">
        <f>C.2Reality</f>
        <v xml:space="preserve">We're trying to incorporate the annual NAAQS for PM2.5 into Oregon's State Implementation Plan by Dec. 14, 2015. </v>
      </c>
      <c r="D22" s="925"/>
      <c r="E22" s="919"/>
    </row>
    <row r="23" spans="1:5" s="915" customFormat="1" ht="15" hidden="1" customHeight="1" outlineLevel="1">
      <c r="A23" s="957" t="s">
        <v>468</v>
      </c>
      <c r="B23" s="1046"/>
      <c r="C23" s="959" t="str">
        <f>C.2Consequences</f>
        <v xml:space="preserve">If we do nothing, DEQ's SIP would become delinquent and DEQ could be sued and lose delegation of the AQ program.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Because the rules are necessary to comply with the CAA, DEQ is not considering other options.</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We need to determine if there's an interstate transport component to this rulemaking</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We can use previous similar rulemakings as a model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ht="27.6">
      <c r="A40" s="931" t="s">
        <v>120</v>
      </c>
      <c r="B40" s="1037">
        <f>'3Stakeholders'!AB8</f>
        <v>4</v>
      </c>
      <c r="C40" s="932" t="str">
        <f>'3Stakeholders'!AA8</f>
        <v>affects  hundreds currently regulated</v>
      </c>
      <c r="D40" s="901"/>
      <c r="E40" s="919"/>
    </row>
    <row r="41" spans="1:10">
      <c r="A41" s="931" t="s">
        <v>108</v>
      </c>
      <c r="B41" s="1037">
        <f>'3Stakeholders'!AB9</f>
        <v>3</v>
      </c>
      <c r="C41" s="933" t="str">
        <f>'3Stakeholders'!AA9</f>
        <v>affects  hundreds currently regulated</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2</v>
      </c>
      <c r="C47" s="932" t="str">
        <f>'3Stakeholders'!Y20</f>
        <v>minor interest</v>
      </c>
      <c r="D47" s="901"/>
      <c r="E47" s="919"/>
    </row>
    <row r="48" spans="1:10" ht="15.75" customHeight="1">
      <c r="A48" s="931" t="s">
        <v>335</v>
      </c>
      <c r="B48" s="1037">
        <f>'3Stakeholders'!X21</f>
        <v>2</v>
      </c>
      <c r="C48" s="932" t="str">
        <f>'3Stakeholders'!Y21</f>
        <v>minor interest</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Portland area</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1</v>
      </c>
      <c r="C70" s="997" t="str">
        <f>C.4SeverityStmt</f>
        <v>low</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2014-Q3 to 2015-Q4</v>
      </c>
      <c r="D104" s="904"/>
      <c r="E104" s="919"/>
    </row>
    <row r="105" spans="1:10" s="915" customFormat="1" ht="15" customHeight="1">
      <c r="A105" s="946" t="s">
        <v>54</v>
      </c>
      <c r="B105" s="1041">
        <f>'6Timing'!Z11</f>
        <v>0</v>
      </c>
      <c r="C105" s="988" t="str">
        <f>C.6SACStart.YrQtr</f>
        <v>2014-Q3</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7</v>
      </c>
      <c r="C107" s="923" t="str">
        <f>'6Timing'!AD13</f>
        <v>2014-Q4 to 2015-Q1</v>
      </c>
      <c r="D107" s="904"/>
      <c r="E107" s="919"/>
    </row>
    <row r="108" spans="1:10" ht="15" customHeight="1">
      <c r="A108" s="946" t="s">
        <v>460</v>
      </c>
      <c r="B108" s="1041">
        <f>'6Timing'!Z14</f>
        <v>0</v>
      </c>
      <c r="C108" s="923" t="str">
        <f>C.6SEQC.YrQtr</f>
        <v>2015-Q3</v>
      </c>
      <c r="D108" s="904"/>
      <c r="E108" s="919"/>
    </row>
    <row r="109" spans="1:10">
      <c r="A109" s="946" t="s">
        <v>55</v>
      </c>
      <c r="B109" s="1041">
        <f>'6Timing'!Z15</f>
        <v>0</v>
      </c>
      <c r="C109" s="1016" t="str">
        <f>C.6SEffective.YrQtr</f>
        <v>2015-Q4</v>
      </c>
    </row>
    <row r="110" spans="1:10" ht="15.75" hidden="1" customHeight="1" outlineLevel="1">
      <c r="A110" s="943" t="s">
        <v>497</v>
      </c>
      <c r="B110" s="1045"/>
      <c r="C110" s="1014" t="str">
        <f>C.6Rational</f>
        <v xml:space="preserve"> States need to adopt federal standards within 3 years. This update is due to EPA by Dec. 14, 2015.</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453</v>
      </c>
      <c r="B113" s="1046">
        <f>C.5SeverityRating</f>
        <v>1</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Timecenter: 43003  Rulemaking: AQ Infrastructure SIP - PM2.5 - Mgr 15</v>
      </c>
      <c r="D122" s="904"/>
      <c r="E122" s="919"/>
    </row>
    <row r="123" spans="1:5" ht="15.75" customHeight="1">
      <c r="A123" s="947" t="s">
        <v>329</v>
      </c>
      <c r="B123" s="1041"/>
      <c r="C123" s="942" t="str">
        <f>'7Financial'!E6</f>
        <v>Contingent on any effects to PSD, permitting or LRAPA</v>
      </c>
      <c r="D123" s="904"/>
      <c r="E123" s="919"/>
    </row>
    <row r="124" spans="1:5" ht="15.75" customHeight="1">
      <c r="A124" s="934" t="s">
        <v>113</v>
      </c>
      <c r="B124" s="1051">
        <f>C.7FiscalImpactRating</f>
        <v>6</v>
      </c>
      <c r="C124" s="935" t="s">
        <v>518</v>
      </c>
      <c r="D124" s="904"/>
      <c r="E124" s="919"/>
    </row>
    <row r="125" spans="1:5" ht="15.75" customHeight="1">
      <c r="A125" s="947" t="s">
        <v>334</v>
      </c>
      <c r="B125" s="1051">
        <f>'7Financial'!X25</f>
        <v>6</v>
      </c>
      <c r="C125" s="1056" t="str">
        <f>'7Financial'!Y25</f>
        <v>unknown at this time</v>
      </c>
      <c r="D125" s="950"/>
      <c r="E125" s="919"/>
    </row>
    <row r="126" spans="1:5" ht="15.75" customHeight="1">
      <c r="A126" s="947" t="s">
        <v>346</v>
      </c>
      <c r="B126" s="1051">
        <f>'7Financial'!X26</f>
        <v>6</v>
      </c>
      <c r="C126" s="1056" t="str">
        <f>'7Financial'!Y26</f>
        <v>unknown at this time</v>
      </c>
      <c r="D126" s="950"/>
      <c r="E126" s="919"/>
    </row>
    <row r="127" spans="1:5" ht="15.75" customHeight="1">
      <c r="A127" s="947" t="s">
        <v>335</v>
      </c>
      <c r="B127" s="1051">
        <f>'7Financial'!X27</f>
        <v>6</v>
      </c>
      <c r="C127" s="1056" t="str">
        <f>'7Financial'!Y27</f>
        <v>unknown at this time</v>
      </c>
      <c r="D127" s="950"/>
      <c r="E127" s="919"/>
    </row>
    <row r="128" spans="1:5" ht="15.75" customHeight="1">
      <c r="A128" s="947" t="s">
        <v>341</v>
      </c>
      <c r="B128" s="1051">
        <f>'7Financial'!X28</f>
        <v>6</v>
      </c>
      <c r="C128" s="1056" t="str">
        <f>'7Financial'!Y28</f>
        <v>unknown at this time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453</v>
      </c>
      <c r="B146" s="1051">
        <f>C.8SeverityRating</f>
        <v>3</v>
      </c>
      <c r="C146" s="942" t="str">
        <f>'8Legal'!Y14</f>
        <v>low to medium</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ORS 468 and 468A</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 110</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NA</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t="str">
        <f>C.9Description</f>
        <v xml:space="preserve">Develop Interstate Transport Submittals for 2012 PM 2.5, along with the 2008 Pb,  2010 NO2, and 2010 SO2 NAAQS </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Prevent DEQ from being listed as delinquent</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Contingent on any effects to PSD, permitting or LRAPA</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7.399999999999999"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7.399999999999999"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6" sqref="D6"/>
    </sheetView>
  </sheetViews>
  <sheetFormatPr defaultRowHeight="15"/>
  <cols>
    <col min="1" max="1" width="13.59765625" style="593"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60" customWidth="1"/>
    <col min="9" max="9" width="39.3984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2" t="s">
        <v>404</v>
      </c>
      <c r="E2" s="1212"/>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1"/>
      <c r="E4" s="1211"/>
      <c r="F4" s="1211"/>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96</v>
      </c>
      <c r="E6" s="838" t="s">
        <v>68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8" t="s">
        <v>489</v>
      </c>
      <c r="E15" s="1218"/>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8"/>
      <c r="E16" s="1209"/>
      <c r="F16" s="1210"/>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3"/>
      <c r="E18" s="1214"/>
      <c r="F18" s="1215"/>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6">
        <f ca="1">TODAY()</f>
        <v>41947</v>
      </c>
      <c r="F19" s="1216"/>
      <c r="G19" s="1217"/>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B49" zoomScaleNormal="100" workbookViewId="0">
      <selection activeCell="E37" sqref="E37:T37"/>
    </sheetView>
  </sheetViews>
  <sheetFormatPr defaultRowHeight="13.8" outlineLevelCol="1"/>
  <cols>
    <col min="1" max="1" width="13.69921875" style="598"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60" customWidth="1"/>
    <col min="23" max="23" width="30.59765625" style="160" customWidth="1"/>
    <col min="24" max="24" width="9" style="160" hidden="1" customWidth="1" outlineLevel="1"/>
    <col min="25" max="25" width="36.69921875" hidden="1" customWidth="1" outlineLevel="1"/>
    <col min="26" max="26" width="11.3984375" hidden="1" customWidth="1" outlineLevel="1"/>
    <col min="27" max="27" width="11.3984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20" t="s">
        <v>1074</v>
      </c>
      <c r="G2" s="1220"/>
      <c r="H2" s="1220"/>
      <c r="I2" s="1220"/>
      <c r="J2" s="1220"/>
      <c r="K2" s="1220"/>
      <c r="L2" s="1220"/>
      <c r="M2" s="1220"/>
      <c r="N2" s="1220"/>
      <c r="O2" s="1220"/>
      <c r="P2" s="1220"/>
      <c r="Q2" s="1220"/>
      <c r="R2" s="1220"/>
      <c r="S2" s="1220"/>
      <c r="T2" s="1220"/>
      <c r="U2" s="200"/>
      <c r="V2" s="559"/>
      <c r="W2" s="1252"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2"/>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19" t="s">
        <v>1026</v>
      </c>
      <c r="B4" s="559"/>
      <c r="C4" s="388" t="s">
        <v>0</v>
      </c>
      <c r="D4" s="1228" t="s">
        <v>214</v>
      </c>
      <c r="E4" s="1228"/>
      <c r="F4" s="1228"/>
      <c r="G4" s="1228"/>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87.75" customHeight="1">
      <c r="A5" s="1219"/>
      <c r="B5" s="559"/>
      <c r="C5" s="279"/>
      <c r="D5" s="1235" t="s">
        <v>1080</v>
      </c>
      <c r="E5" s="1236"/>
      <c r="F5" s="1236"/>
      <c r="G5" s="1236"/>
      <c r="H5" s="1236"/>
      <c r="I5" s="1236"/>
      <c r="J5" s="1236"/>
      <c r="K5" s="1236"/>
      <c r="L5" s="1236"/>
      <c r="M5" s="1236"/>
      <c r="N5" s="1236"/>
      <c r="O5" s="1236"/>
      <c r="P5" s="1236"/>
      <c r="Q5" s="1236"/>
      <c r="R5" s="1236"/>
      <c r="S5" s="1236"/>
      <c r="T5" s="1237"/>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19"/>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6" t="s">
        <v>375</v>
      </c>
      <c r="G7" s="1257"/>
      <c r="H7" s="1262" t="s">
        <v>210</v>
      </c>
      <c r="I7" s="1263"/>
      <c r="J7" s="1264"/>
      <c r="K7" s="1230" t="s">
        <v>1067</v>
      </c>
      <c r="L7" s="1231"/>
      <c r="M7" s="1231"/>
      <c r="N7" s="1231"/>
      <c r="O7" s="1231"/>
      <c r="P7" s="1231"/>
      <c r="Q7" s="1231"/>
      <c r="R7" s="1231"/>
      <c r="S7" s="1231"/>
      <c r="T7" s="1232"/>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1" t="s">
        <v>423</v>
      </c>
      <c r="E8" s="1261"/>
      <c r="F8" s="1261"/>
      <c r="G8" s="1261"/>
      <c r="H8" s="1261"/>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29" t="s">
        <v>371</v>
      </c>
      <c r="F9" s="1229"/>
      <c r="G9" s="1229"/>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65" t="s">
        <v>384</v>
      </c>
      <c r="F10" s="1265"/>
      <c r="G10" s="1266"/>
      <c r="H10" s="1258" t="s">
        <v>4</v>
      </c>
      <c r="I10" s="1258"/>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3" t="s">
        <v>385</v>
      </c>
      <c r="F11" s="1233"/>
      <c r="G11" s="1234"/>
      <c r="H11" s="1238" t="s">
        <v>4</v>
      </c>
      <c r="I11" s="1238"/>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3" t="s">
        <v>386</v>
      </c>
      <c r="F12" s="1233"/>
      <c r="G12" s="1234"/>
      <c r="H12" s="1238" t="s">
        <v>4</v>
      </c>
      <c r="I12" s="1238"/>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3" t="s">
        <v>390</v>
      </c>
      <c r="F13" s="1233"/>
      <c r="G13" s="1234"/>
      <c r="H13" s="1238" t="s">
        <v>4</v>
      </c>
      <c r="I13" s="1238"/>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3" t="s">
        <v>389</v>
      </c>
      <c r="F14" s="1233"/>
      <c r="G14" s="1234"/>
      <c r="H14" s="1238" t="s">
        <v>8</v>
      </c>
      <c r="I14" s="1238"/>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3" t="s">
        <v>388</v>
      </c>
      <c r="F15" s="1233"/>
      <c r="G15" s="1234"/>
      <c r="H15" s="1238" t="s">
        <v>8</v>
      </c>
      <c r="I15" s="1238"/>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3" t="s">
        <v>387</v>
      </c>
      <c r="F16" s="1233"/>
      <c r="G16" s="1234"/>
      <c r="H16" s="1238" t="s">
        <v>4</v>
      </c>
      <c r="I16" s="1238"/>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3" t="s">
        <v>452</v>
      </c>
      <c r="F17" s="1233"/>
      <c r="G17" s="1234"/>
      <c r="H17" s="1238" t="s">
        <v>4</v>
      </c>
      <c r="I17" s="1238"/>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3" t="s">
        <v>107</v>
      </c>
      <c r="H20" s="1253"/>
      <c r="I20" s="1253"/>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39" t="s">
        <v>376</v>
      </c>
      <c r="E21" s="1239"/>
      <c r="F21" s="1239"/>
      <c r="G21" s="1239"/>
      <c r="H21" s="1239"/>
      <c r="I21" s="1239"/>
      <c r="J21" s="1239"/>
      <c r="K21" s="1239"/>
      <c r="L21" s="1239"/>
      <c r="M21" s="1239"/>
      <c r="N21" s="1239"/>
      <c r="O21" s="1239"/>
      <c r="P21" s="1239"/>
      <c r="Q21" s="1239"/>
      <c r="R21" s="1239"/>
      <c r="S21" s="1239"/>
      <c r="T21" s="1239"/>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4" t="s">
        <v>1075</v>
      </c>
      <c r="F22" s="1245"/>
      <c r="G22" s="1245"/>
      <c r="H22" s="1245"/>
      <c r="I22" s="1245"/>
      <c r="J22" s="1245"/>
      <c r="K22" s="1245"/>
      <c r="L22" s="1245"/>
      <c r="M22" s="1245"/>
      <c r="N22" s="1245"/>
      <c r="O22" s="1245"/>
      <c r="P22" s="1245"/>
      <c r="Q22" s="1245"/>
      <c r="R22" s="1245"/>
      <c r="S22" s="1245"/>
      <c r="T22" s="1246"/>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44"/>
      <c r="F23" s="1245"/>
      <c r="G23" s="1245"/>
      <c r="H23" s="1245"/>
      <c r="I23" s="1245"/>
      <c r="J23" s="1245"/>
      <c r="K23" s="1245"/>
      <c r="L23" s="1245"/>
      <c r="M23" s="1245"/>
      <c r="N23" s="1245"/>
      <c r="O23" s="1245"/>
      <c r="P23" s="1245"/>
      <c r="Q23" s="1245"/>
      <c r="R23" s="1245"/>
      <c r="S23" s="1245"/>
      <c r="T23" s="1246"/>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39" t="s">
        <v>377</v>
      </c>
      <c r="E24" s="1239"/>
      <c r="F24" s="1239"/>
      <c r="G24" s="1239"/>
      <c r="H24" s="1239"/>
      <c r="I24" s="1239"/>
      <c r="J24" s="1239"/>
      <c r="K24" s="1239"/>
      <c r="L24" s="1239"/>
      <c r="M24" s="1239"/>
      <c r="N24" s="1239"/>
      <c r="O24" s="1239"/>
      <c r="P24" s="1239"/>
      <c r="Q24" s="1239"/>
      <c r="R24" s="1239"/>
      <c r="S24" s="1239"/>
      <c r="T24" s="1239"/>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47" t="s">
        <v>1076</v>
      </c>
      <c r="F25" s="1248"/>
      <c r="G25" s="1248"/>
      <c r="H25" s="1248"/>
      <c r="I25" s="1248"/>
      <c r="J25" s="1248"/>
      <c r="K25" s="1248"/>
      <c r="L25" s="1248"/>
      <c r="M25" s="1248"/>
      <c r="N25" s="1248"/>
      <c r="O25" s="1248"/>
      <c r="P25" s="1248"/>
      <c r="Q25" s="1248"/>
      <c r="R25" s="1248"/>
      <c r="S25" s="1248"/>
      <c r="T25" s="1249"/>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47"/>
      <c r="F26" s="1248"/>
      <c r="G26" s="1248"/>
      <c r="H26" s="1248"/>
      <c r="I26" s="1248"/>
      <c r="J26" s="1248"/>
      <c r="K26" s="1248"/>
      <c r="L26" s="1248"/>
      <c r="M26" s="1248"/>
      <c r="N26" s="1248"/>
      <c r="O26" s="1248"/>
      <c r="P26" s="1248"/>
      <c r="Q26" s="1248"/>
      <c r="R26" s="1248"/>
      <c r="S26" s="1248"/>
      <c r="T26" s="1249"/>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39" t="s">
        <v>378</v>
      </c>
      <c r="E27" s="1239"/>
      <c r="F27" s="1239"/>
      <c r="G27" s="1239"/>
      <c r="H27" s="1239"/>
      <c r="I27" s="1239"/>
      <c r="J27" s="1239"/>
      <c r="K27" s="1239"/>
      <c r="L27" s="1239"/>
      <c r="M27" s="1239"/>
      <c r="N27" s="1239"/>
      <c r="O27" s="1239"/>
      <c r="P27" s="1239"/>
      <c r="Q27" s="1239"/>
      <c r="R27" s="1239"/>
      <c r="S27" s="1239"/>
      <c r="T27" s="1239"/>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47" t="s">
        <v>1077</v>
      </c>
      <c r="F28" s="1248"/>
      <c r="G28" s="1248"/>
      <c r="H28" s="1248"/>
      <c r="I28" s="1248"/>
      <c r="J28" s="1248"/>
      <c r="K28" s="1248"/>
      <c r="L28" s="1248"/>
      <c r="M28" s="1248"/>
      <c r="N28" s="1248"/>
      <c r="O28" s="1248"/>
      <c r="P28" s="1248"/>
      <c r="Q28" s="1248"/>
      <c r="R28" s="1248"/>
      <c r="S28" s="1248"/>
      <c r="T28" s="1249"/>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47" t="s">
        <v>470</v>
      </c>
      <c r="F29" s="1248"/>
      <c r="G29" s="1248"/>
      <c r="H29" s="1248"/>
      <c r="I29" s="1248"/>
      <c r="J29" s="1248"/>
      <c r="K29" s="1248"/>
      <c r="L29" s="1248"/>
      <c r="M29" s="1248"/>
      <c r="N29" s="1248"/>
      <c r="O29" s="1248"/>
      <c r="P29" s="1248"/>
      <c r="Q29" s="1248"/>
      <c r="R29" s="1248"/>
      <c r="S29" s="1248"/>
      <c r="T29" s="1249"/>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 customHeight="1">
      <c r="A30" s="599"/>
      <c r="B30" s="559"/>
      <c r="C30" s="388" t="s">
        <v>0</v>
      </c>
      <c r="D30" s="1239" t="s">
        <v>392</v>
      </c>
      <c r="E30" s="1239"/>
      <c r="F30" s="1239"/>
      <c r="G30" s="1239"/>
      <c r="H30" s="1239"/>
      <c r="I30" s="1239"/>
      <c r="J30" s="1239"/>
      <c r="K30" s="1239"/>
      <c r="L30" s="1239"/>
      <c r="M30" s="1239"/>
      <c r="N30" s="1239"/>
      <c r="O30" s="1239"/>
      <c r="P30" s="1239"/>
      <c r="Q30" s="1239"/>
      <c r="R30" s="1239"/>
      <c r="S30" s="1239"/>
      <c r="T30" s="1239"/>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4" t="s">
        <v>1072</v>
      </c>
      <c r="F31" s="1245"/>
      <c r="G31" s="1245"/>
      <c r="H31" s="1245"/>
      <c r="I31" s="1245"/>
      <c r="J31" s="1245"/>
      <c r="K31" s="1245"/>
      <c r="L31" s="1245"/>
      <c r="M31" s="1245"/>
      <c r="N31" s="1245"/>
      <c r="O31" s="1245"/>
      <c r="P31" s="1245"/>
      <c r="Q31" s="1245"/>
      <c r="R31" s="1245"/>
      <c r="S31" s="1245"/>
      <c r="T31" s="1246"/>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44" t="s">
        <v>470</v>
      </c>
      <c r="F32" s="1245"/>
      <c r="G32" s="1245"/>
      <c r="H32" s="1245"/>
      <c r="I32" s="1245"/>
      <c r="J32" s="1245"/>
      <c r="K32" s="1245"/>
      <c r="L32" s="1245"/>
      <c r="M32" s="1245"/>
      <c r="N32" s="1245"/>
      <c r="O32" s="1245"/>
      <c r="P32" s="1245"/>
      <c r="Q32" s="1245"/>
      <c r="R32" s="1245"/>
      <c r="S32" s="1245"/>
      <c r="T32" s="1246"/>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 customHeight="1">
      <c r="A33" s="599"/>
      <c r="B33" s="559"/>
      <c r="C33" s="388" t="s">
        <v>0</v>
      </c>
      <c r="D33" s="1239" t="s">
        <v>393</v>
      </c>
      <c r="E33" s="1239"/>
      <c r="F33" s="1239"/>
      <c r="G33" s="1239"/>
      <c r="H33" s="1239"/>
      <c r="I33" s="1239"/>
      <c r="J33" s="1239"/>
      <c r="K33" s="1239"/>
      <c r="L33" s="1239"/>
      <c r="M33" s="1239"/>
      <c r="N33" s="1239"/>
      <c r="O33" s="1239"/>
      <c r="P33" s="1239"/>
      <c r="Q33" s="1239"/>
      <c r="R33" s="1239"/>
      <c r="S33" s="1239"/>
      <c r="T33" s="1239"/>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1" t="s">
        <v>1078</v>
      </c>
      <c r="F34" s="1242"/>
      <c r="G34" s="1242"/>
      <c r="H34" s="1242"/>
      <c r="I34" s="1242"/>
      <c r="J34" s="1242"/>
      <c r="K34" s="1242"/>
      <c r="L34" s="1242"/>
      <c r="M34" s="1242"/>
      <c r="N34" s="1242"/>
      <c r="O34" s="1242"/>
      <c r="P34" s="1242"/>
      <c r="Q34" s="1242"/>
      <c r="R34" s="1242"/>
      <c r="S34" s="1242"/>
      <c r="T34" s="1243"/>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41" t="s">
        <v>470</v>
      </c>
      <c r="F35" s="1242"/>
      <c r="G35" s="1242"/>
      <c r="H35" s="1242"/>
      <c r="I35" s="1242"/>
      <c r="J35" s="1242"/>
      <c r="K35" s="1242"/>
      <c r="L35" s="1242"/>
      <c r="M35" s="1242"/>
      <c r="N35" s="1242"/>
      <c r="O35" s="1242"/>
      <c r="P35" s="1242"/>
      <c r="Q35" s="1242"/>
      <c r="R35" s="1242"/>
      <c r="S35" s="1242"/>
      <c r="T35" s="1243"/>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 customHeight="1">
      <c r="A36" s="599"/>
      <c r="B36" s="559"/>
      <c r="C36" s="388" t="s">
        <v>0</v>
      </c>
      <c r="D36" s="1270" t="s">
        <v>411</v>
      </c>
      <c r="E36" s="1270"/>
      <c r="F36" s="1270"/>
      <c r="G36" s="1270"/>
      <c r="H36" s="1270"/>
      <c r="I36" s="1270"/>
      <c r="J36" s="1270"/>
      <c r="K36" s="1270"/>
      <c r="L36" s="1270"/>
      <c r="M36" s="1270"/>
      <c r="N36" s="1270"/>
      <c r="O36" s="1270"/>
      <c r="P36" s="1270"/>
      <c r="Q36" s="1270"/>
      <c r="R36" s="1270"/>
      <c r="S36" s="1270"/>
      <c r="T36" s="1270"/>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41" t="s">
        <v>1079</v>
      </c>
      <c r="F37" s="1242"/>
      <c r="G37" s="1242"/>
      <c r="H37" s="1242"/>
      <c r="I37" s="1242"/>
      <c r="J37" s="1242"/>
      <c r="K37" s="1242"/>
      <c r="L37" s="1242"/>
      <c r="M37" s="1242"/>
      <c r="N37" s="1242"/>
      <c r="O37" s="1242"/>
      <c r="P37" s="1242"/>
      <c r="Q37" s="1242"/>
      <c r="R37" s="1242"/>
      <c r="S37" s="1242"/>
      <c r="T37" s="1243"/>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1" t="s">
        <v>470</v>
      </c>
      <c r="F38" s="1242"/>
      <c r="G38" s="1242"/>
      <c r="H38" s="1242"/>
      <c r="I38" s="1242"/>
      <c r="J38" s="1242"/>
      <c r="K38" s="1242"/>
      <c r="L38" s="1242"/>
      <c r="M38" s="1242"/>
      <c r="N38" s="1242"/>
      <c r="O38" s="1242"/>
      <c r="P38" s="1242"/>
      <c r="Q38" s="1242"/>
      <c r="R38" s="1242"/>
      <c r="S38" s="1242"/>
      <c r="T38" s="1243"/>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3" t="s">
        <v>397</v>
      </c>
      <c r="H39" s="1223"/>
      <c r="I39" s="1223"/>
      <c r="J39" s="1223"/>
      <c r="K39" s="1223"/>
      <c r="L39" s="1223"/>
      <c r="M39" s="1223"/>
      <c r="N39" s="1223"/>
      <c r="O39" s="1223"/>
      <c r="P39" s="1223"/>
      <c r="Q39" s="1223"/>
      <c r="R39" s="1223"/>
      <c r="S39" s="1223"/>
      <c r="T39" s="1223"/>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5" t="s">
        <v>226</v>
      </c>
      <c r="E43" s="1255"/>
      <c r="F43" s="1255"/>
      <c r="G43" s="1255"/>
      <c r="H43" s="1255"/>
      <c r="I43" s="1255"/>
      <c r="J43" s="1255"/>
      <c r="K43" s="1255"/>
      <c r="L43" s="1255"/>
      <c r="M43" s="1255"/>
      <c r="N43" s="1255"/>
      <c r="O43" s="1255"/>
      <c r="P43" s="1255"/>
      <c r="Q43" s="1255"/>
      <c r="R43" s="1255"/>
      <c r="S43" s="1255"/>
      <c r="T43" s="1255"/>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59" t="s">
        <v>118</v>
      </c>
      <c r="E44" s="1259"/>
      <c r="F44" s="1259"/>
      <c r="G44" s="472"/>
      <c r="H44" s="1260" t="s">
        <v>119</v>
      </c>
      <c r="I44" s="1260"/>
      <c r="J44" s="1260"/>
      <c r="K44" s="1260"/>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4" t="s">
        <v>0</v>
      </c>
      <c r="E45" s="1254"/>
      <c r="F45" s="1254"/>
      <c r="G45" s="1254"/>
      <c r="H45" s="1254" t="s">
        <v>0</v>
      </c>
      <c r="I45" s="1254"/>
      <c r="J45" s="1254"/>
      <c r="K45" s="1254"/>
      <c r="L45" s="1254"/>
      <c r="M45" s="1254"/>
      <c r="N45" s="1254"/>
      <c r="O45" s="1254"/>
      <c r="P45" s="1254"/>
      <c r="Q45" s="1254"/>
      <c r="R45" s="1254"/>
      <c r="S45" s="1254"/>
      <c r="T45" s="125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4" t="s">
        <v>0</v>
      </c>
      <c r="E46" s="1254"/>
      <c r="F46" s="1254"/>
      <c r="G46" s="1254"/>
      <c r="H46" s="1254" t="s">
        <v>0</v>
      </c>
      <c r="I46" s="1254"/>
      <c r="J46" s="1254"/>
      <c r="K46" s="1254"/>
      <c r="L46" s="1254"/>
      <c r="M46" s="1254"/>
      <c r="N46" s="1254"/>
      <c r="O46" s="1254"/>
      <c r="P46" s="1254"/>
      <c r="Q46" s="1254"/>
      <c r="R46" s="1254"/>
      <c r="S46" s="1254"/>
      <c r="T46" s="125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4" t="s">
        <v>0</v>
      </c>
      <c r="E47" s="1254"/>
      <c r="F47" s="1254"/>
      <c r="G47" s="1254"/>
      <c r="H47" s="1254" t="s">
        <v>0</v>
      </c>
      <c r="I47" s="1254"/>
      <c r="J47" s="1254"/>
      <c r="K47" s="1254"/>
      <c r="L47" s="1254"/>
      <c r="M47" s="1254"/>
      <c r="N47" s="1254"/>
      <c r="O47" s="1254"/>
      <c r="P47" s="1254"/>
      <c r="Q47" s="1254"/>
      <c r="R47" s="1254"/>
      <c r="S47" s="1254"/>
      <c r="T47" s="125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71" t="s">
        <v>374</v>
      </c>
      <c r="E49" s="1271"/>
      <c r="F49" s="1271"/>
      <c r="G49" s="1271"/>
      <c r="H49" s="1271"/>
      <c r="I49" s="1271"/>
      <c r="J49" s="1271"/>
      <c r="K49" s="1271"/>
      <c r="L49" s="1271"/>
      <c r="M49" s="1271"/>
      <c r="N49" s="1271"/>
      <c r="O49" s="1271"/>
      <c r="P49" s="1271"/>
      <c r="Q49" s="1271"/>
      <c r="R49" s="1271"/>
      <c r="S49" s="1271"/>
      <c r="T49" s="1271"/>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1" t="s">
        <v>396</v>
      </c>
      <c r="G50" s="1251"/>
      <c r="H50" s="1251"/>
      <c r="I50" s="1251"/>
      <c r="J50" s="1251"/>
      <c r="K50" s="1251"/>
      <c r="L50" s="1251"/>
      <c r="M50" s="1251"/>
      <c r="N50" s="1251"/>
      <c r="O50" s="1251"/>
      <c r="P50" s="1251"/>
      <c r="Q50" s="1251"/>
      <c r="R50" s="1251"/>
      <c r="S50" s="1251"/>
      <c r="T50" s="1251"/>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0" t="s">
        <v>130</v>
      </c>
      <c r="E52" s="1250"/>
      <c r="F52" s="1224"/>
      <c r="G52" s="1224"/>
      <c r="H52" s="1225"/>
      <c r="I52" s="1225"/>
      <c r="J52" s="1226"/>
      <c r="K52" s="1226"/>
      <c r="L52" s="1226"/>
      <c r="M52" s="1226"/>
      <c r="N52" s="1226"/>
      <c r="O52" s="1226"/>
      <c r="P52" s="1226"/>
      <c r="Q52" s="1226"/>
      <c r="R52" s="1226"/>
      <c r="S52" s="1226"/>
      <c r="T52" s="1226"/>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0" t="s">
        <v>131</v>
      </c>
      <c r="E53" s="1250"/>
      <c r="F53" s="1224"/>
      <c r="G53" s="1224"/>
      <c r="H53" s="1225"/>
      <c r="I53" s="1225"/>
      <c r="J53" s="1226"/>
      <c r="K53" s="1226"/>
      <c r="L53" s="1226"/>
      <c r="M53" s="1226"/>
      <c r="N53" s="1226"/>
      <c r="O53" s="1226"/>
      <c r="P53" s="1226"/>
      <c r="Q53" s="1226"/>
      <c r="R53" s="1226"/>
      <c r="S53" s="1226"/>
      <c r="T53" s="1226"/>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6">
      <c r="B55" s="559"/>
      <c r="C55" s="398"/>
      <c r="D55" s="1274" t="s">
        <v>126</v>
      </c>
      <c r="E55" s="1275"/>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27" t="str">
        <f>Y57</f>
        <v>Asbestos License</v>
      </c>
      <c r="E57" s="1227"/>
      <c r="F57" s="1224"/>
      <c r="G57" s="1224"/>
      <c r="H57" s="1225"/>
      <c r="I57" s="1225"/>
      <c r="J57" s="1226"/>
      <c r="K57" s="1226"/>
      <c r="L57" s="1226"/>
      <c r="M57" s="1226"/>
      <c r="N57" s="1226"/>
      <c r="O57" s="1226"/>
      <c r="P57" s="1226"/>
      <c r="Q57" s="1226"/>
      <c r="R57" s="1226"/>
      <c r="S57" s="1226"/>
      <c r="T57" s="1226"/>
      <c r="U57" s="362"/>
      <c r="V57" s="559" t="s">
        <v>0</v>
      </c>
      <c r="W57" s="501"/>
      <c r="X57" s="551">
        <v>1</v>
      </c>
      <c r="Y57" s="550" t="str">
        <f>IF($D$55=C.PermitType0,"",IF($D$55=C.PermitType1,DDLs!C66,IF($D$55=C.PermitType2,DDLs!D66,IF($D$55=C.PermitType3,DDLs!E66,DDLs!F66))))</f>
        <v>Asbestos License</v>
      </c>
      <c r="Z57" s="1267"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27" t="str">
        <f t="shared" ref="D58:D63" si="1">Y58</f>
        <v>Air Contaminant Discharge Permit</v>
      </c>
      <c r="E58" s="1227"/>
      <c r="F58" s="1224"/>
      <c r="G58" s="1224"/>
      <c r="H58" s="1225"/>
      <c r="I58" s="1225"/>
      <c r="J58" s="1226"/>
      <c r="K58" s="1226"/>
      <c r="L58" s="1226"/>
      <c r="M58" s="1226"/>
      <c r="N58" s="1226"/>
      <c r="O58" s="1226"/>
      <c r="P58" s="1226"/>
      <c r="Q58" s="1226"/>
      <c r="R58" s="1226"/>
      <c r="S58" s="1226"/>
      <c r="T58" s="1226"/>
      <c r="U58" s="362"/>
      <c r="V58" s="559" t="s">
        <v>0</v>
      </c>
      <c r="W58" s="501"/>
      <c r="X58" s="551">
        <v>1</v>
      </c>
      <c r="Y58" s="550" t="str">
        <f>IF($D$55=C.PermitType0,"",IF($D$55=C.PermitType1,DDLs!C67,IF($D$55=C.PermitType2,DDLs!D67,IF($D$55=C.PermitType3,DDLs!E67,DDLs!F67))))</f>
        <v>Air Contaminant Discharge Permit</v>
      </c>
      <c r="Z58" s="1268"/>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27" t="str">
        <f t="shared" si="1"/>
        <v>Air Quality Registrations</v>
      </c>
      <c r="E59" s="1227"/>
      <c r="F59" s="1224"/>
      <c r="G59" s="1224"/>
      <c r="H59" s="1225"/>
      <c r="I59" s="1225"/>
      <c r="J59" s="1226"/>
      <c r="K59" s="1226"/>
      <c r="L59" s="1226"/>
      <c r="M59" s="1226"/>
      <c r="N59" s="1226"/>
      <c r="O59" s="1226"/>
      <c r="P59" s="1226"/>
      <c r="Q59" s="1226"/>
      <c r="R59" s="1226"/>
      <c r="S59" s="1226"/>
      <c r="T59" s="1226"/>
      <c r="U59" s="362"/>
      <c r="V59" s="559"/>
      <c r="W59" s="501"/>
      <c r="X59" s="551">
        <v>1</v>
      </c>
      <c r="Y59" s="550" t="str">
        <f>IF($D$55=C.PermitType0,"",IF($D$55=C.PermitType1,DDLs!C68,IF($D$55=C.PermitType2,DDLs!D68,IF($D$55=C.PermitType3,DDLs!E68,DDLs!F68))))</f>
        <v>Air Quality Registrations</v>
      </c>
      <c r="Z59" s="1268"/>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27" t="str">
        <f t="shared" si="1"/>
        <v>Open Burning Letter Permit</v>
      </c>
      <c r="E60" s="1227"/>
      <c r="F60" s="1224"/>
      <c r="G60" s="1224"/>
      <c r="H60" s="1225"/>
      <c r="I60" s="1225"/>
      <c r="J60" s="1226"/>
      <c r="K60" s="1226"/>
      <c r="L60" s="1226"/>
      <c r="M60" s="1226"/>
      <c r="N60" s="1226"/>
      <c r="O60" s="1226"/>
      <c r="P60" s="1226"/>
      <c r="Q60" s="1226"/>
      <c r="R60" s="1226"/>
      <c r="S60" s="1226"/>
      <c r="T60" s="1226"/>
      <c r="U60" s="362"/>
      <c r="V60" s="559" t="s">
        <v>0</v>
      </c>
      <c r="W60" s="501"/>
      <c r="X60" s="551">
        <v>1</v>
      </c>
      <c r="Y60" s="550" t="str">
        <f>IF($D$55=C.PermitType0,"",IF($D$55=C.PermitType1,DDLs!C69,IF($D$55=C.PermitType2,DDLs!D69,IF($D$55=C.PermitType3,DDLs!E69,DDLs!F69))))</f>
        <v>Open Burning Letter Permit</v>
      </c>
      <c r="Z60" s="1268"/>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27" t="str">
        <f t="shared" si="1"/>
        <v>Tanker Certification</v>
      </c>
      <c r="E61" s="1227"/>
      <c r="F61" s="1224"/>
      <c r="G61" s="1224"/>
      <c r="H61" s="1225"/>
      <c r="I61" s="1225"/>
      <c r="J61" s="1226"/>
      <c r="K61" s="1226"/>
      <c r="L61" s="1226"/>
      <c r="M61" s="1226"/>
      <c r="N61" s="1226"/>
      <c r="O61" s="1226"/>
      <c r="P61" s="1226"/>
      <c r="Q61" s="1226"/>
      <c r="R61" s="1226"/>
      <c r="S61" s="1226"/>
      <c r="T61" s="1226"/>
      <c r="U61" s="362"/>
      <c r="V61" s="559" t="s">
        <v>0</v>
      </c>
      <c r="W61" s="501"/>
      <c r="X61" s="551">
        <v>1</v>
      </c>
      <c r="Y61" s="550" t="str">
        <f>IF($D$55=C.PermitType0,"",IF($D$55=C.PermitType1,DDLs!C70,IF($D$55=C.PermitType2,DDLs!D70,IF($D$55=C.PermitType3,DDLs!E70,DDLs!F70))))</f>
        <v>Tanker Certification</v>
      </c>
      <c r="Z61" s="1268"/>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27" t="str">
        <f t="shared" si="1"/>
        <v>Title V permit</v>
      </c>
      <c r="E62" s="1227"/>
      <c r="F62" s="1224"/>
      <c r="G62" s="1224"/>
      <c r="H62" s="1225"/>
      <c r="I62" s="1225"/>
      <c r="J62" s="1226"/>
      <c r="K62" s="1226"/>
      <c r="L62" s="1226"/>
      <c r="M62" s="1226"/>
      <c r="N62" s="1226"/>
      <c r="O62" s="1226"/>
      <c r="P62" s="1226"/>
      <c r="Q62" s="1226"/>
      <c r="R62" s="1226"/>
      <c r="S62" s="1226"/>
      <c r="T62" s="1226"/>
      <c r="U62" s="362"/>
      <c r="V62" s="559"/>
      <c r="W62" s="501"/>
      <c r="X62" s="551">
        <v>1</v>
      </c>
      <c r="Y62" s="550" t="str">
        <f>IF($D$55=C.PermitType0,"",IF($D$55=C.PermitType1,DDLs!C71,IF($D$55=C.PermitType2,DDLs!D71,IF($D$55=C.PermitType3,DDLs!E71,DDLs!F71))))</f>
        <v>Title V permit</v>
      </c>
      <c r="Z62" s="1268"/>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27" t="str">
        <f t="shared" si="1"/>
        <v>Vehicle Emissions Certification</v>
      </c>
      <c r="E63" s="1227"/>
      <c r="F63" s="1224"/>
      <c r="G63" s="1224"/>
      <c r="H63" s="1225"/>
      <c r="I63" s="1225"/>
      <c r="J63" s="1226"/>
      <c r="K63" s="1226"/>
      <c r="L63" s="1226"/>
      <c r="M63" s="1226"/>
      <c r="N63" s="1226"/>
      <c r="O63" s="1226"/>
      <c r="P63" s="1226"/>
      <c r="Q63" s="1226"/>
      <c r="R63" s="1226"/>
      <c r="S63" s="1226"/>
      <c r="T63" s="1226"/>
      <c r="U63" s="362"/>
      <c r="V63" s="559" t="s">
        <v>0</v>
      </c>
      <c r="W63" s="501"/>
      <c r="X63" s="551">
        <v>1</v>
      </c>
      <c r="Y63" s="550" t="str">
        <f>IF($D$55=C.PermitType0,"",IF($D$55=C.PermitType1,DDLs!C72,IF($D$55=C.PermitType2,DDLs!D72,IF($D$55=C.PermitType3,DDLs!E72,DDLs!F72))))</f>
        <v>Vehicle Emissions Certification</v>
      </c>
      <c r="Z63" s="1268"/>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72" t="s">
        <v>448</v>
      </c>
      <c r="E64" s="1272"/>
      <c r="F64" s="1224"/>
      <c r="G64" s="1224"/>
      <c r="H64" s="1225"/>
      <c r="I64" s="1225"/>
      <c r="J64" s="1226"/>
      <c r="K64" s="1226"/>
      <c r="L64" s="1226"/>
      <c r="M64" s="1226"/>
      <c r="N64" s="1226"/>
      <c r="O64" s="1226"/>
      <c r="P64" s="1226"/>
      <c r="Q64" s="1226"/>
      <c r="R64" s="1226"/>
      <c r="S64" s="1226"/>
      <c r="T64" s="1226"/>
      <c r="U64" s="362"/>
      <c r="V64" s="559" t="s">
        <v>0</v>
      </c>
      <c r="W64" s="501"/>
      <c r="X64" s="551">
        <v>1</v>
      </c>
      <c r="Y64" s="550" t="str">
        <f>IF($D$55=C.PermitType0,"",IF($D$55=C.PermitType1,DDLs!C73,IF($D$55=C.PermitType2,DDLs!D73,IF($D$55=C.PermitType3,DDLs!E73,DDLs!F73))))</f>
        <v>NESHAP</v>
      </c>
      <c r="Z64" s="1268"/>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72" t="s">
        <v>448</v>
      </c>
      <c r="E65" s="1272"/>
      <c r="F65" s="1224"/>
      <c r="G65" s="1224"/>
      <c r="H65" s="1225"/>
      <c r="I65" s="1225"/>
      <c r="J65" s="1226"/>
      <c r="K65" s="1226"/>
      <c r="L65" s="1226"/>
      <c r="M65" s="1226"/>
      <c r="N65" s="1226"/>
      <c r="O65" s="1226"/>
      <c r="P65" s="1226"/>
      <c r="Q65" s="1226"/>
      <c r="R65" s="1226"/>
      <c r="S65" s="1226"/>
      <c r="T65" s="1226"/>
      <c r="U65" s="362"/>
      <c r="V65" s="559"/>
      <c r="W65" s="501"/>
      <c r="X65" s="551">
        <v>1</v>
      </c>
      <c r="Y65" s="550" t="str">
        <f>IF($D$55=C.PermitType0,"",IF($D$55=C.PermitType1,DDLs!C74,IF($D$55=C.PermitType2,DDLs!D74,IF($D$55=C.PermitType3,DDLs!E74,DDLs!F74))))</f>
        <v>NSPS</v>
      </c>
      <c r="Z65" s="1268"/>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73" t="s">
        <v>448</v>
      </c>
      <c r="E66" s="1273"/>
      <c r="F66" s="1224"/>
      <c r="G66" s="1224"/>
      <c r="H66" s="1225"/>
      <c r="I66" s="1225"/>
      <c r="J66" s="1226"/>
      <c r="K66" s="1226"/>
      <c r="L66" s="1226"/>
      <c r="M66" s="1226"/>
      <c r="N66" s="1226"/>
      <c r="O66" s="1226"/>
      <c r="P66" s="1226"/>
      <c r="Q66" s="1226"/>
      <c r="R66" s="1226"/>
      <c r="S66" s="1226"/>
      <c r="T66" s="1226"/>
      <c r="U66" s="362"/>
      <c r="V66" s="559" t="s">
        <v>0</v>
      </c>
      <c r="W66" s="501"/>
      <c r="X66" s="551">
        <v>1</v>
      </c>
      <c r="Y66" s="550" t="str">
        <f>IF($D$55=C.PermitType0,"",IF($D$55=C.PermitType1,DDLs!C75,IF($D$55=C.PermitType2,DDLs!D75,IF($D$55=C.PermitType3,DDLs!E75,DDLs!F75))))</f>
        <v>Custom entry</v>
      </c>
      <c r="Z66" s="1269"/>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0" t="s">
        <v>198</v>
      </c>
      <c r="E68" s="1240"/>
      <c r="F68" s="1240"/>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5" t="s">
        <v>0</v>
      </c>
      <c r="E69" s="1236"/>
      <c r="F69" s="1236"/>
      <c r="G69" s="1236"/>
      <c r="H69" s="1236"/>
      <c r="I69" s="1236"/>
      <c r="J69" s="1236"/>
      <c r="K69" s="1236"/>
      <c r="L69" s="1236"/>
      <c r="M69" s="1236"/>
      <c r="N69" s="1236"/>
      <c r="O69" s="1236"/>
      <c r="P69" s="1236"/>
      <c r="Q69" s="1236"/>
      <c r="R69" s="1236"/>
      <c r="S69" s="1236"/>
      <c r="T69" s="1237"/>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0" t="s">
        <v>22</v>
      </c>
      <c r="E70" s="1240"/>
      <c r="F70" s="1240"/>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3"/>
      <c r="E71" s="1214"/>
      <c r="F71" s="1214"/>
      <c r="G71" s="1214"/>
      <c r="H71" s="1214"/>
      <c r="I71" s="1214"/>
      <c r="J71" s="1214"/>
      <c r="K71" s="1214"/>
      <c r="L71" s="1214"/>
      <c r="M71" s="1214"/>
      <c r="N71" s="1214"/>
      <c r="O71" s="1214"/>
      <c r="P71" s="1214"/>
      <c r="Q71" s="1214"/>
      <c r="R71" s="1214"/>
      <c r="S71" s="1214"/>
      <c r="T71" s="1215"/>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1">
        <f ca="1">TODAY()</f>
        <v>41947</v>
      </c>
      <c r="I72" s="1221"/>
      <c r="J72" s="1221"/>
      <c r="K72" s="1221"/>
      <c r="L72" s="1221"/>
      <c r="M72" s="1221"/>
      <c r="N72" s="1221"/>
      <c r="O72" s="1221"/>
      <c r="P72" s="1221"/>
      <c r="Q72" s="1221"/>
      <c r="R72" s="1221"/>
      <c r="S72" s="1221"/>
      <c r="T72" s="1221"/>
      <c r="U72" s="1222"/>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19" zoomScaleNormal="100" workbookViewId="0">
      <selection activeCell="A36" sqref="A36"/>
    </sheetView>
  </sheetViews>
  <sheetFormatPr defaultRowHeight="15" outlineLevelCol="1"/>
  <cols>
    <col min="1" max="1" width="16.69921875" style="601" customWidth="1"/>
    <col min="2" max="2" width="2.59765625" style="160" customWidth="1"/>
    <col min="3" max="3" width="2.59765625" customWidth="1"/>
    <col min="4" max="4" width="20.09765625" customWidth="1"/>
    <col min="5" max="7" width="14.59765625" customWidth="1"/>
    <col min="8" max="17" width="1.59765625" customWidth="1"/>
    <col min="18" max="19" width="2.59765625" customWidth="1"/>
    <col min="20" max="20" width="2.59765625" style="160" customWidth="1"/>
    <col min="21" max="21" width="44.09765625" style="160" customWidth="1"/>
    <col min="22" max="22" width="8.5" style="160" customWidth="1"/>
    <col min="23" max="23" width="13.09765625" style="160" customWidth="1"/>
    <col min="24" max="24" width="11.59765625" hidden="1" customWidth="1" outlineLevel="1"/>
    <col min="25" max="25" width="15.5" style="379" hidden="1" customWidth="1" outlineLevel="1"/>
    <col min="26" max="26" width="9.3984375" style="379" hidden="1" customWidth="1" outlineLevel="1"/>
    <col min="27" max="27" width="11.5" style="379" hidden="1" customWidth="1" outlineLevel="1"/>
    <col min="28" max="28" width="11.699218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2" t="s">
        <v>229</v>
      </c>
      <c r="E2" s="1212"/>
      <c r="F2" s="1212"/>
      <c r="G2" s="1290" t="str">
        <f>C.2Name</f>
        <v>Oregon State Implementation Plan revision for PM2.5 National Ambient Air Quality Standards</v>
      </c>
      <c r="H2" s="1290"/>
      <c r="I2" s="1290"/>
      <c r="J2" s="1290"/>
      <c r="K2" s="1290"/>
      <c r="L2" s="1290"/>
      <c r="M2" s="1290"/>
      <c r="N2" s="1290"/>
      <c r="O2" s="1290"/>
      <c r="P2" s="1290"/>
      <c r="Q2" s="1290"/>
      <c r="R2" s="1290"/>
      <c r="S2" s="200"/>
      <c r="T2" s="563"/>
      <c r="U2" s="1252"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2"/>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9" t="s">
        <v>699</v>
      </c>
      <c r="E4" s="1319"/>
      <c r="F4" s="1319"/>
      <c r="G4" s="1319"/>
      <c r="H4" s="1319"/>
      <c r="I4" s="1319"/>
      <c r="J4" s="1319"/>
      <c r="K4" s="1319"/>
      <c r="L4" s="1319"/>
      <c r="M4" s="1319"/>
      <c r="N4" s="1319"/>
      <c r="O4" s="1319"/>
      <c r="P4" s="1319"/>
      <c r="Q4" s="1319"/>
      <c r="R4" s="1319"/>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20" t="s">
        <v>228</v>
      </c>
      <c r="E5" s="1320"/>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6" t="s">
        <v>310</v>
      </c>
      <c r="J6" s="1326"/>
      <c r="K6" s="1326"/>
      <c r="L6" s="1326"/>
      <c r="M6" s="1326"/>
      <c r="N6" s="1326"/>
      <c r="O6" s="1326"/>
      <c r="P6" s="1326"/>
      <c r="Q6" s="1326"/>
      <c r="R6" s="114"/>
      <c r="S6" s="362"/>
      <c r="T6" s="563"/>
      <c r="U6" s="552" t="s">
        <v>0</v>
      </c>
      <c r="V6" s="161"/>
      <c r="W6" s="161"/>
      <c r="X6" s="50"/>
      <c r="Y6" s="50"/>
      <c r="Z6" s="52">
        <f>COUNTIF($I$8:$I$13,"X")</f>
        <v>1</v>
      </c>
      <c r="AA6" s="52">
        <f>COUNTIF($L$8:$L$13,"X")</f>
        <v>2</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24" t="s">
        <v>312</v>
      </c>
      <c r="J7" s="1324"/>
      <c r="K7" s="1324"/>
      <c r="L7" s="1325" t="s">
        <v>311</v>
      </c>
      <c r="M7" s="1325"/>
      <c r="N7" s="1325"/>
      <c r="O7" s="1324" t="s">
        <v>313</v>
      </c>
      <c r="P7" s="1324"/>
      <c r="Q7" s="1324"/>
      <c r="R7" s="114"/>
      <c r="S7" s="47"/>
      <c r="T7" s="563" t="s">
        <v>0</v>
      </c>
      <c r="U7" s="161"/>
      <c r="V7" s="161"/>
      <c r="W7" s="161"/>
      <c r="X7" s="63" t="str">
        <f>IF(MAX(X8:X13)=3,"involves "&amp;Z7&amp;"previously unregulated parties",IF(MAX(X8:X13)=2,"involves "&amp;Z7&amp;"current regulated parties","not involved"))</f>
        <v>involves hundreds of current regulated parties</v>
      </c>
      <c r="Y7" s="63"/>
      <c r="Z7" s="1294" t="str">
        <f>IF(AB6&gt;0,"thousands of ",IF(AA6&gt;0,"hundreds of ", IF(Z6&gt;0,"under one hundred ","")))</f>
        <v xml:space="preserve">hundreds of </v>
      </c>
      <c r="AA7" s="1294"/>
      <c r="AB7" s="1294"/>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6"/>
      <c r="J8" s="1286"/>
      <c r="K8" s="1286"/>
      <c r="L8" s="1287" t="s">
        <v>1068</v>
      </c>
      <c r="M8" s="1288"/>
      <c r="N8" s="1289"/>
      <c r="O8" s="1293"/>
      <c r="P8" s="1293"/>
      <c r="Q8" s="1293"/>
      <c r="R8" s="114"/>
      <c r="S8" s="205"/>
      <c r="T8" s="563"/>
      <c r="U8" s="313" t="s">
        <v>316</v>
      </c>
      <c r="V8" s="313"/>
      <c r="W8" s="167"/>
      <c r="X8" s="665">
        <v>2</v>
      </c>
      <c r="Y8" s="470">
        <f>IF($O8="X",3,IF($L8="X",2,IF($I8="X",1,"0")))</f>
        <v>2</v>
      </c>
      <c r="Z8" s="470" t="str">
        <f>IF($O8="X"," thousands",IF($L8="X"," hundreds",IF($I8="X"," under 100","")))</f>
        <v xml:space="preserve"> hundreds</v>
      </c>
      <c r="AA8" s="637" t="str">
        <f>IF(X8=1,"not affected ",IF(X8=2,"affects "&amp;Z8&amp;" currently regulated","affects "&amp;Z8&amp;" previously unregulated"))</f>
        <v>affects  hundreds currently regulated</v>
      </c>
      <c r="AB8" s="638">
        <f>IF(X8=1,0,IF(X8=3,5,X8+Y8))</f>
        <v>4</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6"/>
      <c r="J9" s="1286"/>
      <c r="K9" s="1286"/>
      <c r="L9" s="1287" t="s">
        <v>1068</v>
      </c>
      <c r="M9" s="1288"/>
      <c r="N9" s="1289"/>
      <c r="O9" s="1293"/>
      <c r="P9" s="1293"/>
      <c r="Q9" s="1293"/>
      <c r="R9" s="350"/>
      <c r="S9" s="205"/>
      <c r="T9" s="563"/>
      <c r="U9" s="313" t="s">
        <v>316</v>
      </c>
      <c r="V9" s="167"/>
      <c r="W9" s="167"/>
      <c r="X9" s="665">
        <v>2</v>
      </c>
      <c r="Y9" s="470">
        <f t="shared" ref="Y9:Y13" si="0">IF($O9="X",2,IF($L9="X",1,IF($I9="X",1,"0")))</f>
        <v>1</v>
      </c>
      <c r="Z9" s="470" t="str">
        <f t="shared" ref="Z9:Z13" si="1">IF($O9="X"," thousands",IF($L9="X"," hundreds",IF($I9="X"," under 100","")))</f>
        <v xml:space="preserve"> hundreds</v>
      </c>
      <c r="AA9" s="637" t="str">
        <f t="shared" ref="AA9:AA13" si="2">IF(X9=1,"not affected ",IF(X9=2,"affects "&amp;Z9&amp;" currently regulated","affects "&amp;Z9&amp;" previously unregulated"))</f>
        <v>affects  hundreds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6" t="s">
        <v>1068</v>
      </c>
      <c r="J10" s="1286"/>
      <c r="K10" s="1286"/>
      <c r="L10" s="1287"/>
      <c r="M10" s="1288"/>
      <c r="N10" s="1289"/>
      <c r="O10" s="1293"/>
      <c r="P10" s="1293"/>
      <c r="Q10" s="1293"/>
      <c r="R10" s="350"/>
      <c r="S10" s="205"/>
      <c r="T10" s="563"/>
      <c r="U10" s="313" t="s">
        <v>316</v>
      </c>
      <c r="V10" s="167"/>
      <c r="W10" s="167"/>
      <c r="X10" s="665">
        <v>1</v>
      </c>
      <c r="Y10" s="470">
        <f t="shared" si="0"/>
        <v>1</v>
      </c>
      <c r="Z10" s="470" t="str">
        <f t="shared" si="1"/>
        <v xml:space="preserve"> under 100</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6"/>
      <c r="J11" s="1286"/>
      <c r="K11" s="1286"/>
      <c r="L11" s="1287"/>
      <c r="M11" s="1288"/>
      <c r="N11" s="1289"/>
      <c r="O11" s="1293"/>
      <c r="P11" s="1293"/>
      <c r="Q11" s="1293"/>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6"/>
      <c r="J12" s="1286"/>
      <c r="K12" s="1286"/>
      <c r="L12" s="1287"/>
      <c r="M12" s="1288"/>
      <c r="N12" s="1289"/>
      <c r="O12" s="1293"/>
      <c r="P12" s="1293"/>
      <c r="Q12" s="1293"/>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6"/>
      <c r="J13" s="1286"/>
      <c r="K13" s="1286"/>
      <c r="L13" s="1287"/>
      <c r="M13" s="1288"/>
      <c r="N13" s="1289"/>
      <c r="O13" s="1293"/>
      <c r="P13" s="1293"/>
      <c r="Q13" s="1293"/>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9" t="s">
        <v>238</v>
      </c>
      <c r="E14" s="1299"/>
      <c r="F14" s="1299"/>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95" customHeight="1">
      <c r="A16" s="601"/>
      <c r="B16" s="563"/>
      <c r="C16" s="366"/>
      <c r="D16" s="1321" t="s">
        <v>217</v>
      </c>
      <c r="E16" s="1322"/>
      <c r="F16" s="1323"/>
      <c r="G16" s="1323"/>
      <c r="H16" s="1295"/>
      <c r="I16" s="1295"/>
      <c r="J16" s="1295"/>
      <c r="K16" s="1295"/>
      <c r="L16" s="1295"/>
      <c r="M16" s="1295"/>
      <c r="N16" s="1295"/>
      <c r="O16" s="1295"/>
      <c r="P16" s="1295"/>
      <c r="Q16" s="1295"/>
      <c r="R16" s="1295"/>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9" t="s">
        <v>343</v>
      </c>
      <c r="E18" s="1309"/>
      <c r="F18" s="1309"/>
      <c r="G18" s="1309"/>
      <c r="H18" s="1309"/>
      <c r="I18" s="1309"/>
      <c r="J18" s="1309"/>
      <c r="K18" s="1309"/>
      <c r="L18" s="1309"/>
      <c r="M18" s="1309"/>
      <c r="N18" s="1309"/>
      <c r="O18" s="1309"/>
      <c r="P18" s="1309"/>
      <c r="Q18" s="1309"/>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6" t="s">
        <v>194</v>
      </c>
      <c r="G19" s="1316"/>
      <c r="H19" s="1312" t="s">
        <v>7</v>
      </c>
      <c r="I19" s="1312"/>
      <c r="J19" s="1312"/>
      <c r="K19" s="1312"/>
      <c r="L19" s="1312"/>
      <c r="M19" s="1312"/>
      <c r="N19" s="1312"/>
      <c r="O19" s="1312"/>
      <c r="P19" s="1312"/>
      <c r="Q19" s="1312"/>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10" t="s">
        <v>334</v>
      </c>
      <c r="E20" s="1311"/>
      <c r="F20" s="1297" t="s">
        <v>200</v>
      </c>
      <c r="G20" s="1297"/>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2</v>
      </c>
      <c r="Y20" s="888"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10" t="s">
        <v>335</v>
      </c>
      <c r="E21" s="1311"/>
      <c r="F21" s="1297" t="s">
        <v>200</v>
      </c>
      <c r="G21" s="1297"/>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2</v>
      </c>
      <c r="Y21" s="888"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10" t="s">
        <v>336</v>
      </c>
      <c r="E22" s="1311"/>
      <c r="F22" s="1297" t="s">
        <v>200</v>
      </c>
      <c r="G22" s="1297"/>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10" t="s">
        <v>337</v>
      </c>
      <c r="E23" s="1311"/>
      <c r="F23" s="1297" t="s">
        <v>200</v>
      </c>
      <c r="G23" s="1297"/>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10" t="s">
        <v>338</v>
      </c>
      <c r="E24" s="1311"/>
      <c r="F24" s="1297" t="s">
        <v>200</v>
      </c>
      <c r="G24" s="1297"/>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10" t="s">
        <v>339</v>
      </c>
      <c r="E25" s="1311"/>
      <c r="F25" s="1297" t="s">
        <v>202</v>
      </c>
      <c r="G25" s="1297"/>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10" t="s">
        <v>340</v>
      </c>
      <c r="E26" s="1311"/>
      <c r="F26" s="1297" t="s">
        <v>200</v>
      </c>
      <c r="G26" s="1297"/>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10" t="s">
        <v>341</v>
      </c>
      <c r="E27" s="1311"/>
      <c r="F27" s="1297" t="s">
        <v>200</v>
      </c>
      <c r="G27" s="1297"/>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10" t="s">
        <v>342</v>
      </c>
      <c r="E28" s="1311"/>
      <c r="F28" s="1297" t="s">
        <v>200</v>
      </c>
      <c r="G28" s="1297"/>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7" t="s">
        <v>213</v>
      </c>
      <c r="E29" s="1328"/>
      <c r="F29" s="1297" t="s">
        <v>4</v>
      </c>
      <c r="G29" s="1297"/>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7" t="s">
        <v>213</v>
      </c>
      <c r="E30" s="1328"/>
      <c r="F30" s="1297" t="s">
        <v>4</v>
      </c>
      <c r="G30" s="1297"/>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2.2222222222222223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0" t="s">
        <v>0</v>
      </c>
      <c r="E35" s="1301"/>
      <c r="F35" s="1301"/>
      <c r="G35" s="1301"/>
      <c r="H35" s="1301"/>
      <c r="I35" s="1301"/>
      <c r="J35" s="1301"/>
      <c r="K35" s="1301"/>
      <c r="L35" s="1301"/>
      <c r="M35" s="1301"/>
      <c r="N35" s="1301"/>
      <c r="O35" s="1301"/>
      <c r="P35" s="1301"/>
      <c r="Q35" s="1301"/>
      <c r="R35" s="1302"/>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8" t="s">
        <v>437</v>
      </c>
      <c r="G36" s="1298"/>
      <c r="H36" s="1298"/>
      <c r="I36" s="1298"/>
      <c r="J36" s="1298"/>
      <c r="K36" s="1298"/>
      <c r="L36" s="1298"/>
      <c r="M36" s="1298"/>
      <c r="N36" s="1298"/>
      <c r="O36" s="1298"/>
      <c r="P36" s="1298"/>
      <c r="Q36" s="1298"/>
      <c r="R36" s="1298"/>
      <c r="S36" s="346"/>
      <c r="T36" s="563"/>
      <c r="U36"/>
      <c r="V36" s="167"/>
      <c r="W36" s="167"/>
      <c r="X36" s="797" t="str">
        <f>C.3InterestDialog&amp;" "&amp;X41&amp;Z41</f>
        <v xml:space="preserve">Interest in this proposal is low/medium. DEQ does not plan to appoint an advisory committee.  </v>
      </c>
      <c r="Y36" s="977" t="b">
        <f>IF(X37&gt;1,TRUE,FALSE)</f>
        <v>0</v>
      </c>
      <c r="Z36" s="978" t="str">
        <f>X41&amp;Z41</f>
        <v xml:space="preserve">DEQ does not plan to appoint an advisory committee.  </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15" customHeight="1">
      <c r="A37" s="1109"/>
      <c r="B37" s="563"/>
      <c r="C37" s="360"/>
      <c r="D37" s="376" t="s">
        <v>330</v>
      </c>
      <c r="E37" s="377"/>
      <c r="G37" s="643" t="s">
        <v>325</v>
      </c>
      <c r="H37"/>
      <c r="I37"/>
      <c r="J37" s="1291" t="s">
        <v>441</v>
      </c>
      <c r="K37" s="1291"/>
      <c r="L37" s="1291"/>
      <c r="M37" s="1291"/>
      <c r="N37" s="1291"/>
      <c r="O37" s="1291"/>
      <c r="P37" s="1291"/>
      <c r="Q37" s="1291"/>
      <c r="R37" s="1291"/>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15" customHeight="1">
      <c r="A38" s="1109"/>
      <c r="B38" s="563"/>
      <c r="C38" s="360"/>
      <c r="D38" s="376" t="s">
        <v>110</v>
      </c>
      <c r="E38" s="377"/>
      <c r="F38" s="114"/>
      <c r="G38" s="643" t="s">
        <v>326</v>
      </c>
      <c r="H38"/>
      <c r="I38"/>
      <c r="J38" s="1291" t="s">
        <v>328</v>
      </c>
      <c r="K38" s="1291"/>
      <c r="L38" s="1291"/>
      <c r="M38" s="1291"/>
      <c r="N38" s="1291"/>
      <c r="O38" s="1291"/>
      <c r="P38" s="1291"/>
      <c r="Q38" s="1291"/>
      <c r="R38" s="1291"/>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15" customHeight="1">
      <c r="A39" s="993"/>
      <c r="B39" s="563"/>
      <c r="C39" s="360"/>
      <c r="D39" s="376" t="s">
        <v>111</v>
      </c>
      <c r="E39" s="377"/>
      <c r="F39" s="114"/>
      <c r="G39" s="643" t="s">
        <v>327</v>
      </c>
      <c r="H39"/>
      <c r="I39"/>
      <c r="J39" s="1292" t="s">
        <v>442</v>
      </c>
      <c r="K39" s="1292"/>
      <c r="L39" s="1292"/>
      <c r="M39" s="1292"/>
      <c r="N39" s="1292"/>
      <c r="O39" s="1292"/>
      <c r="P39" s="1292"/>
      <c r="Q39" s="1292"/>
      <c r="R39" s="1292"/>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6" t="s">
        <v>213</v>
      </c>
      <c r="K40" s="1296"/>
      <c r="L40" s="1296"/>
      <c r="M40" s="1296"/>
      <c r="N40" s="1296"/>
      <c r="O40" s="1296"/>
      <c r="P40" s="1296"/>
      <c r="Q40" s="1296"/>
      <c r="R40" s="1296"/>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3" t="str">
        <f>" "&amp;AA37&amp;AB37&amp;AA38&amp;AB38&amp;AA39&amp;AB39&amp;AA40&amp;AB40&amp;""</f>
        <v xml:space="preserve">  </v>
      </c>
      <c r="AA41" s="1314"/>
      <c r="AB41" s="1315"/>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6" t="s">
        <v>0</v>
      </c>
      <c r="E44" s="1307"/>
      <c r="F44" s="1307"/>
      <c r="G44" s="1307"/>
      <c r="H44" s="1307"/>
      <c r="I44" s="1307"/>
      <c r="J44" s="1307"/>
      <c r="K44" s="1307"/>
      <c r="L44" s="1307"/>
      <c r="M44" s="1307"/>
      <c r="N44" s="1307"/>
      <c r="O44" s="1307"/>
      <c r="P44" s="1307"/>
      <c r="Q44" s="1307"/>
      <c r="R44" s="1308"/>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6" t="s">
        <v>0</v>
      </c>
      <c r="E46" s="1307"/>
      <c r="F46" s="1307"/>
      <c r="G46" s="1307"/>
      <c r="H46" s="1307"/>
      <c r="I46" s="1307"/>
      <c r="J46" s="1307"/>
      <c r="K46" s="1307"/>
      <c r="L46" s="1307"/>
      <c r="M46" s="1307"/>
      <c r="N46" s="1307"/>
      <c r="O46" s="1307"/>
      <c r="P46" s="1307"/>
      <c r="Q46" s="1307"/>
      <c r="R46" s="1308"/>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15"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303"/>
      <c r="Y48" s="1304"/>
      <c r="Z48" s="1304"/>
      <c r="AA48" s="1304"/>
      <c r="AB48" s="1305"/>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4" t="s">
        <v>413</v>
      </c>
      <c r="E50" s="1284"/>
      <c r="F50" s="1284"/>
      <c r="G50" s="1318" t="s">
        <v>237</v>
      </c>
      <c r="H50" s="1318"/>
      <c r="I50" s="1318"/>
      <c r="J50" s="1318"/>
      <c r="K50" s="1318"/>
      <c r="L50" s="1318"/>
      <c r="M50" s="1318"/>
      <c r="N50" s="1318"/>
      <c r="O50" s="1318"/>
      <c r="P50" s="1318"/>
      <c r="Q50" s="1318"/>
      <c r="R50" s="1318"/>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6" t="s">
        <v>323</v>
      </c>
      <c r="H54" s="1276"/>
      <c r="I54" s="1276"/>
      <c r="J54" s="1276"/>
      <c r="K54" s="1276"/>
      <c r="L54" s="1276"/>
      <c r="M54" s="1276"/>
      <c r="N54" s="1276"/>
      <c r="O54" s="1276"/>
      <c r="P54" s="1276"/>
      <c r="Q54" s="1276"/>
      <c r="R54" s="1276"/>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7"/>
      <c r="H55" s="1277"/>
      <c r="I55" s="1277"/>
      <c r="J55" s="1277"/>
      <c r="K55" s="1277"/>
      <c r="L55" s="1277"/>
      <c r="M55" s="1277"/>
      <c r="N55" s="1277"/>
      <c r="O55" s="1277"/>
      <c r="P55" s="1277"/>
      <c r="Q55" s="1277"/>
      <c r="R55" s="1277"/>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5"/>
      <c r="E56" s="1285"/>
      <c r="F56" s="1285"/>
      <c r="G56" s="1285"/>
      <c r="H56" s="1285"/>
      <c r="I56" s="1285"/>
      <c r="J56" s="1285"/>
      <c r="K56" s="1285"/>
      <c r="L56" s="1285"/>
      <c r="M56" s="1285"/>
      <c r="N56" s="1285"/>
      <c r="O56" s="1285"/>
      <c r="P56" s="1285"/>
      <c r="Q56" s="1285"/>
      <c r="R56" s="1285"/>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0" t="s">
        <v>198</v>
      </c>
      <c r="E57" s="1240"/>
      <c r="F57" s="1240"/>
      <c r="G57" s="1240"/>
      <c r="H57" s="1240"/>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81"/>
      <c r="E58" s="1282"/>
      <c r="F58" s="1282"/>
      <c r="G58" s="1282"/>
      <c r="H58" s="1282"/>
      <c r="I58" s="1282"/>
      <c r="J58" s="1282"/>
      <c r="K58" s="1282"/>
      <c r="L58" s="1282"/>
      <c r="M58" s="1282"/>
      <c r="N58" s="1282"/>
      <c r="O58" s="1282"/>
      <c r="P58" s="1282"/>
      <c r="Q58" s="1282"/>
      <c r="R58" s="1283"/>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8" t="s">
        <v>1062</v>
      </c>
      <c r="E60" s="1279"/>
      <c r="F60" s="1279"/>
      <c r="G60" s="1279"/>
      <c r="H60" s="1279"/>
      <c r="I60" s="1279"/>
      <c r="J60" s="1279"/>
      <c r="K60" s="1279"/>
      <c r="L60" s="1279"/>
      <c r="M60" s="1279"/>
      <c r="N60" s="1279"/>
      <c r="O60" s="1279"/>
      <c r="P60" s="1279"/>
      <c r="Q60" s="1279"/>
      <c r="R60" s="1280"/>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7">
        <f ca="1">TODAY()</f>
        <v>41947</v>
      </c>
      <c r="G61" s="1317"/>
      <c r="H61" s="1317"/>
      <c r="I61" s="1317"/>
      <c r="J61" s="1317"/>
      <c r="K61" s="1317"/>
      <c r="L61" s="1317"/>
      <c r="M61" s="1317"/>
      <c r="N61" s="1317"/>
      <c r="O61" s="1317"/>
      <c r="P61" s="1317"/>
      <c r="Q61" s="1317"/>
      <c r="R61" s="1317"/>
      <c r="S61" s="1317"/>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ht="15.6">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22" zoomScaleNormal="100" workbookViewId="0">
      <selection activeCell="E4" sqref="E4:R4"/>
    </sheetView>
  </sheetViews>
  <sheetFormatPr defaultRowHeight="15" outlineLevelCol="1"/>
  <cols>
    <col min="1" max="1" width="13.69921875" style="601" customWidth="1"/>
    <col min="2" max="2" width="2.69921875" style="160"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60" customWidth="1"/>
    <col min="22" max="22" width="35.09765625" style="571" customWidth="1"/>
    <col min="23" max="23" width="9" style="160"/>
    <col min="24" max="24" width="9" hidden="1" customWidth="1" outlineLevel="1"/>
    <col min="25" max="25" width="22.59765625" hidden="1" customWidth="1" outlineLevel="1"/>
    <col min="26" max="26" width="13.699218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2" t="s">
        <v>349</v>
      </c>
      <c r="E2" s="1212"/>
      <c r="F2" s="1212"/>
      <c r="G2" s="1358" t="str">
        <f>C.2Name</f>
        <v>Oregon State Implementation Plan revision for PM2.5 National Ambient Air Quality Standards</v>
      </c>
      <c r="H2" s="1358"/>
      <c r="I2" s="1358"/>
      <c r="J2" s="1358"/>
      <c r="K2" s="1358"/>
      <c r="L2" s="1358"/>
      <c r="M2" s="1358"/>
      <c r="N2" s="1358"/>
      <c r="O2" s="1358"/>
      <c r="P2" s="1358"/>
      <c r="Q2" s="1358"/>
      <c r="R2" s="1358"/>
      <c r="S2" s="1358"/>
      <c r="T2" s="200"/>
      <c r="U2" s="563"/>
      <c r="V2" s="572" t="s">
        <v>0</v>
      </c>
      <c r="W2" s="159"/>
      <c r="X2" s="68"/>
      <c r="Y2" s="147"/>
      <c r="Z2" s="147"/>
    </row>
    <row r="3" spans="1:58" s="66" customFormat="1" ht="12.75" customHeight="1" thickTop="1">
      <c r="A3" s="601"/>
      <c r="B3" s="563"/>
      <c r="C3" s="1364"/>
      <c r="D3" s="1365"/>
      <c r="E3" s="1365"/>
      <c r="F3" s="1365"/>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50" t="s">
        <v>1081</v>
      </c>
      <c r="F4" s="1351"/>
      <c r="G4" s="1351"/>
      <c r="H4" s="1351"/>
      <c r="I4" s="1351"/>
      <c r="J4" s="1351"/>
      <c r="K4" s="1351"/>
      <c r="L4" s="1351"/>
      <c r="M4" s="1351"/>
      <c r="N4" s="1351"/>
      <c r="O4" s="1351"/>
      <c r="P4" s="1351"/>
      <c r="Q4" s="1351"/>
      <c r="R4" s="1352"/>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8" t="s">
        <v>186</v>
      </c>
      <c r="F6" s="1349"/>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59" t="s">
        <v>264</v>
      </c>
      <c r="E7" s="1359"/>
      <c r="F7" s="1359"/>
      <c r="G7" s="1359"/>
      <c r="H7" s="502"/>
      <c r="I7" s="1336" t="s">
        <v>282</v>
      </c>
      <c r="J7" s="1337"/>
      <c r="K7" s="1337"/>
      <c r="L7" s="1337"/>
      <c r="M7" s="1337"/>
      <c r="N7" s="1337"/>
      <c r="O7" s="1337"/>
      <c r="P7" s="1337"/>
      <c r="Q7" s="1337"/>
      <c r="R7" s="1338"/>
      <c r="S7" s="502"/>
      <c r="T7" s="309"/>
      <c r="U7" s="563"/>
      <c r="V7" s="313" t="s">
        <v>741</v>
      </c>
      <c r="W7" s="270"/>
      <c r="X7" s="998">
        <f>VLOOKUP(I7,C.VL_SeverityRating,2,FALSE)</f>
        <v>1</v>
      </c>
      <c r="Y7" s="986" t="str">
        <f>I7</f>
        <v>low</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31" t="s">
        <v>280</v>
      </c>
      <c r="H8" s="1332"/>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3" t="s">
        <v>136</v>
      </c>
      <c r="E9" s="1353"/>
      <c r="F9" s="1353"/>
      <c r="G9" s="1353"/>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53" t="s">
        <v>137</v>
      </c>
      <c r="E10" s="1353"/>
      <c r="F10" s="1353"/>
      <c r="G10" s="1354"/>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6" t="s">
        <v>190</v>
      </c>
      <c r="E11" s="1356"/>
      <c r="F11" s="1356"/>
      <c r="G11" s="1357"/>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6" t="s">
        <v>140</v>
      </c>
      <c r="E12" s="1356"/>
      <c r="F12" s="1356"/>
      <c r="G12" s="1357"/>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and </v>
      </c>
      <c r="Z12" s="1001">
        <f t="shared" si="0"/>
        <v>7</v>
      </c>
      <c r="AB12" s="273"/>
      <c r="AC12" s="273"/>
    </row>
    <row r="13" spans="1:58" s="66" customFormat="1" ht="21" customHeight="1">
      <c r="A13" s="601"/>
      <c r="B13" s="563"/>
      <c r="C13" s="202"/>
      <c r="D13" s="1356" t="s">
        <v>265</v>
      </c>
      <c r="E13" s="1356"/>
      <c r="F13" s="1356"/>
      <c r="G13" s="1357"/>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6" t="s">
        <v>143</v>
      </c>
      <c r="E14" s="1356"/>
      <c r="F14" s="1356"/>
      <c r="G14" s="1357"/>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67" t="s">
        <v>370</v>
      </c>
      <c r="E15" s="1367"/>
      <c r="F15" s="1367"/>
      <c r="G15" s="1367"/>
      <c r="H15" s="1367"/>
      <c r="I15" s="1367"/>
      <c r="J15" s="1367"/>
      <c r="K15" s="1367"/>
      <c r="L15" s="1367"/>
      <c r="M15" s="1367"/>
      <c r="N15" s="1367"/>
      <c r="O15" s="1367"/>
      <c r="P15" s="1367"/>
      <c r="Q15" s="1367"/>
      <c r="R15" s="1367"/>
      <c r="S15" s="1367"/>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8" t="s">
        <v>370</v>
      </c>
      <c r="E16" s="1368"/>
      <c r="F16" s="1368"/>
      <c r="G16" s="1368"/>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5" t="s">
        <v>399</v>
      </c>
      <c r="E17" s="1355"/>
      <c r="F17" s="1355"/>
      <c r="G17" s="1355"/>
      <c r="H17" s="302"/>
      <c r="I17" s="302"/>
      <c r="J17" s="302"/>
      <c r="K17" s="302"/>
      <c r="L17" s="302"/>
      <c r="M17" s="302"/>
      <c r="N17" s="302"/>
      <c r="O17" s="302"/>
      <c r="P17" s="302"/>
      <c r="Q17" s="302"/>
      <c r="R17" s="302"/>
      <c r="S17" s="303"/>
      <c r="T17" s="206"/>
      <c r="U17" s="563"/>
      <c r="V17" s="576" t="s">
        <v>0</v>
      </c>
      <c r="W17" s="161"/>
      <c r="X17" s="1329"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29"/>
      <c r="Z17" s="1330"/>
      <c r="AA17"/>
    </row>
    <row r="18" spans="1:27" s="6" customFormat="1" ht="15.75" customHeight="1">
      <c r="A18" s="601"/>
      <c r="B18" s="563"/>
      <c r="C18" s="202"/>
      <c r="D18" s="1247" t="s">
        <v>0</v>
      </c>
      <c r="E18" s="1248"/>
      <c r="F18" s="1248"/>
      <c r="G18" s="1248"/>
      <c r="H18" s="1248"/>
      <c r="I18" s="1248"/>
      <c r="J18" s="1248"/>
      <c r="K18" s="1248"/>
      <c r="L18" s="1248"/>
      <c r="M18" s="1248"/>
      <c r="N18" s="1248"/>
      <c r="O18" s="1248"/>
      <c r="P18" s="1248"/>
      <c r="Q18" s="1248"/>
      <c r="R18" s="1248"/>
      <c r="S18" s="1249"/>
      <c r="T18" s="206"/>
      <c r="U18" s="563"/>
      <c r="V18" s="576"/>
      <c r="W18" s="161"/>
      <c r="X18" s="1330"/>
      <c r="Y18" s="1330"/>
      <c r="Z18" s="1330"/>
    </row>
    <row r="19" spans="1:27" s="66" customFormat="1" ht="21.75" customHeight="1">
      <c r="A19" s="601"/>
      <c r="B19" s="563"/>
      <c r="C19" s="202"/>
      <c r="D19" s="1343" t="s">
        <v>400</v>
      </c>
      <c r="E19" s="1343"/>
      <c r="F19" s="1343"/>
      <c r="G19" s="1343"/>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47" t="s">
        <v>0</v>
      </c>
      <c r="E20" s="1248"/>
      <c r="F20" s="1248"/>
      <c r="G20" s="1248"/>
      <c r="H20" s="1248"/>
      <c r="I20" s="1248"/>
      <c r="J20" s="1248"/>
      <c r="K20" s="1248"/>
      <c r="L20" s="1248"/>
      <c r="M20" s="1248"/>
      <c r="N20" s="1248"/>
      <c r="O20" s="1248"/>
      <c r="P20" s="1248"/>
      <c r="Q20" s="1248"/>
      <c r="R20" s="1248"/>
      <c r="S20" s="1249"/>
      <c r="T20" s="207"/>
      <c r="U20" s="563"/>
      <c r="V20" s="572" t="s">
        <v>0</v>
      </c>
      <c r="W20" s="161"/>
      <c r="X20" s="38"/>
      <c r="Y20" s="38"/>
      <c r="Z20" s="35"/>
    </row>
    <row r="21" spans="1:27" s="2" customFormat="1" ht="27" customHeight="1">
      <c r="A21" s="601"/>
      <c r="B21" s="563" t="s">
        <v>0</v>
      </c>
      <c r="C21" s="208"/>
      <c r="D21" s="1359" t="s">
        <v>192</v>
      </c>
      <c r="E21" s="1359"/>
      <c r="F21" s="1359"/>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6"/>
      <c r="K22" s="1366"/>
      <c r="L22" s="1366"/>
      <c r="M22" s="1366"/>
      <c r="N22" s="1366"/>
      <c r="O22" s="1366"/>
      <c r="P22" s="1366"/>
      <c r="Q22" s="1366"/>
      <c r="R22" s="1366"/>
      <c r="S22" s="1366"/>
      <c r="T22" s="209"/>
      <c r="U22" s="563"/>
      <c r="V22" s="577" t="s">
        <v>0</v>
      </c>
      <c r="W22" s="174"/>
      <c r="X22" s="115" t="s">
        <v>0</v>
      </c>
      <c r="Y22" s="115"/>
      <c r="Z22" s="115" t="s">
        <v>0</v>
      </c>
    </row>
    <row r="23" spans="1:27" s="2" customFormat="1" ht="29.25" customHeight="1">
      <c r="A23" s="601"/>
      <c r="B23" s="563"/>
      <c r="C23" s="211"/>
      <c r="D23" s="1360" t="s">
        <v>217</v>
      </c>
      <c r="E23" s="1361"/>
      <c r="F23" s="1361"/>
      <c r="G23" s="1362"/>
      <c r="H23" s="1362"/>
      <c r="I23" s="1362"/>
      <c r="J23" s="1363"/>
      <c r="K23" s="1363"/>
      <c r="L23" s="1363"/>
      <c r="M23" s="1363"/>
      <c r="N23" s="1363"/>
      <c r="O23" s="1363"/>
      <c r="P23" s="1363"/>
      <c r="Q23" s="1363"/>
      <c r="R23" s="1363"/>
      <c r="S23" s="1363"/>
      <c r="T23" s="212"/>
      <c r="U23" s="563"/>
      <c r="V23" s="578"/>
      <c r="W23" s="159"/>
      <c r="X23" s="144">
        <v>1</v>
      </c>
      <c r="Y23" s="75" t="s">
        <v>230</v>
      </c>
      <c r="Z23" s="75"/>
    </row>
    <row r="24" spans="1:27" s="843" customFormat="1" ht="17.25" customHeight="1">
      <c r="A24" s="852"/>
      <c r="B24" s="851"/>
      <c r="C24" s="973"/>
      <c r="D24" s="1347" t="s">
        <v>493</v>
      </c>
      <c r="E24" s="1347"/>
      <c r="F24" s="1347"/>
      <c r="G24" s="1347"/>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4" t="s">
        <v>0</v>
      </c>
      <c r="E25" s="1345"/>
      <c r="F25" s="1345"/>
      <c r="G25" s="1345"/>
      <c r="H25" s="1345"/>
      <c r="I25" s="1345"/>
      <c r="J25" s="1345"/>
      <c r="K25" s="1345"/>
      <c r="L25" s="1345"/>
      <c r="M25" s="1345"/>
      <c r="N25" s="1345"/>
      <c r="O25" s="1345"/>
      <c r="P25" s="1345"/>
      <c r="Q25" s="1345"/>
      <c r="R25" s="1345"/>
      <c r="S25" s="1346"/>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42" t="s">
        <v>401</v>
      </c>
      <c r="E27" s="1342"/>
      <c r="F27" s="1342"/>
      <c r="G27" s="1339" t="s">
        <v>0</v>
      </c>
      <c r="H27" s="1339"/>
      <c r="I27" s="1339"/>
      <c r="J27" s="1336" t="s">
        <v>37</v>
      </c>
      <c r="K27" s="1337"/>
      <c r="L27" s="1337"/>
      <c r="M27" s="1337"/>
      <c r="N27" s="1337"/>
      <c r="O27" s="1337"/>
      <c r="P27" s="1337"/>
      <c r="Q27" s="1337"/>
      <c r="R27" s="1337"/>
      <c r="S27" s="1338"/>
      <c r="T27" s="201"/>
      <c r="U27" s="563"/>
      <c r="V27" s="313" t="s">
        <v>760</v>
      </c>
      <c r="W27" s="161"/>
      <c r="X27" s="1002"/>
      <c r="Y27" s="147"/>
      <c r="Z27" s="147"/>
    </row>
    <row r="28" spans="1:27" s="66" customFormat="1" ht="15.75" customHeight="1">
      <c r="A28" s="601"/>
      <c r="B28" s="563"/>
      <c r="C28" s="202"/>
      <c r="D28" s="1342"/>
      <c r="E28" s="1342"/>
      <c r="F28" s="1342"/>
      <c r="G28" s="1340" t="s">
        <v>247</v>
      </c>
      <c r="H28" s="1340"/>
      <c r="I28" s="1341"/>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47" t="s">
        <v>0</v>
      </c>
      <c r="E33" s="1248"/>
      <c r="F33" s="1248"/>
      <c r="G33" s="1248"/>
      <c r="H33" s="1248"/>
      <c r="I33" s="1248"/>
      <c r="J33" s="1248"/>
      <c r="K33" s="1248"/>
      <c r="L33" s="1248"/>
      <c r="M33" s="1248"/>
      <c r="N33" s="1248"/>
      <c r="O33" s="1248"/>
      <c r="P33" s="1248"/>
      <c r="Q33" s="1248"/>
      <c r="R33" s="1248"/>
      <c r="S33" s="1249"/>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33" t="s">
        <v>0</v>
      </c>
      <c r="E35" s="1334"/>
      <c r="F35" s="1334"/>
      <c r="G35" s="1334"/>
      <c r="H35" s="1334"/>
      <c r="I35" s="1334"/>
      <c r="J35" s="1334"/>
      <c r="K35" s="1334"/>
      <c r="L35" s="1334"/>
      <c r="M35" s="1334"/>
      <c r="N35" s="1334"/>
      <c r="O35" s="1334"/>
      <c r="P35" s="1334"/>
      <c r="Q35" s="1334"/>
      <c r="R35" s="1334"/>
      <c r="S35" s="1335"/>
      <c r="T35" s="201"/>
      <c r="U35" s="563"/>
      <c r="V35" s="582"/>
      <c r="W35" s="161"/>
      <c r="X35" s="122"/>
      <c r="Y35" s="147"/>
      <c r="Z35" s="147"/>
    </row>
    <row r="36" spans="1:26" ht="15.6">
      <c r="B36" s="563"/>
      <c r="C36" s="293"/>
      <c r="D36" s="294"/>
      <c r="E36" s="294"/>
      <c r="F36" s="294"/>
      <c r="G36" s="1221">
        <f ca="1">TODAY()</f>
        <v>41947</v>
      </c>
      <c r="H36" s="1221"/>
      <c r="I36" s="1221"/>
      <c r="J36" s="1221"/>
      <c r="K36" s="1221"/>
      <c r="L36" s="1221"/>
      <c r="M36" s="1221"/>
      <c r="N36" s="1221"/>
      <c r="O36" s="1221"/>
      <c r="P36" s="1221"/>
      <c r="Q36" s="1221"/>
      <c r="R36" s="1221"/>
      <c r="S36" s="1221"/>
      <c r="T36" s="1222"/>
      <c r="U36" s="563"/>
    </row>
    <row r="37" spans="1:26" ht="15.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7" workbookViewId="0">
      <selection activeCell="E4" sqref="E4:H4"/>
    </sheetView>
  </sheetViews>
  <sheetFormatPr defaultColWidth="9" defaultRowHeight="15" outlineLevelCol="1"/>
  <cols>
    <col min="1" max="1" width="14" style="602" customWidth="1"/>
    <col min="2" max="2" width="2.69921875" style="160" customWidth="1"/>
    <col min="3" max="3" width="2.69921875" style="178" customWidth="1"/>
    <col min="4" max="4" width="19.3984375" style="178" customWidth="1"/>
    <col min="5" max="5" width="2.59765625" style="178" customWidth="1"/>
    <col min="6" max="6" width="14.5" style="178" customWidth="1"/>
    <col min="7" max="7" width="15.59765625" style="178" customWidth="1"/>
    <col min="8" max="8" width="12" style="178" customWidth="1"/>
    <col min="9" max="19" width="1.8984375" style="178" customWidth="1"/>
    <col min="20" max="20" width="2.69921875" style="178" customWidth="1"/>
    <col min="21" max="21" width="2.59765625" style="160" customWidth="1"/>
    <col min="22" max="22" width="6.19921875" style="160" customWidth="1"/>
    <col min="23" max="23" width="9" style="160"/>
    <col min="24" max="24" width="16.8984375" style="178" hidden="1" customWidth="1" outlineLevel="1"/>
    <col min="25" max="25" width="32.09765625" style="178" hidden="1" customWidth="1" outlineLevel="1"/>
    <col min="26" max="26" width="50.19921875" style="178" hidden="1" customWidth="1" outlineLevel="1"/>
    <col min="27" max="27" width="19.3984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5" t="s">
        <v>100</v>
      </c>
      <c r="E2" s="1395"/>
      <c r="F2" s="1395"/>
      <c r="G2" s="1381" t="str">
        <f>C.2Name</f>
        <v>Oregon State Implementation Plan revision for PM2.5 National Ambient Air Quality Standards</v>
      </c>
      <c r="H2" s="1381"/>
      <c r="I2" s="1381"/>
      <c r="J2" s="1381"/>
      <c r="K2" s="1381"/>
      <c r="L2" s="1381"/>
      <c r="M2" s="1381"/>
      <c r="N2" s="1381"/>
      <c r="O2" s="1381"/>
      <c r="P2" s="1381"/>
      <c r="Q2" s="1381"/>
      <c r="R2" s="1381"/>
      <c r="S2" s="1381"/>
      <c r="T2" s="1102"/>
      <c r="U2" s="563" t="s">
        <v>0</v>
      </c>
      <c r="V2" s="180" t="s">
        <v>0</v>
      </c>
      <c r="W2" s="159"/>
      <c r="X2" s="68"/>
      <c r="Y2" s="147"/>
      <c r="Z2" s="1135" t="s">
        <v>0</v>
      </c>
    </row>
    <row r="3" spans="1:58" s="66" customFormat="1" ht="12.75" customHeight="1" thickTop="1">
      <c r="A3" s="602"/>
      <c r="B3" s="563"/>
      <c r="C3" s="1382"/>
      <c r="D3" s="1383"/>
      <c r="E3" s="1383"/>
      <c r="F3" s="1383"/>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6" t="s">
        <v>1082</v>
      </c>
      <c r="F4" s="1397"/>
      <c r="G4" s="1397"/>
      <c r="H4" s="1398"/>
      <c r="I4" s="1393" t="s">
        <v>0</v>
      </c>
      <c r="J4" s="1394"/>
      <c r="K4" s="1394"/>
      <c r="L4" s="1394"/>
      <c r="M4" s="1394"/>
      <c r="N4" s="1394"/>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71" t="str">
        <f>X5</f>
        <v/>
      </c>
      <c r="E5" s="1371"/>
      <c r="F5" s="1371"/>
      <c r="G5" s="1371"/>
      <c r="H5" s="1371"/>
      <c r="I5" s="1371"/>
      <c r="J5" s="1371"/>
      <c r="K5" s="1371"/>
      <c r="L5" s="1371"/>
      <c r="M5" s="1371"/>
      <c r="N5" s="1371"/>
      <c r="O5" s="1371"/>
      <c r="P5" s="1371"/>
      <c r="Q5" s="1371"/>
      <c r="R5" s="1371"/>
      <c r="S5" s="1371"/>
      <c r="T5" s="630"/>
      <c r="U5" s="563"/>
      <c r="V5" s="248"/>
      <c r="W5" s="248"/>
      <c r="X5" s="1369" t="str">
        <f>IF(E4="have no direct correlation to the environment.","The team does not need to complete this worksheet.","")</f>
        <v/>
      </c>
      <c r="Y5" s="1370"/>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6" t="s">
        <v>282</v>
      </c>
      <c r="J6" s="1387"/>
      <c r="K6" s="1387"/>
      <c r="L6" s="1387"/>
      <c r="M6" s="1387"/>
      <c r="N6" s="1387"/>
      <c r="O6" s="1387"/>
      <c r="P6" s="1387"/>
      <c r="Q6" s="1387"/>
      <c r="R6" s="1388"/>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40" t="s">
        <v>280</v>
      </c>
      <c r="H7" s="1341"/>
      <c r="I7" s="199">
        <v>1</v>
      </c>
      <c r="J7" s="184">
        <v>2</v>
      </c>
      <c r="K7" s="185">
        <v>3</v>
      </c>
      <c r="L7" s="186">
        <v>4</v>
      </c>
      <c r="M7" s="187">
        <v>5</v>
      </c>
      <c r="N7" s="188">
        <v>6</v>
      </c>
      <c r="O7" s="189">
        <v>7</v>
      </c>
      <c r="P7" s="190">
        <v>8</v>
      </c>
      <c r="Q7" s="191">
        <v>9</v>
      </c>
      <c r="R7" s="192">
        <v>10</v>
      </c>
      <c r="S7" s="120"/>
      <c r="T7" s="309"/>
      <c r="U7" s="563"/>
      <c r="V7" s="385" t="s">
        <v>767</v>
      </c>
      <c r="W7" s="288"/>
      <c r="X7" s="1373"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374"/>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3" t="s">
        <v>138</v>
      </c>
      <c r="E8" s="1353"/>
      <c r="F8" s="1353"/>
      <c r="G8" s="1353"/>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3" t="s">
        <v>139</v>
      </c>
      <c r="E9" s="1353"/>
      <c r="F9" s="1353"/>
      <c r="G9" s="1353"/>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2"/>
      <c r="B10" s="563"/>
      <c r="C10" s="202"/>
      <c r="D10" s="1356" t="s">
        <v>262</v>
      </c>
      <c r="E10" s="1356"/>
      <c r="F10" s="1356"/>
      <c r="G10" s="1356"/>
      <c r="H10" s="481"/>
      <c r="I10" s="481"/>
      <c r="J10" s="481"/>
      <c r="K10" s="481"/>
      <c r="L10" s="481"/>
      <c r="M10" s="481"/>
      <c r="N10" s="481"/>
      <c r="O10" s="481"/>
      <c r="P10" s="481"/>
      <c r="Q10" s="481"/>
      <c r="R10" s="687"/>
      <c r="S10" s="687"/>
      <c r="T10" s="206"/>
      <c r="U10" s="563"/>
      <c r="V10" s="1399"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6" t="s">
        <v>261</v>
      </c>
      <c r="E11" s="1356"/>
      <c r="F11" s="1356"/>
      <c r="G11" s="1356"/>
      <c r="H11" s="1356"/>
      <c r="I11" s="481"/>
      <c r="J11" s="678"/>
      <c r="K11" s="553"/>
      <c r="L11" s="553"/>
      <c r="M11" s="553"/>
      <c r="N11" s="553"/>
      <c r="O11" s="553"/>
      <c r="P11" s="481"/>
      <c r="Q11" s="481"/>
      <c r="R11" s="481"/>
      <c r="S11" s="481"/>
      <c r="T11" s="206"/>
      <c r="U11" s="563"/>
      <c r="V11" s="1399"/>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8" t="s">
        <v>289</v>
      </c>
      <c r="E12" s="1368"/>
      <c r="F12" s="1368"/>
      <c r="G12" s="1368"/>
      <c r="H12" s="677"/>
      <c r="I12" s="677"/>
      <c r="J12" s="677"/>
      <c r="K12" s="677"/>
      <c r="L12" s="677"/>
      <c r="M12" s="677"/>
      <c r="N12" s="677"/>
      <c r="O12" s="677"/>
      <c r="P12" s="677"/>
      <c r="Q12" s="677"/>
      <c r="R12" s="677"/>
      <c r="S12" s="677"/>
      <c r="T12" s="206"/>
      <c r="U12" s="563"/>
      <c r="V12" s="1399"/>
      <c r="W12" s="285"/>
      <c r="X12" s="284" t="b">
        <v>0</v>
      </c>
      <c r="Y12" s="1023" t="str">
        <f>IF($X12=FALSE,"",IF($X$13=FALSE,LOWER($D12),LOWER($D12)&amp;" and "))</f>
        <v/>
      </c>
      <c r="Z12" s="495">
        <f t="shared" si="0"/>
        <v>0</v>
      </c>
      <c r="AA12" s="285" t="s">
        <v>0</v>
      </c>
      <c r="AB12" s="285"/>
    </row>
    <row r="13" spans="1:58" s="66" customFormat="1" ht="21" customHeight="1">
      <c r="A13" s="602"/>
      <c r="B13" s="563"/>
      <c r="C13" s="202"/>
      <c r="D13" s="1368" t="s">
        <v>289</v>
      </c>
      <c r="E13" s="1368"/>
      <c r="F13" s="1368"/>
      <c r="G13" s="1368"/>
      <c r="H13" s="677"/>
      <c r="I13" s="677"/>
      <c r="J13" s="677"/>
      <c r="K13" s="677"/>
      <c r="L13" s="677"/>
      <c r="M13" s="677"/>
      <c r="N13" s="677"/>
      <c r="O13" s="677"/>
      <c r="P13" s="677"/>
      <c r="Q13" s="677"/>
      <c r="R13" s="677"/>
      <c r="S13" s="677"/>
      <c r="T13" s="206"/>
      <c r="U13" s="563"/>
      <c r="V13" s="1399"/>
      <c r="W13" s="285"/>
      <c r="X13" s="284" t="b">
        <v>0</v>
      </c>
      <c r="Y13" s="1025" t="str">
        <f>IF($X13=FALSE,"",LOWER($D13))</f>
        <v/>
      </c>
      <c r="Z13" s="495">
        <f t="shared" si="0"/>
        <v>0</v>
      </c>
      <c r="AA13" s="285" t="s">
        <v>0</v>
      </c>
      <c r="AB13" s="285"/>
    </row>
    <row r="14" spans="1:58" s="66" customFormat="1" ht="30" customHeight="1">
      <c r="A14" s="602"/>
      <c r="B14" s="563"/>
      <c r="C14" s="590"/>
      <c r="D14" s="1389" t="s">
        <v>290</v>
      </c>
      <c r="E14" s="1389"/>
      <c r="F14" s="1389"/>
      <c r="G14" s="1389"/>
      <c r="H14" s="1389"/>
      <c r="I14" s="302"/>
      <c r="J14" s="302"/>
      <c r="K14" s="302"/>
      <c r="L14" s="302"/>
      <c r="M14" s="302"/>
      <c r="N14" s="302"/>
      <c r="O14" s="302"/>
      <c r="P14" s="302"/>
      <c r="Q14" s="302"/>
      <c r="R14" s="302"/>
      <c r="S14" s="303"/>
      <c r="T14" s="304"/>
      <c r="U14" s="563"/>
      <c r="V14" s="1399"/>
      <c r="W14" s="161"/>
      <c r="X14" s="1139" t="s">
        <v>0</v>
      </c>
      <c r="Y14" s="798" t="str">
        <f>Y9&amp;Y10&amp;Y11&amp;Y12&amp;Y13</f>
        <v>delay in public health protection</v>
      </c>
      <c r="Z14" s="1008"/>
    </row>
    <row r="15" spans="1:58" s="66" customFormat="1" ht="15.75" customHeight="1">
      <c r="A15" s="602"/>
      <c r="B15" s="563"/>
      <c r="C15" s="202"/>
      <c r="D15" s="1235" t="s">
        <v>0</v>
      </c>
      <c r="E15" s="1236"/>
      <c r="F15" s="1236"/>
      <c r="G15" s="1236"/>
      <c r="H15" s="1236"/>
      <c r="I15" s="1236"/>
      <c r="J15" s="1236"/>
      <c r="K15" s="1236"/>
      <c r="L15" s="1236"/>
      <c r="M15" s="1236"/>
      <c r="N15" s="1236"/>
      <c r="O15" s="1236"/>
      <c r="P15" s="1236"/>
      <c r="Q15" s="1236"/>
      <c r="R15" s="1236"/>
      <c r="S15" s="1237"/>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401" t="s">
        <v>252</v>
      </c>
      <c r="E17" s="1401"/>
      <c r="F17" s="1401"/>
      <c r="G17" s="1401"/>
      <c r="H17" s="1401"/>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400" t="s">
        <v>0</v>
      </c>
      <c r="F18" s="1400"/>
      <c r="G18" s="570" t="s">
        <v>0</v>
      </c>
      <c r="H18" s="334" t="s">
        <v>0</v>
      </c>
      <c r="I18" s="1390" t="s">
        <v>0</v>
      </c>
      <c r="J18" s="1390"/>
      <c r="K18" s="1390"/>
      <c r="L18" s="1390"/>
      <c r="M18" s="1390"/>
      <c r="N18" s="1390"/>
      <c r="O18" s="1390"/>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1" t="s">
        <v>256</v>
      </c>
      <c r="E21" s="1391"/>
      <c r="F21" s="1391"/>
      <c r="G21" s="1391"/>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92" t="s">
        <v>258</v>
      </c>
      <c r="E22" s="1392"/>
      <c r="F22" s="1392"/>
      <c r="G22" s="1392"/>
      <c r="H22" s="1392"/>
      <c r="I22" s="1392"/>
      <c r="J22" s="1392"/>
      <c r="K22" s="1392"/>
      <c r="L22" s="1392"/>
      <c r="M22" s="1392"/>
      <c r="N22" s="1392"/>
      <c r="O22" s="1392"/>
      <c r="P22" s="1392"/>
      <c r="Q22" s="1392"/>
      <c r="R22" s="1392"/>
      <c r="S22" s="1392"/>
      <c r="T22" s="304"/>
      <c r="U22" s="563"/>
      <c r="V22" s="180"/>
      <c r="W22" s="161"/>
      <c r="X22" s="1146" t="str">
        <f>IF(X28=0,"No","Yes")</f>
        <v>Yes</v>
      </c>
      <c r="Y22" s="55"/>
      <c r="Z22" s="55"/>
      <c r="AA22"/>
    </row>
    <row r="23" spans="1:66" s="66" customFormat="1" ht="21" customHeight="1">
      <c r="A23" s="602"/>
      <c r="B23" s="563"/>
      <c r="C23" s="202"/>
      <c r="D23" s="1356" t="s">
        <v>223</v>
      </c>
      <c r="E23" s="1356"/>
      <c r="F23" s="1356"/>
      <c r="G23" s="1356"/>
      <c r="H23" s="1356"/>
      <c r="I23" s="1356"/>
      <c r="J23" s="1356"/>
      <c r="K23" s="1356"/>
      <c r="L23" s="1356"/>
      <c r="M23" s="1356"/>
      <c r="N23" s="1356"/>
      <c r="O23" s="1356"/>
      <c r="P23" s="1356"/>
      <c r="Q23" s="1356"/>
      <c r="R23" s="687"/>
      <c r="S23" s="687"/>
      <c r="T23" s="304"/>
      <c r="U23" s="563"/>
      <c r="V23" s="180"/>
      <c r="W23" s="161"/>
      <c r="X23" s="284" t="b">
        <v>1</v>
      </c>
      <c r="Y23" s="55"/>
      <c r="Z23" s="55"/>
      <c r="AA23"/>
      <c r="AB23"/>
    </row>
    <row r="24" spans="1:66" s="66" customFormat="1" ht="21" customHeight="1">
      <c r="A24" s="602"/>
      <c r="B24" s="563"/>
      <c r="C24" s="202"/>
      <c r="D24" s="1356" t="s">
        <v>221</v>
      </c>
      <c r="E24" s="1356"/>
      <c r="F24" s="1356"/>
      <c r="G24" s="1356"/>
      <c r="H24" s="1356"/>
      <c r="I24" s="1356"/>
      <c r="J24" s="1356"/>
      <c r="K24" s="1356"/>
      <c r="L24" s="1356"/>
      <c r="M24" s="1356"/>
      <c r="N24" s="1356"/>
      <c r="O24" s="1356"/>
      <c r="P24" s="1356"/>
      <c r="Q24" s="1356"/>
      <c r="R24" s="1356"/>
      <c r="S24" s="1356"/>
      <c r="T24" s="304"/>
      <c r="U24" s="563"/>
      <c r="V24" s="180"/>
      <c r="W24" s="161"/>
      <c r="X24" s="284" t="b">
        <v>0</v>
      </c>
      <c r="Y24" s="55"/>
      <c r="Z24" s="55"/>
      <c r="AA24"/>
      <c r="AB24"/>
    </row>
    <row r="25" spans="1:66" s="66" customFormat="1" ht="21" customHeight="1">
      <c r="A25" s="602"/>
      <c r="B25" s="563"/>
      <c r="C25" s="202"/>
      <c r="D25" s="1353" t="s">
        <v>224</v>
      </c>
      <c r="E25" s="1353"/>
      <c r="F25" s="1353"/>
      <c r="G25" s="1353"/>
      <c r="H25" s="1353"/>
      <c r="I25" s="1353"/>
      <c r="J25" s="1353"/>
      <c r="K25" s="1353"/>
      <c r="L25" s="1353"/>
      <c r="M25" s="1353"/>
      <c r="N25" s="1353"/>
      <c r="O25" s="1353"/>
      <c r="P25" s="1353"/>
      <c r="Q25" s="1353"/>
      <c r="R25" s="1353"/>
      <c r="S25" s="1353"/>
      <c r="T25" s="304"/>
      <c r="U25" s="563"/>
      <c r="V25" s="180"/>
      <c r="W25" s="161"/>
      <c r="X25" s="284" t="b">
        <v>0</v>
      </c>
      <c r="Y25" s="38"/>
      <c r="Z25" s="55"/>
      <c r="AA25"/>
      <c r="AB25"/>
    </row>
    <row r="26" spans="1:66" s="66" customFormat="1" ht="21" customHeight="1">
      <c r="A26" s="602"/>
      <c r="B26" s="563"/>
      <c r="C26" s="202"/>
      <c r="D26" s="1353" t="s">
        <v>222</v>
      </c>
      <c r="E26" s="1353"/>
      <c r="F26" s="1353"/>
      <c r="G26" s="1353"/>
      <c r="H26" s="1353"/>
      <c r="I26" s="1353"/>
      <c r="J26" s="1353"/>
      <c r="K26" s="1353"/>
      <c r="L26" s="1353"/>
      <c r="M26" s="1353"/>
      <c r="N26" s="1353"/>
      <c r="O26" s="1353"/>
      <c r="P26" s="1353"/>
      <c r="Q26" s="1353"/>
      <c r="R26" s="1353"/>
      <c r="S26" s="1353"/>
      <c r="T26" s="304"/>
      <c r="U26" s="563"/>
      <c r="V26" s="180"/>
      <c r="W26" s="161"/>
      <c r="X26" s="284" t="b">
        <v>0</v>
      </c>
      <c r="Y26" s="324"/>
      <c r="Z26" s="55"/>
      <c r="AA26"/>
      <c r="AB26"/>
    </row>
    <row r="27" spans="1:66" s="66" customFormat="1" ht="21" customHeight="1">
      <c r="A27" s="602"/>
      <c r="B27" s="563"/>
      <c r="C27" s="202"/>
      <c r="D27" s="1353" t="s">
        <v>225</v>
      </c>
      <c r="E27" s="1353"/>
      <c r="F27" s="1353"/>
      <c r="G27" s="1353"/>
      <c r="H27" s="1353"/>
      <c r="I27" s="1353"/>
      <c r="J27" s="1353"/>
      <c r="K27" s="1353"/>
      <c r="L27" s="1353"/>
      <c r="M27" s="1353"/>
      <c r="N27" s="1353"/>
      <c r="O27" s="1353"/>
      <c r="P27" s="1353"/>
      <c r="Q27" s="1353"/>
      <c r="R27" s="1353"/>
      <c r="S27" s="1353"/>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80"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80"/>
      <c r="AA28"/>
      <c r="AB28"/>
    </row>
    <row r="29" spans="1:66" s="66" customFormat="1" ht="24.75" customHeight="1">
      <c r="A29" s="602"/>
      <c r="B29" s="563"/>
      <c r="C29" s="202"/>
      <c r="D29" s="1391" t="s">
        <v>295</v>
      </c>
      <c r="E29" s="1391"/>
      <c r="F29" s="1391"/>
      <c r="G29" s="1391"/>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92" t="s">
        <v>257</v>
      </c>
      <c r="E30" s="1392"/>
      <c r="F30" s="1392"/>
      <c r="G30" s="1392"/>
      <c r="H30" s="1392"/>
      <c r="I30" s="1392"/>
      <c r="J30" s="1392"/>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402" t="s">
        <v>292</v>
      </c>
      <c r="E31" s="1402"/>
      <c r="F31" s="1402"/>
      <c r="G31" s="1402"/>
      <c r="H31" s="1402"/>
      <c r="I31" s="1402"/>
      <c r="J31" s="1402"/>
      <c r="K31" s="1402"/>
      <c r="L31" s="1402"/>
      <c r="M31" s="1402"/>
      <c r="N31" s="1402"/>
      <c r="O31" s="1402"/>
      <c r="P31" s="1402"/>
      <c r="Q31" s="1402"/>
      <c r="R31" s="1402"/>
      <c r="S31" s="1402"/>
      <c r="T31" s="709"/>
      <c r="U31" s="563"/>
      <c r="V31" s="317"/>
      <c r="W31" s="315"/>
      <c r="X31" s="322" t="b">
        <v>0</v>
      </c>
      <c r="Y31" s="318"/>
      <c r="Z31" s="318"/>
      <c r="AA31" s="319"/>
      <c r="AB31" s="319"/>
    </row>
    <row r="32" spans="1:66" s="66" customFormat="1" ht="35.1" customHeight="1">
      <c r="A32" s="602"/>
      <c r="B32" s="563"/>
      <c r="C32" s="202"/>
      <c r="D32" s="1402" t="s">
        <v>293</v>
      </c>
      <c r="E32" s="1402"/>
      <c r="F32" s="1402"/>
      <c r="G32" s="1402"/>
      <c r="H32" s="1402"/>
      <c r="I32" s="1402"/>
      <c r="J32" s="1402"/>
      <c r="K32" s="1402"/>
      <c r="L32" s="1402"/>
      <c r="M32" s="1402"/>
      <c r="N32" s="1402"/>
      <c r="O32" s="1402"/>
      <c r="P32" s="1402"/>
      <c r="Q32" s="1402"/>
      <c r="R32" s="1402"/>
      <c r="S32" s="1402"/>
      <c r="T32" s="304"/>
      <c r="U32" s="563"/>
      <c r="V32" s="233"/>
      <c r="W32" s="161"/>
      <c r="X32" s="323" t="b">
        <v>0</v>
      </c>
      <c r="Y32" s="1404"/>
      <c r="Z32" s="55"/>
      <c r="AA32"/>
    </row>
    <row r="33" spans="1:27" s="66" customFormat="1" ht="38.25" customHeight="1">
      <c r="A33" s="602"/>
      <c r="B33" s="563"/>
      <c r="C33" s="202"/>
      <c r="D33" s="1403" t="s">
        <v>294</v>
      </c>
      <c r="E33" s="1403"/>
      <c r="F33" s="1403"/>
      <c r="G33" s="1403"/>
      <c r="H33" s="1403"/>
      <c r="I33" s="1403"/>
      <c r="J33" s="1403"/>
      <c r="K33" s="1403"/>
      <c r="L33" s="1403"/>
      <c r="M33" s="1403"/>
      <c r="N33" s="1403"/>
      <c r="O33" s="1403"/>
      <c r="P33" s="1403"/>
      <c r="Q33" s="1403"/>
      <c r="R33" s="1403"/>
      <c r="S33" s="1403"/>
      <c r="T33" s="304"/>
      <c r="U33" s="563"/>
      <c r="V33" s="233"/>
      <c r="W33" s="161"/>
      <c r="X33" s="323" t="b">
        <v>0</v>
      </c>
      <c r="Y33" s="1404"/>
      <c r="Z33" s="55"/>
      <c r="AA33"/>
    </row>
    <row r="34" spans="1:27" s="66" customFormat="1" ht="39.75" customHeight="1">
      <c r="A34" s="602"/>
      <c r="B34" s="563"/>
      <c r="C34" s="202"/>
      <c r="D34" s="1403" t="s">
        <v>291</v>
      </c>
      <c r="E34" s="1403"/>
      <c r="F34" s="1403"/>
      <c r="G34" s="1403"/>
      <c r="H34" s="1403"/>
      <c r="I34" s="1403"/>
      <c r="J34" s="1403"/>
      <c r="K34" s="1403"/>
      <c r="L34" s="1403"/>
      <c r="M34" s="1403"/>
      <c r="N34" s="1403"/>
      <c r="O34" s="1403"/>
      <c r="P34" s="1403"/>
      <c r="Q34" s="1403"/>
      <c r="R34" s="1403"/>
      <c r="S34" s="1403"/>
      <c r="T34" s="304"/>
      <c r="U34" s="563"/>
      <c r="V34" s="233"/>
      <c r="W34" s="161"/>
      <c r="X34" s="323" t="b">
        <v>0</v>
      </c>
      <c r="Y34" s="1405"/>
      <c r="Z34" s="147"/>
    </row>
    <row r="35" spans="1:27" s="2" customFormat="1" ht="30" customHeight="1">
      <c r="A35" s="600"/>
      <c r="B35" s="563" t="s">
        <v>0</v>
      </c>
      <c r="C35" s="211"/>
      <c r="D35" s="1385" t="s">
        <v>259</v>
      </c>
      <c r="E35" s="1385"/>
      <c r="F35" s="1385"/>
      <c r="G35" s="296"/>
      <c r="H35" s="296"/>
      <c r="I35" s="296"/>
      <c r="J35" s="296"/>
      <c r="K35" s="297"/>
      <c r="L35" s="298"/>
      <c r="M35" s="298"/>
      <c r="N35" s="298"/>
      <c r="O35" s="298"/>
      <c r="P35" s="298"/>
      <c r="Q35" s="298"/>
      <c r="R35" s="298"/>
      <c r="S35" s="298"/>
      <c r="T35" s="212"/>
      <c r="U35" s="563"/>
      <c r="V35"/>
      <c r="W35"/>
      <c r="X35" s="1147">
        <f>COUNTIF(X31:X34,TRUE)</f>
        <v>0</v>
      </c>
      <c r="Y35" s="1380" t="str">
        <f>IF(C.5EnvCorrolation=0,"",IF(X35=0,"do not have a selection for Natural Step support at this time.",IF(X35=1,"supports "&amp;X35&amp;" Natural Step action.","supports "&amp;X35&amp;" Natural Step actions.")))</f>
        <v>do not have a selection for Natural Step support at this time.</v>
      </c>
      <c r="Z35" s="1380"/>
    </row>
    <row r="36" spans="1:27" s="2" customFormat="1" ht="110.25" customHeight="1">
      <c r="A36" s="600"/>
      <c r="B36" s="563"/>
      <c r="C36" s="211"/>
      <c r="D36" s="299" t="s">
        <v>0</v>
      </c>
      <c r="E36" s="299"/>
      <c r="F36" s="1379" t="s">
        <v>0</v>
      </c>
      <c r="G36" s="1379"/>
      <c r="H36" s="300"/>
      <c r="I36" s="301"/>
      <c r="J36" s="1375" t="s">
        <v>0</v>
      </c>
      <c r="K36" s="1375"/>
      <c r="L36" s="1375"/>
      <c r="M36" s="1375"/>
      <c r="N36" s="1375"/>
      <c r="O36" s="1375"/>
      <c r="P36" s="1375"/>
      <c r="Q36" s="1375"/>
      <c r="R36" s="1375"/>
      <c r="S36" s="1375"/>
      <c r="T36" s="212"/>
      <c r="U36" s="563"/>
      <c r="V36" s="1378" t="s">
        <v>0</v>
      </c>
      <c r="W36" s="174"/>
      <c r="X36" s="482"/>
      <c r="Y36" s="483"/>
      <c r="Z36" s="147"/>
    </row>
    <row r="37" spans="1:27" s="2" customFormat="1" ht="29.25" customHeight="1">
      <c r="A37" s="600"/>
      <c r="B37" s="563"/>
      <c r="C37" s="211"/>
      <c r="D37" s="1376" t="s">
        <v>217</v>
      </c>
      <c r="E37" s="1377"/>
      <c r="F37" s="1377"/>
      <c r="G37" s="1362"/>
      <c r="H37" s="1362"/>
      <c r="I37" s="1362"/>
      <c r="J37" s="1363"/>
      <c r="K37" s="1363"/>
      <c r="L37" s="1363"/>
      <c r="M37" s="1363"/>
      <c r="N37" s="1363"/>
      <c r="O37" s="1363"/>
      <c r="P37" s="1363"/>
      <c r="Q37" s="1363"/>
      <c r="R37" s="1363"/>
      <c r="S37" s="1363"/>
      <c r="T37" s="212"/>
      <c r="U37" s="563"/>
      <c r="V37" s="1378"/>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72" t="s">
        <v>415</v>
      </c>
      <c r="E39" s="1372"/>
      <c r="F39" s="1372"/>
      <c r="G39" s="120"/>
      <c r="H39" s="1339" t="s">
        <v>0</v>
      </c>
      <c r="I39" s="1384"/>
      <c r="J39" s="1336" t="s">
        <v>37</v>
      </c>
      <c r="K39" s="1337"/>
      <c r="L39" s="1337"/>
      <c r="M39" s="1337"/>
      <c r="N39" s="1337"/>
      <c r="O39" s="1337"/>
      <c r="P39" s="1337"/>
      <c r="Q39" s="1337"/>
      <c r="R39" s="1337"/>
      <c r="S39" s="1338"/>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47" t="s">
        <v>0</v>
      </c>
      <c r="E44" s="1248"/>
      <c r="F44" s="1248"/>
      <c r="G44" s="1248"/>
      <c r="H44" s="1248"/>
      <c r="I44" s="1248"/>
      <c r="J44" s="1248"/>
      <c r="K44" s="1248"/>
      <c r="L44" s="1248"/>
      <c r="M44" s="1248"/>
      <c r="N44" s="1248"/>
      <c r="O44" s="1248"/>
      <c r="P44" s="1248"/>
      <c r="Q44" s="1248"/>
      <c r="R44" s="1248"/>
      <c r="S44" s="1249"/>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33" t="s">
        <v>0</v>
      </c>
      <c r="E46" s="1334"/>
      <c r="F46" s="1334"/>
      <c r="G46" s="1334"/>
      <c r="H46" s="1334"/>
      <c r="I46" s="1334"/>
      <c r="J46" s="1334"/>
      <c r="K46" s="1334"/>
      <c r="L46" s="1334"/>
      <c r="M46" s="1334"/>
      <c r="N46" s="1334"/>
      <c r="O46" s="1334"/>
      <c r="P46" s="1334"/>
      <c r="Q46" s="1334"/>
      <c r="R46" s="1334"/>
      <c r="S46" s="1335"/>
      <c r="T46" s="201"/>
      <c r="U46" s="563"/>
      <c r="W46" s="161"/>
      <c r="X46" s="122"/>
      <c r="Y46" s="147"/>
      <c r="Z46" s="55"/>
    </row>
    <row r="47" spans="1:27" ht="15.6">
      <c r="B47" s="563"/>
      <c r="C47" s="293"/>
      <c r="D47" s="294"/>
      <c r="E47" s="294"/>
      <c r="F47" s="294"/>
      <c r="G47" s="1221">
        <f ca="1">TODAY()</f>
        <v>41947</v>
      </c>
      <c r="H47" s="1221"/>
      <c r="I47" s="1221"/>
      <c r="J47" s="1221"/>
      <c r="K47" s="1221"/>
      <c r="L47" s="1221"/>
      <c r="M47" s="1221"/>
      <c r="N47" s="1221"/>
      <c r="O47" s="1221"/>
      <c r="P47" s="1221"/>
      <c r="Q47" s="1221"/>
      <c r="R47" s="1221"/>
      <c r="S47" s="1221"/>
      <c r="T47" s="1222"/>
      <c r="U47" s="563"/>
      <c r="X47" s="147"/>
      <c r="Y47" s="147"/>
      <c r="Z47" s="147"/>
    </row>
    <row r="48" spans="1:27" ht="15.6">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2014-10-02T16:05:34Z</cp:lastPrinted>
  <dcterms:created xsi:type="dcterms:W3CDTF">2012-04-11T21:44:01Z</dcterms:created>
  <dcterms:modified xsi:type="dcterms:W3CDTF">2014-11-04T16:05:08Z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