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D5" i="86"/>
  <c r="Y4" i="95" l="1"/>
  <c r="Z37" s="1"/>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Y35" i="95" l="1"/>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B116" i="106" s="1"/>
  <c r="AA13" i="96"/>
  <c r="B117" i="106" s="1"/>
  <c r="AA14" i="96"/>
  <c r="B118" i="106" s="1"/>
  <c r="AA15" i="96"/>
  <c r="AA16"/>
  <c r="AA10"/>
  <c r="B114" i="106" s="1"/>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C100"/>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7" i="86"/>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X7" i="95" l="1"/>
  <c r="H36" i="86" s="1"/>
  <c r="B126" i="106"/>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<sst xmlns="http://schemas.openxmlformats.org/spreadsheetml/2006/main" count="3095" uniqueCount="1082">
  <si>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</si>
  <si>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</si>
  <si>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</si>
  <si>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</si>
  <si>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</si>
  <si>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</si>
  <si>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</si>
  <si>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</si>
  <si>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</si>
  <si>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</si>
  <si>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</si>
  <si>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</si>
  <si>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</si>
  <si>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</si>
  <si>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</si>
  <si>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</si>
  <si>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</si>
  <si>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</si>
  <si>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</si>
  <si>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</si>
  <si>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</si>
  <si>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</si>
  <si>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</si>
  <si>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</si>
  <si>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</si>
  <si>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</si>
  <si>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</si>
  <si>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</si>
  <si>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</si>
  <si>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</si>
  <si>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</si>
  <si>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</si>
  <si>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</si>
  <si>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</si>
  <si>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</si>
  <si>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</si>
  <si>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</si>
  <si>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</si>
  <si>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</si>
  <si>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</si>
  <si>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</si>
  <si>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</si>
  <si>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</si>
  <si>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</si>
  <si>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</si>
  <si>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</si>
  <si>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</si>
  <si>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</si>
  <si>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</si>
  <si>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</si>
  <si>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</si>
  <si>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</si>
  <si>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</si>
  <si>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</si>
  <si>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</si>
  <si>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</si>
  <si>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</si>
  <si>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</si>
  <si>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</si>
  <si>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</si>
  <si>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</si>
  <si>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</si>
  <si>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</si>
  <si>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</si>
  <si>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</si>
  <si>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</si>
  <si>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</si>
  <si>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</si>
  <si>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</si>
  <si>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</si>
  <si>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</si>
  <si>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</si>
  <si>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</si>
  <si>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</si>
  <si>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</si>
  <si>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</si>
  <si>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</si>
  <si>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</si>
  <si>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</si>
  <si>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</si>
  <si>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</si>
  <si>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</si>
  <si>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</si>
  <si>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</si>
  <si>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</si>
  <si>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</si>
  <si>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</si>
  <si>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</si>
  <si>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</si>
  <si>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</si>
  <si>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</si>
  <si>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</si>
  <si>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</si>
  <si>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</si>
  <si>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</si>
  <si>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</si>
  <si>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</si>
  <si>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</si>
  <si>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</si>
  <si>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</si>
  <si>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</si>
  <si>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</si>
  <si>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</si>
  <si>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</si>
  <si>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</si>
  <si>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</si>
  <si>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</si>
  <si>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</si>
  <si>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</si>
  <si>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</si>
  <si>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</si>
  <si>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</si>
  <si>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</si>
  <si>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</si>
  <si>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</si>
  <si>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</si>
  <si>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</si>
  <si>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</si>
  <si>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</si>
  <si>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</si>
  <si>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</si>
  <si>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</si>
  <si>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</si>
  <si>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</si>
  <si>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</si>
  <si>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</si>
  <si>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</si>
  <si>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</si>
  <si>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</si>
  <si>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</si>
  <si>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</si>
  <si>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</si>
  <si>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</si>
  <si>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</si>
  <si>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</si>
  <si>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</si>
  <si>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</si>
  <si>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</si>
  <si>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</si>
  <si>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</si>
  <si>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</si>
  <si>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</si>
  <si>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</si>
  <si>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</si>
  <si>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</si>
  <si>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</si>
  <si>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</si>
  <si>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</si>
  <si>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</si>
  <si>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</si>
  <si>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</si>
  <si>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</si>
  <si>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</si>
  <si>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</si>
  <si>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</si>
  <si>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</si>
  <si>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</si>
  <si>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</si>
  <si>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</si>
  <si>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</si>
  <si>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</si>
  <si>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</si>
  <si>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</si>
  <si>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</si>
  <si>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</si>
  <si>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</si>
  <si>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</si>
  <si>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</si>
  <si>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</si>
  <si>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</si>
  <si>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</si>
  <si>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</si>
  <si>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</si>
  <si>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</si>
  <si>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</si>
  <si>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</si>
  <si>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</si>
  <si>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</si>
  <si>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</si>
  <si>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</si>
  <si>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</si>
  <si>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</si>
  <si>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</si>
  <si>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</si>
  <si>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</si>
  <si>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</si>
  <si>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</si>
  <si>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</si>
  <si>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</si>
  <si>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</si>
  <si>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</si>
  <si>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</si>
  <si>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</si>
  <si>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</si>
  <si>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</si>
  <si>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</si>
  <si>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</si>
  <si>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</si>
  <si>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</si>
  <si>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</si>
  <si>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</si>
  <si>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</si>
  <si>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</si>
  <si>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</si>
  <si>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</si>
  <si>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</si>
  <si>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</si>
  <si>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</si>
  <si>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</si>
  <si>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</si>
  <si>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</si>
  <si>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</si>
  <si>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</si>
  <si>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</si>
  <si>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</si>
  <si>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</si>
  <si>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</si>
  <si>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</si>
  <si>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</si>
  <si>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</si>
  <si>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</si>
  <si>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</si>
  <si>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</si>
  <si>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</si>
  <si>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</si>
  <si>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</si>
  <si>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</si>
  <si>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</si>
  <si>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</si>
  <si>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</si>
  <si>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</si>
  <si>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</si>
  <si>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</si>
  <si>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</si>
  <si>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</si>
  <si>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</si>
  <si>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</si>
  <si>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</si>
  <si>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</si>
  <si>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</si>
  <si>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</si>
  <si>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</si>
  <si>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</si>
  <si>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</si>
  <si>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</si>
  <si>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</si>
  <si>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</si>
  <si>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</si>
  <si>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</si>
  <si>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</si>
  <si>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</si>
  <si>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</si>
  <si>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</si>
  <si>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</si>
  <si>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</si>
  <si>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</si>
  <si>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</si>
  <si>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</si>
  <si>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</si>
  <si>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</si>
  <si>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</si>
  <si>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</si>
  <si>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</si>
  <si>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</si>
  <si>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</si>
  <si>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</si>
  <si>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</si>
  <si>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</si>
  <si>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</si>
  <si>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</si>
  <si>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</si>
  <si>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</si>
  <si>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</si>
  <si>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</si>
  <si>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</si>
  <si>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</si>
  <si>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</si>
  <si>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</si>
  <si>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</si>
  <si>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</si>
  <si>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</si>
  <si>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</si>
  <si>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</si>
  <si>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</si>
  <si>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</si>
  <si>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</si>
  <si>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</si>
  <si>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</si>
  <si>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</si>
  <si>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</si>
  <si>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</si>
  <si>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</si>
  <si>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</si>
  <si>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</si>
  <si>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</si>
  <si>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</si>
  <si>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</si>
  <si>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</si>
  <si>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</si>
  <si>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</si>
  <si>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</si>
  <si>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</si>
  <si>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</si>
  <si>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</si>
  <si>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</si>
  <si>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</si>
  <si>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</si>
  <si>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</si>
  <si>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</si>
  <si>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</si>
  <si>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</si>
  <si>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</si>
  <si>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</si>
  <si>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</si>
  <si>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</si>
  <si>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</si>
  <si>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</si>
  <si>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</si>
  <si>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</si>
  <si>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</si>
  <si>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</si>
  <si>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</si>
  <si>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</si>
  <si>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</si>
  <si>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</si>
  <si>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</si>
  <si>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</si>
  <si>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</si>
  <si>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</si>
  <si>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</si>
  <si>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</si>
  <si>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</si>
  <si>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</si>
  <si>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</si>
  <si>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</si>
  <si>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</si>
  <si>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</si>
  <si>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</si>
  <si>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</si>
  <si>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</si>
  <si>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</si>
  <si>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</si>
  <si>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</si>
  <si>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</si>
  <si>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</si>
  <si>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</si>
  <si>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</si>
  <si>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</si>
  <si>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</si>
  <si>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</si>
  <si>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</si>
  <si>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</si>
  <si>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</si>
  <si>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</si>
  <si>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</si>
  <si>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</si>
  <si>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</si>
  <si>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</si>
  <si>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</si>
  <si>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</si>
  <si>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</si>
  <si>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</si>
  <si>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</si>
  <si>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</si>
  <si>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</si>
  <si>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</si>
  <si>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</si>
  <si>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</si>
  <si>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</si>
  <si>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</si>
  <si>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</si>
  <si>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</si>
  <si>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</si>
  <si>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</si>
  <si>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</si>
  <si>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</si>
  <si>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</si>
  <si>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</si>
  <si>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</si>
  <si>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</si>
  <si>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</si>
  <si>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</si>
  <si>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</si>
  <si>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</si>
  <si>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</si>
  <si>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</si>
  <si>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</si>
  <si>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</si>
  <si>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</si>
  <si>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</si>
  <si>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</si>
  <si>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</si>
  <si>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</si>
  <si>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</si>
  <si>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</si>
  <si>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</si>
  <si>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</si>
  <si>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</si>
  <si>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</si>
  <si>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</si>
  <si>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</si>
  <si>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</si>
  <si>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</si>
  <si>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</si>
  <si>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</si>
  <si>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</si>
  <si>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</si>
  <si>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</si>
  <si>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</si>
  <si>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</si>
  <si>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</si>
  <si>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</si>
  <si>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</si>
  <si>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</si>
  <si>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</si>
  <si>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</si>
  <si>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</si>
  <si>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</si>
  <si>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</si>
  <si>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</si>
  <si>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</si>
  <si>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</si>
  <si>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</si>
  <si>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</si>
  <si>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</si>
  <si>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</si>
  <si>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</si>
  <si>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</si>
  <si>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</si>
  <si>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</si>
  <si>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</si>
  <si>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</si>
  <si>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</si>
  <si>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</si>
  <si>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</si>
  <si>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</si>
  <si>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</si>
  <si>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</si>
  <si>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</si>
  <si>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</si>
  <si>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</si>
  <si>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</si>
  <si>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</si>
  <si>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</si>
  <si>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</si>
  <si>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</si>
  <si>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</si>
  <si>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</si>
  <si>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</si>
  <si>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</si>
  <si>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</si>
  <si>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</si>
  <si>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</si>
  <si>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</si>
  <si>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</si>
  <si>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</si>
  <si>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</si>
  <si>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</si>
  <si>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</si>
  <si>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</si>
  <si>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</si>
  <si>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</si>
  <si>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</si>
  <si>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</si>
  <si>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</si>
  <si>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</si>
  <si>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</si>
  <si>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</si>
  <si>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</si>
  <si>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</si>
  <si>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</si>
  <si>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</si>
  <si>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</si>
  <si>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</si>
  <si>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</si>
  <si>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</si>
  <si>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</si>
  <si>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</si>
  <si>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</si>
  <si>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</si>
  <si>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</si>
  <si>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</si>
  <si>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</si>
  <si>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</si>
  <si>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</si>
  <si>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</si>
  <si>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</si>
  <si>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</si>
  <si>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</si>
  <si>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</si>
  <si>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</si>
  <si>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</si>
  <si>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</si>
  <si>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</si>
  <si>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</si>
  <si>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</si>
  <si>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</si>
  <si>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</si>
  <si>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</si>
  <si>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</si>
  <si>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</si>
  <si>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</si>
  <si>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</si>
  <si>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</si>
  <si>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</si>
  <si>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</si>
  <si>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</si>
  <si>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</si>
  <si>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</si>
  <si>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</si>
  <si>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</si>
  <si>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</si>
  <si>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</si>
  <si>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</si>
  <si>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</si>
  <si>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</si>
  <si>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</si>
  <si>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</si>
  <si>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</si>
  <si>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</si>
  <si>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</si>
  <si>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</si>
  <si>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</si>
  <si>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</si>
  <si>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</si>
  <si>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</si>
  <si>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</si>
  <si>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</si>
  <si>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</si>
  <si>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</si>
  <si>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</si>
  <si>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</si>
  <si>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</si>
  <si>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</si>
  <si>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</si>
  <si>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</si>
  <si>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</si>
  <si>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</si>
  <si>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</si>
  <si>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</si>
  <si>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</si>
  <si>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</si>
  <si>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</si>
  <si>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</si>
  <si>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</si>
  <si>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</si>
  <si>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</si>
  <si>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</si>
  <si>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</si>
  <si>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</si>
  <si>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</si>
  <si>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</si>
  <si>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</si>
  <si>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</si>
  <si>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</si>
  <si>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</si>
  <si>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</si>
  <si>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</si>
  <si>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</si>
  <si>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</si>
  <si>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</si>
  <si>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</si>
  <si>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</si>
  <si>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</si>
  <si>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</si>
  <si>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</si>
  <si>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</si>
  <si>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</si>
  <si>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</si>
  <si>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</si>
  <si>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</si>
  <si>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</si>
  <si>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</si>
  <si>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</si>
  <si>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</si>
  <si>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</si>
  <si>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</si>
  <si>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</si>
  <si>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</si>
  <si>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</si>
  <si>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</si>
  <si>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</si>
  <si>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</si>
  <si>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</si>
  <si>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</si>
  <si>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</si>
  <si>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</si>
  <si>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</si>
  <si>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</si>
  <si>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</si>
  <si>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</si>
  <si>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</si>
  <si>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</si>
  <si>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</si>
  <si>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</si>
  <si>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</si>
  <si>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</si>
  <si>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</si>
  <si>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</si>
  <si>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</si>
  <si>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</si>
  <si>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</si>
  <si>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</si>
  <si>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</si>
  <si>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</si>
  <si>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</si>
  <si>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</si>
  <si>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</si>
  <si>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</si>
  <si>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</si>
  <si>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</si>
  <si>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</si>
  <si>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</si>
  <si>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</si>
  <si>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</si>
  <si>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</si>
  <si>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</si>
  <si>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</si>
  <si>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</si>
  <si>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</si>
  <si>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</si>
  <si>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</si>
  <si>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</si>
  <si>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</si>
  <si>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</si>
  <si>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</si>
  <si>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</si>
  <si>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</si>
  <si>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</si>
  <si>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</si>
  <si>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</si>
  <si>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</si>
  <si>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</si>
  <si>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</si>
  <si>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</si>
  <si>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</si>
  <si>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</si>
  <si>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</si>
  <si>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</si>
  <si>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</si>
  <si>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</si>
  <si>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</si>
  <si>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</si>
  <si>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</si>
  <si>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</si>
  <si>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</si>
  <si>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</si>
  <si>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</si>
  <si>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</si>
  <si>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</si>
  <si>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</si>
  <si>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</si>
  <si>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</si>
  <si>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</si>
  <si>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</si>
  <si>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</si>
  <si>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</si>
  <si>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</si>
  <si>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</si>
  <si>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</si>
  <si>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</si>
  <si>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</si>
  <si>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</si>
  <si>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</si>
  <si>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</si>
  <si>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</si>
  <si>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</si>
  <si>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</si>
  <si>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</si>
  <si>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</si>
  <si>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</si>
  <si>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</si>
  <si>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</si>
  <si>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</si>
  <si>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</si>
  <si>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</si>
  <si>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</si>
  <si>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</si>
  <si>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</si>
  <si>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</si>
  <si>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</si>
  <si>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</si>
  <si>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</si>
  <si>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</si>
  <si>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</si>
  <si>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</si>
  <si>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</si>
  <si>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</si>
  <si>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</si>
  <si>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</si>
  <si>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</si>
  <si>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</si>
  <si>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</si>
  <si>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</si>
  <si>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</si>
  <si>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</si>
  <si>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</si>
  <si>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</si>
  <si>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</si>
  <si>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</si>
  <si>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</si>
  <si>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</si>
  <si>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</si>
  <si>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</si>
  <si>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</si>
  <si>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</si>
  <si>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</si>
  <si>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</si>
  <si>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</si>
  <si>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</si>
  <si>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</si>
  <si>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</si>
  <si>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</si>
  <si>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</si>
  <si>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</si>
  <si>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</si>
  <si>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</si>
  <si>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</si>
  <si>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</si>
  <si>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</si>
  <si>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</si>
  <si>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</si>
  <si>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</si>
  <si>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</si>
  <si>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</si>
  <si>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</si>
  <si>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</si>
  <si>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</si>
  <si>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</si>
  <si>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</si>
  <si>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</si>
  <si>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</si>
  <si>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</si>
  <si>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</si>
  <si>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</si>
  <si>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</si>
  <si>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</si>
  <si>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</si>
  <si>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</si>
  <si>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</si>
  <si>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</si>
  <si>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</si>
  <si>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</si>
  <si>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</si>
  <si>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</si>
  <si>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</si>
  <si>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</si>
  <si>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</si>
  <si>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</si>
  <si>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</si>
  <si>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</si>
  <si>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</si>
  <si>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</si>
  <si>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</si>
  <si>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</si>
  <si>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</si>
  <si>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</si>
  <si>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</si>
  <si>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</si>
  <si>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</si>
  <si>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</si>
  <si>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</si>
  <si>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</si>
  <si>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</si>
  <si>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</si>
  <si>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</si>
  <si>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</si>
  <si>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</si>
  <si>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</si>
  <si>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</si>
  <si>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</si>
  <si>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</si>
  <si>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</si>
  <si>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</si>
  <si>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</si>
  <si>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</si>
  <si>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</si>
  <si>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</si>
  <si>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</si>
  <si>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</si>
  <si>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</si>
  <si>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</si>
  <si>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</si>
  <si>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</si>
  <si>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</si>
  <si>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</si>
  <si>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</si>
  <si>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</si>
  <si>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</si>
  <si>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</si>
  <si>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</si>
  <si>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</si>
  <si>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</si>
  <si>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</si>
  <si>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</si>
  <si>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</si>
  <si>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</si>
  <si>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</si>
  <si>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</si>
  <si>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</si>
  <si>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</si>
  <si>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</si>
  <si>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</si>
  <si>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</si>
  <si>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</si>
  <si>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</si>
  <si>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</si>
  <si>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</si>
  <si>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</si>
  <si>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</si>
  <si>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</si>
  <si>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</si>
  <si>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</si>
  <si>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</si>
  <si>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</si>
  <si>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</si>
  <si>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</si>
  <si>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</si>
  <si>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</si>
  <si>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</si>
  <si>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</si>
  <si>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</si>
  <si>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</si>
  <si>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</si>
  <si>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</si>
  <si>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</si>
  <si>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</si>
  <si>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</si>
  <si>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</si>
  <si>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</si>
  <si>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</si>
  <si>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</si>
  <si>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</si>
  <si>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</si>
  <si>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</si>
  <si>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</si>
  <si>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</si>
  <si>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</si>
  <si>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</si>
  <si>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</si>
  <si>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</si>
  <si>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</si>
  <si>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</si>
  <si>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</si>
  <si>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</si>
  <si>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</si>
  <si>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</si>
  <si>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</si>
  <si>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</si>
  <si>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</si>
  <si>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</si>
  <si>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</si>
  <si>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</si>
  <si>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</si>
  <si>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</si>
  <si>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</si>
  <si>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</si>
  <si>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</si>
  <si>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</si>
  <si>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</si>
  <si>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</si>
  <si>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</si>
  <si>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</si>
  <si>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</si>
  <si>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</si>
  <si>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</si>
  <si>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</si>
  <si>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</si>
  <si>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</si>
  <si>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</si>
  <si>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</si>
  <si>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</si>
  <si>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</si>
  <si>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</si>
  <si>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</si>
  <si>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</si>
  <si>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</si>
  <si>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</si>
  <si>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</si>
  <si>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</si>
  <si>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</si>
  <si>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</si>
  <si>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</si>
  <si>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</si>
  <si>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</si>
  <si>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</si>
  <si>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</si>
  <si>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</si>
  <si>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</si>
  <si>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</si>
  <si>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</si>
  <si>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</si>
  <si>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</si>
  <si>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</si>
  <si>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</si>
  <si>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</si>
  <si>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</si>
  <si>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</si>
  <si>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</si>
  <si>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</si>
  <si>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</si>
  <si>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</si>
  <si>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</si>
  <si>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</si>
  <si>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</si>
  <si>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</si>
  <si>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</si>
  <si>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</si>
  <si>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</si>
  <si>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</si>
  <si>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</si>
  <si>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</si>
  <si>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</si>
  <si>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</si>
  <si>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</si>
  <si>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</si>
  <si>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</si>
  <si>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</si>
  <si>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</si>
  <si>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</si>
  <si>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</si>
  <si>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</si>
  <si>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</si>
  <si>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</si>
  <si>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</si>
  <si>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</si>
  <si>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</si>
  <si>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</si>
  <si>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</si>
  <si>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</si>
  <si>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</si>
  <si>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</si>
  <si>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</si>
  <si>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</si>
  <si>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</si>
  <si>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</si>
  <si>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</si>
  <si>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</si>
  <si>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</si>
  <si>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</si>
  <si>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</si>
  <si>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</si>
  <si>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</si>
  <si>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</si>
  <si>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</si>
  <si>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</si>
  <si>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</si>
  <si>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</si>
  <si>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</si>
  <si>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</si>
  <si>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</si>
  <si>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</si>
  <si>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</si>
  <si>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</si>
  <si>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</si>
  <si>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</si>
  <si>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</si>
  <si>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</si>
  <si>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</si>
  <si>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</si>
  <si>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</si>
  <si>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</si>
  <si>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</si>
  <si>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</si>
  <si>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</si>
  <si>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</si>
  <si>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</si>
  <si>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</si>
  <si>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</si>
  <si>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</si>
  <si>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</si>
  <si>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</si>
  <si>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</si>
  <si>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</si>
  <si>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</si>
  <si>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</si>
  <si>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</si>
  <si>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</si>
  <si>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</si>
  <si>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</si>
  <si>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</si>
  <si>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</si>
  <si>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</si>
  <si>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</si>
  <si>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</si>
  <si>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</si>
  <si>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</si>
  <si>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</si>
  <si>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</si>
  <si>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</si>
  <si>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</si>
  <si>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</si>
  <si>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</si>
  <si>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</si>
  <si>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</si>
  <si>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</si>
  <si>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</si>
  <si>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</si>
  <si>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</si>
  <si>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</si>
  <si>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</si>
  <si>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</si>
  <si>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</si>
  <si>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</si>
  <si>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</si>
  <si>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</si>
  <si>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</si>
  <si>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</si>
  <si>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</si>
  <si>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</si>
  <si>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</si>
  <si>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</si>
  <si>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</si>
  <si>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</si>
  <si>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</si>
  <si>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</si>
  <si>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</si>
  <si>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</si>
  <si>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</si>
  <si>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</si>
  <si>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</si>
  <si>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</si>
  <si>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</si>
  <si>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</si>
  <si>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</si>
  <si>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</si>
  <si>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</si>
  <si>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</si>
  <si>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</si>
  <si>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</si>
  <si>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</si>
  <si>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</si>
  <si>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</si>
  <si>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</si>
  <si>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</si>
  <si>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</si>
  <si>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</si>
  <si>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</si>
  <si>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</si>
  <si>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</si>
  <si>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</si>
  <si>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</si>
  <si>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</si>
  <si>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</si>
  <si>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</si>
  <si>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</si>
  <si>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</si>
  <si>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</si>
  <si>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</si>
  <si>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</si>
  <si>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</si>
  <si>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</si>
  <si>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</si>
  <si>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</si>
  <si>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</si>
  <si>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</si>
  <si>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</si>
  <si>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</si>
  <si>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</si>
  <si>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</si>
  <si>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</si>
  <si>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</si>
  <si>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</si>
  <si>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Ignore this selection</t>
  </si>
  <si>
    <t>ORS 468 and 468A</t>
  </si>
  <si>
    <t xml:space="preserve"> NA</t>
  </si>
  <si>
    <t>Prevent DEQ from being listed as delinquent</t>
  </si>
  <si>
    <t>202-0060(3), 200</t>
  </si>
  <si>
    <t>X</t>
  </si>
  <si>
    <t xml:space="preserve"> Timecenter: 43003  Rulemaking: AQ Infrastructure SIP - PM2.5 - Mgr 15</t>
  </si>
  <si>
    <t>CAA 110</t>
  </si>
  <si>
    <t>Contingent on any effects to PSD, permitting or LRAPA</t>
  </si>
  <si>
    <t>Environmental Solutions AQ planning section</t>
  </si>
  <si>
    <t>Because the rules are necessary to comply with the CAA, DEQ is not considering other options.</t>
  </si>
  <si>
    <t xml:space="preserve"> States need to adopt federal standards within 3 years. This update is due to EPA by Dec. 14, 2015.</t>
  </si>
  <si>
    <t>Oregon State Implementation Plan revision for PM2.5 National Ambient Air Quality Standards</t>
  </si>
  <si>
    <t>We want to keep PM2.5 pollution below harmful levels and maintain a federally approved State Implementation Plan to protect air quality.</t>
  </si>
  <si>
    <t xml:space="preserve">We're trying to incorporate the annual NAAQS for PM2.5 into Oregon's State Implementation Plan by Dec. 14, 2015. </t>
  </si>
  <si>
    <t xml:space="preserve">If we do nothing, DEQ's SIP would become delinquent and DEQ could be sued and lose delegation of the AQ program.   </t>
  </si>
  <si>
    <t>We need to determine if there's an interstate transport component to this rulemaking</t>
  </si>
  <si>
    <t>We can use previous similar rulemakings as a model for this rulemaking.</t>
  </si>
  <si>
    <t>Oregon maintains a federally-approved State Implementation Plan to protect air quality. DEQ proposes to incorporate the annual National Ambient Air Quality Standards for PM2.5 into the SIP. The federal Clean Air Act requires DEQ to adopt new or revised NAAQS and incorporate them into the SIP within 3 years of EPA promulgation. EPA promulgated the annual NAAQS for PM2.5 on Dec. 14, 2012, which means Oregon's incorporation is due Dec. 14, 2015.</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</si>
</sst>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rgb="FF00CC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2">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118" fillId="0" borderId="0" xfId="0" applyFont="1" applyFill="1" applyBorder="1" applyAlignment="1">
      <alignment horizontal="left" vertical="center"/>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 fillId="0"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0" borderId="0" xfId="0" applyFont="1" applyFill="1" applyBorder="1" applyAlignment="1">
      <alignment horizontal="left" wrapText="1" indent="6"/>
    </xf>
    <xf numFmtId="164" fontId="81" fillId="0" borderId="21" xfId="0" applyFont="1" applyFill="1" applyBorder="1" applyAlignment="1">
      <alignment horizontal="left" wrapText="1" indent="6"/>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0" borderId="2" xfId="0" applyNumberFormat="1" applyFont="1" applyFill="1" applyBorder="1" applyAlignment="1" applyProtection="1">
      <alignment vertical="center" wrapText="1"/>
      <protection locked="0"/>
    </xf>
    <xf numFmtId="49" fontId="153" fillId="0" borderId="3" xfId="0" quotePrefix="1" applyNumberFormat="1" applyFont="1" applyFill="1" applyBorder="1" applyAlignment="1" applyProtection="1">
      <alignment vertical="center" wrapText="1"/>
      <protection locked="0"/>
    </xf>
    <xf numFmtId="49" fontId="153" fillId="0" borderId="4" xfId="0" quotePrefix="1" applyNumberFormat="1" applyFont="1" applyFill="1" applyBorder="1" applyAlignment="1" applyProtection="1">
      <alignment vertical="center" wrapText="1"/>
      <protection locked="0"/>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1"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xf numFmtId="1" fontId="101" fillId="32" borderId="2" xfId="0" applyNumberFormat="1" applyFont="1" applyFill="1" applyBorder="1" applyAlignment="1" applyProtection="1">
      <alignment horizontal="left" vertical="top"/>
    </xf>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450">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449"/>
    </tableStyle>
    <tableStyle name="Table Style 2" pivot="0" count="1">
      <tableStyleElement type="wholeTable" dxfId="448"/>
    </tableStyle>
    <tableStyle name="TableStyleMedium9 2" pivot="0" count="7">
      <tableStyleElement type="wholeTable" dxfId="447"/>
      <tableStyleElement type="headerRow" dxfId="446"/>
      <tableStyleElement type="totalRow" dxfId="445"/>
      <tableStyleElement type="firstColumn" dxfId="444"/>
      <tableStyleElement type="lastColumn" dxfId="443"/>
      <tableStyleElement type="firstRowStripe" dxfId="442"/>
      <tableStyleElement type="firstColumnStripe" dxfId="441"/>
    </tableStyle>
    <tableStyle name="TableStyleMedium9 3" pivot="0" count="7">
      <tableStyleElement type="wholeTable" dxfId="440"/>
      <tableStyleElement type="headerRow" dxfId="439"/>
      <tableStyleElement type="totalRow" dxfId="438"/>
      <tableStyleElement type="firstColumn" dxfId="437"/>
      <tableStyleElement type="lastColumn" dxfId="436"/>
      <tableStyleElement type="firstRowStripe" dxfId="435"/>
      <tableStyleElement type="firstColumnStripe" dxfId="434"/>
    </tableStyle>
    <tableStyle name="TimeTable" pivot="0" count="1">
      <tableStyleElement type="wholeTable" dxfId="433"/>
    </tableStyle>
  </tableStyles>
  <colors>
    <mruColors>
      <color rgb="FF00CC00"/>
      <color rgb="FF0E7A56"/>
      <color rgb="FFFB9C33"/>
      <color rgb="FF993300"/>
      <color rgb="FFCC3300"/>
      <color rgb="FFF53D39"/>
      <color rgb="FFF6FCF7"/>
      <color rgb="FFE0F4E5"/>
      <color rgb="FFCEEED6"/>
      <color rgb="FF6FCB85"/>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507330" y="1654969"/>
          <a:ext cx="6622258" cy="945355"/>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97806" y="3393281"/>
          <a:ext cx="6612733" cy="907091"/>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432">
  <autoFilter ref="A2:AH421"/>
  <tableColumns count="34">
    <tableColumn id="1" name="Version" dataDxfId="431"/>
    <tableColumn id="2" name="Error ID" dataDxfId="430"/>
    <tableColumn id="3" name="Date" dataDxfId="429"/>
    <tableColumn id="4" name="Staff"/>
    <tableColumn id="5" name="Worksheet"/>
    <tableColumn id="6" name="Cell" dataDxfId="428"/>
    <tableColumn id="7" name="Problem" dataDxfId="427"/>
    <tableColumn id="8" name="Solution" dataDxfId="426"/>
    <tableColumn id="9" name="Date2" dataDxfId="425"/>
    <tableColumn id="10" name="Base" dataDxfId="424"/>
    <tableColumn id="11" name="All" dataDxfId="423"/>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422"/>
    <tableColumn id="32" name="21" dataDxfId="421"/>
    <tableColumn id="33" name="22" dataDxfId="420"/>
    <tableColumn id="34" name="23" dataDxfId="419"/>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13" workbookViewId="0">
      <selection activeCell="K20" sqref="K20:T20"/>
    </sheetView>
  </sheetViews>
  <sheetFormatPr defaultColWidth="9"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3" t="s">
        <v>101</v>
      </c>
      <c r="E2" s="1393"/>
      <c r="F2" s="1393"/>
      <c r="G2" s="1380" t="str">
        <f>C.2Name</f>
        <v>Oregon State Implementation Plan revision for PM2.5 National Ambient Air Quality Standards</v>
      </c>
      <c r="H2" s="1380"/>
      <c r="I2" s="1380"/>
      <c r="J2" s="1380"/>
      <c r="K2" s="1380"/>
      <c r="L2" s="1380"/>
      <c r="M2" s="1380"/>
      <c r="N2" s="1380"/>
      <c r="O2" s="1380"/>
      <c r="P2" s="1380"/>
      <c r="Q2" s="1380"/>
      <c r="R2" s="1380"/>
      <c r="S2" s="1380"/>
      <c r="T2" s="1380"/>
      <c r="U2" s="1103"/>
      <c r="V2" s="563"/>
      <c r="W2" s="180" t="s">
        <v>0</v>
      </c>
      <c r="X2" s="159"/>
      <c r="Y2" s="68"/>
      <c r="Z2" s="68"/>
      <c r="AA2" s="147"/>
      <c r="AB2" s="844"/>
      <c r="AC2" s="844"/>
      <c r="AD2" s="844"/>
      <c r="AE2" s="147"/>
    </row>
    <row r="3" spans="1:31" s="66" customFormat="1" ht="12.75" customHeight="1" thickTop="1">
      <c r="A3" s="601"/>
      <c r="B3" s="563"/>
      <c r="C3" s="1381"/>
      <c r="D3" s="1382"/>
      <c r="E3" s="1382"/>
      <c r="F3" s="1382"/>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6" t="s">
        <v>1027</v>
      </c>
      <c r="E4" s="1406"/>
      <c r="F4" s="1406"/>
      <c r="G4" s="1406"/>
      <c r="H4" s="1406"/>
      <c r="I4" s="1406"/>
      <c r="J4" s="1406"/>
      <c r="K4" s="1406"/>
      <c r="L4" s="1406"/>
      <c r="M4" s="1406"/>
      <c r="N4" s="1406"/>
      <c r="O4" s="1406"/>
      <c r="P4" s="1406"/>
      <c r="Q4" s="1406"/>
      <c r="R4" s="1406"/>
      <c r="S4" s="1406"/>
      <c r="T4" s="1406"/>
      <c r="U4" s="206"/>
      <c r="V4" s="563"/>
      <c r="W4" s="161"/>
      <c r="X4" s="161"/>
      <c r="Y4" s="146"/>
      <c r="Z4" s="146"/>
      <c r="AA4" s="146"/>
      <c r="AB4" s="146"/>
      <c r="AC4" s="146"/>
      <c r="AD4" s="146"/>
      <c r="AE4" s="146"/>
    </row>
    <row r="5" spans="1:31" s="66" customFormat="1" ht="15.75" customHeight="1">
      <c r="A5" s="601"/>
      <c r="B5" s="563"/>
      <c r="C5" s="202"/>
      <c r="D5" s="1407" t="s">
        <v>1074</v>
      </c>
      <c r="E5" s="1408"/>
      <c r="F5" s="1408"/>
      <c r="G5" s="1408"/>
      <c r="H5" s="1408"/>
      <c r="I5" s="1408"/>
      <c r="J5" s="1408"/>
      <c r="K5" s="1408"/>
      <c r="L5" s="1408"/>
      <c r="M5" s="1408"/>
      <c r="N5" s="1408"/>
      <c r="O5" s="1408"/>
      <c r="P5" s="1408"/>
      <c r="Q5" s="1408"/>
      <c r="R5" s="1408"/>
      <c r="S5" s="1408"/>
      <c r="T5" s="1409"/>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2" t="s">
        <v>542</v>
      </c>
      <c r="G7" s="1412"/>
      <c r="H7" s="1412"/>
      <c r="I7" s="1412"/>
      <c r="J7" s="1412"/>
      <c r="K7" s="1412"/>
      <c r="L7" s="1412"/>
      <c r="M7" s="1412"/>
      <c r="N7" s="1412"/>
      <c r="O7" s="1412"/>
      <c r="P7" s="1412"/>
      <c r="Q7" s="1412"/>
      <c r="R7" s="1412"/>
      <c r="S7" s="1412"/>
      <c r="T7" s="1412"/>
      <c r="U7" s="206"/>
      <c r="V7" s="851"/>
      <c r="W7" s="1017"/>
      <c r="X7" s="846"/>
      <c r="Y7" s="38"/>
      <c r="Z7" s="38"/>
      <c r="AA7" s="38"/>
      <c r="AB7" s="38"/>
      <c r="AC7" s="38"/>
      <c r="AD7" s="38"/>
      <c r="AE7" s="226"/>
    </row>
    <row r="8" spans="1:31" s="843" customFormat="1" ht="33.75" customHeight="1">
      <c r="A8" s="852"/>
      <c r="B8" s="851"/>
      <c r="C8" s="202"/>
      <c r="D8" s="657"/>
      <c r="E8" s="1115"/>
      <c r="F8" s="1412"/>
      <c r="G8" s="1412"/>
      <c r="H8" s="1412"/>
      <c r="I8" s="1412"/>
      <c r="J8" s="1412"/>
      <c r="K8" s="1412"/>
      <c r="L8" s="1412"/>
      <c r="M8" s="1412"/>
      <c r="N8" s="1412"/>
      <c r="O8" s="1412"/>
      <c r="P8" s="1412"/>
      <c r="Q8" s="1412"/>
      <c r="R8" s="1412"/>
      <c r="S8" s="1412"/>
      <c r="T8" s="1412"/>
      <c r="U8" s="206"/>
      <c r="V8" s="851"/>
      <c r="W8" s="1017"/>
      <c r="X8" s="846"/>
      <c r="Y8" s="38"/>
      <c r="Z8" s="38"/>
      <c r="AA8" s="38"/>
      <c r="AB8" s="38"/>
      <c r="AC8" s="38"/>
      <c r="AD8" s="38"/>
      <c r="AE8" s="226"/>
    </row>
    <row r="9" spans="1:31" s="66" customFormat="1" ht="24" customHeight="1">
      <c r="A9" s="601"/>
      <c r="B9" s="563"/>
      <c r="C9" s="202"/>
      <c r="D9" s="120"/>
      <c r="E9" s="114"/>
      <c r="F9" s="1415" t="s">
        <v>249</v>
      </c>
      <c r="G9" s="1415"/>
      <c r="H9" s="1415" t="s">
        <v>250</v>
      </c>
      <c r="I9" s="1415"/>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3" t="s">
        <v>54</v>
      </c>
      <c r="E11" s="1413"/>
      <c r="F11" s="242">
        <v>2014</v>
      </c>
      <c r="G11" s="243">
        <v>2</v>
      </c>
      <c r="H11" s="236"/>
      <c r="I11" s="236"/>
      <c r="K11" s="373"/>
      <c r="L11" s="373"/>
      <c r="M11" s="373"/>
      <c r="N11" s="373"/>
      <c r="O11" s="373"/>
      <c r="P11" s="373"/>
      <c r="Q11" s="373"/>
      <c r="R11" s="373"/>
      <c r="S11" s="373"/>
      <c r="T11" s="373"/>
      <c r="U11" s="206"/>
      <c r="V11" s="563"/>
      <c r="W11" s="1091" t="s">
        <v>790</v>
      </c>
      <c r="X11" s="161"/>
      <c r="Y11" s="1015" t="str">
        <f>C.6SStartYr &amp;"-Q"&amp;C.6SStartQtr</f>
        <v>2014-Q2</v>
      </c>
      <c r="Z11" s="1030">
        <f>IF(AND(ISODD(C.6SStartYr),C.6SStartQtr&lt;3),7,IF(AND(ISEVEN(C.6SStartYr),C.6SStartQtr=1),7,0))</f>
        <v>0</v>
      </c>
      <c r="AA11" s="235" t="s">
        <v>0</v>
      </c>
      <c r="AB11" s="235"/>
      <c r="AC11" s="235"/>
      <c r="AD11" s="235"/>
      <c r="AE11" s="127"/>
    </row>
    <row r="12" spans="1:31" s="66" customFormat="1" ht="15.75" customHeight="1">
      <c r="A12" s="601"/>
      <c r="B12" s="563"/>
      <c r="C12" s="202"/>
      <c r="D12" s="1413" t="s">
        <v>211</v>
      </c>
      <c r="E12" s="1413"/>
      <c r="F12" s="242">
        <v>2011</v>
      </c>
      <c r="G12" s="243">
        <v>1</v>
      </c>
      <c r="H12" s="1032">
        <v>2013</v>
      </c>
      <c r="I12" s="243">
        <v>1</v>
      </c>
      <c r="J12" s="1416" t="str">
        <f>IF(AD12="not involved",AD12,"")</f>
        <v>not involved</v>
      </c>
      <c r="K12" s="1417"/>
      <c r="L12" s="1417"/>
      <c r="M12" s="1417"/>
      <c r="N12" s="1417"/>
      <c r="O12" s="1417"/>
      <c r="P12" s="1417"/>
      <c r="Q12" s="1417"/>
      <c r="R12" s="1417"/>
      <c r="S12" s="1417"/>
      <c r="T12" s="1417"/>
      <c r="U12" s="875"/>
      <c r="V12" s="563"/>
      <c r="W12" s="1091" t="s">
        <v>790</v>
      </c>
      <c r="X12" s="161"/>
      <c r="Y12" s="1027" t="str">
        <f>C.6SACStartYr&amp;"-Q"&amp;C.6SACStartQtr</f>
        <v>2011-Q1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7</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13" t="s">
        <v>513</v>
      </c>
      <c r="E13" s="1413"/>
      <c r="F13" s="242">
        <v>2014</v>
      </c>
      <c r="G13" s="243">
        <v>3</v>
      </c>
      <c r="H13" s="1032">
        <v>2014</v>
      </c>
      <c r="I13" s="243">
        <v>4</v>
      </c>
      <c r="J13" s="1416" t="str">
        <f>IF(AD13="not involved",AD13,"")</f>
        <v/>
      </c>
      <c r="K13" s="1417"/>
      <c r="L13" s="1417"/>
      <c r="M13" s="1417"/>
      <c r="N13" s="1417"/>
      <c r="O13" s="1417"/>
      <c r="P13" s="1417"/>
      <c r="Q13" s="1417"/>
      <c r="R13" s="1417"/>
      <c r="S13" s="1417"/>
      <c r="T13" s="1417"/>
      <c r="U13" s="875"/>
      <c r="V13" s="563"/>
      <c r="W13" s="1091" t="s">
        <v>790</v>
      </c>
      <c r="X13" s="161"/>
      <c r="Y13" s="1027" t="str">
        <f>C.6SNoticeStartYr&amp;"-Q"&amp;C.6SNoticeStartQtr</f>
        <v>2014-Q3</v>
      </c>
      <c r="Z13" s="1030">
        <f>IF(AND(ISODD(C.6SNoticeStartYr),C.6SNoticeStartQtr&lt;3),7,IF(AND(ISEVEN(C.6SNoticeStartYr),C.6SNoticeStartQtr=1),7,0))</f>
        <v>0</v>
      </c>
      <c r="AA13" s="1029" t="str">
        <f>C.6SNoticeEndYr&amp;"-Q"&amp;C.6SNoticeEndQtr</f>
        <v>2014-Q4</v>
      </c>
      <c r="AB13" s="1030">
        <f>IF(AND(ISODD(C.6SNoticeEndYr),C.6SNoticeEndQtr&lt;3),7,IF(AND(ISEVEN(C.6SNoticeEndYr),C.6SNoticeEndQtr=1),7,0))</f>
        <v>0</v>
      </c>
      <c r="AC13" s="1030">
        <f>IF(C.6SNoticeEndYr-C.6SNoticeStartYr&gt;0,7,0)</f>
        <v>0</v>
      </c>
      <c r="AD13" s="234" t="str">
        <f>IF('3Stakeholders'!Z50=1,"not involved", C.6SNoticeStart.YrQtr&amp;" to "&amp;C.6SNoticeEnd.YrQtr)</f>
        <v>2014-Q3 to 2014-Q4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3" t="s">
        <v>514</v>
      </c>
      <c r="E14" s="1413"/>
      <c r="F14" s="242">
        <v>2015</v>
      </c>
      <c r="G14" s="243">
        <v>3</v>
      </c>
      <c r="H14" s="237"/>
      <c r="I14" s="237"/>
      <c r="J14" s="1419" t="str">
        <f t="shared" ref="J14:J15" si="0">AE14</f>
        <v/>
      </c>
      <c r="K14" s="1419"/>
      <c r="L14" s="1419"/>
      <c r="M14" s="1419"/>
      <c r="N14" s="1419"/>
      <c r="O14" s="1419"/>
      <c r="P14" s="1419"/>
      <c r="Q14" s="1419"/>
      <c r="R14" s="1419"/>
      <c r="S14" s="1419"/>
      <c r="T14" s="1419"/>
      <c r="U14" s="1420"/>
      <c r="V14" s="563"/>
      <c r="W14" s="1091" t="s">
        <v>790</v>
      </c>
      <c r="X14" s="161"/>
      <c r="Y14" s="1027" t="str">
        <f>C.6SEQCYr&amp;"-Q"&amp;C.6SEQCQtr</f>
        <v>2015-Q3</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3" t="s">
        <v>55</v>
      </c>
      <c r="E15" s="1413"/>
      <c r="F15" s="242">
        <v>2015</v>
      </c>
      <c r="G15" s="243">
        <v>4</v>
      </c>
      <c r="H15" s="237"/>
      <c r="I15" s="237"/>
      <c r="J15" s="1419" t="str">
        <f t="shared" si="0"/>
        <v/>
      </c>
      <c r="K15" s="1419"/>
      <c r="L15" s="1419"/>
      <c r="M15" s="1419"/>
      <c r="N15" s="1419"/>
      <c r="O15" s="1419"/>
      <c r="P15" s="1419"/>
      <c r="Q15" s="1419"/>
      <c r="R15" s="1419"/>
      <c r="S15" s="1419"/>
      <c r="T15" s="1419"/>
      <c r="U15" s="1420"/>
      <c r="V15" s="563"/>
      <c r="W15" s="1091" t="s">
        <v>790</v>
      </c>
      <c r="X15" s="161"/>
      <c r="Y15" s="123" t="str">
        <f>C.6SEffectiveYr&amp;"-Q"&amp;C.6SEffectiveQtr</f>
        <v>2015-Q4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0" t="s">
        <v>242</v>
      </c>
      <c r="E16" s="1410"/>
      <c r="F16" s="1410"/>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4" t="s">
        <v>219</v>
      </c>
      <c r="G17" s="1414"/>
      <c r="H17" s="1414"/>
      <c r="I17" s="246"/>
      <c r="J17" s="215"/>
      <c r="K17" s="1411" t="s">
        <v>244</v>
      </c>
      <c r="L17" s="1411"/>
      <c r="M17" s="1411"/>
      <c r="N17" s="1411"/>
      <c r="O17" s="1411"/>
      <c r="P17" s="1411"/>
      <c r="Q17" s="1411"/>
      <c r="R17" s="1411"/>
      <c r="S17" s="1411"/>
      <c r="T17" s="1411"/>
      <c r="U17" s="209"/>
      <c r="V17" s="563"/>
      <c r="W17" s="162" t="s">
        <v>0</v>
      </c>
      <c r="X17" s="174"/>
      <c r="Y17" s="115" t="s">
        <v>0</v>
      </c>
      <c r="Z17" s="115"/>
      <c r="AA17" s="115"/>
      <c r="AB17" s="115"/>
      <c r="AC17" s="115"/>
      <c r="AD17" s="115"/>
      <c r="AE17" s="115" t="s">
        <v>0</v>
      </c>
    </row>
    <row r="18" spans="1:31" s="2" customFormat="1" ht="29.25" customHeight="1">
      <c r="A18" s="601"/>
      <c r="B18" s="563"/>
      <c r="C18" s="211"/>
      <c r="D18" s="1401" t="s">
        <v>217</v>
      </c>
      <c r="E18" s="1402"/>
      <c r="F18" s="1402"/>
      <c r="G18" s="1405"/>
      <c r="H18" s="1405"/>
      <c r="I18" s="1405"/>
      <c r="J18" s="1405"/>
      <c r="K18" s="1333"/>
      <c r="L18" s="1333"/>
      <c r="M18" s="1333"/>
      <c r="N18" s="1333"/>
      <c r="O18" s="1333"/>
      <c r="P18" s="1333"/>
      <c r="Q18" s="1333"/>
      <c r="R18" s="1333"/>
      <c r="S18" s="1333"/>
      <c r="T18" s="1333"/>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62" t="s">
        <v>416</v>
      </c>
      <c r="E20" s="1362"/>
      <c r="F20" s="230"/>
      <c r="G20" s="230"/>
      <c r="H20" s="1421" t="s">
        <v>0</v>
      </c>
      <c r="I20" s="1422"/>
      <c r="J20" s="1422"/>
      <c r="K20" s="1341" t="s">
        <v>37</v>
      </c>
      <c r="L20" s="1342"/>
      <c r="M20" s="1342"/>
      <c r="N20" s="1342"/>
      <c r="O20" s="1342"/>
      <c r="P20" s="1342"/>
      <c r="Q20" s="1342"/>
      <c r="R20" s="1342"/>
      <c r="S20" s="1342"/>
      <c r="T20" s="1343"/>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8" t="s">
        <v>247</v>
      </c>
      <c r="I21" s="1418"/>
      <c r="J21" s="1418"/>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1</v>
      </c>
      <c r="Z21" s="34"/>
      <c r="AA21" s="873" t="str">
        <f>K20</f>
        <v>definitely not complex</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60" t="s">
        <v>0</v>
      </c>
      <c r="E25" s="1261"/>
      <c r="F25" s="1261"/>
      <c r="G25" s="1261"/>
      <c r="H25" s="1261"/>
      <c r="I25" s="1261"/>
      <c r="J25" s="1261"/>
      <c r="K25" s="1261"/>
      <c r="L25" s="1261"/>
      <c r="M25" s="1261"/>
      <c r="N25" s="1261"/>
      <c r="O25" s="1261"/>
      <c r="P25" s="1261"/>
      <c r="Q25" s="1261"/>
      <c r="R25" s="1261"/>
      <c r="S25" s="1261"/>
      <c r="T25" s="1262"/>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6"/>
      <c r="E27" s="1357"/>
      <c r="F27" s="1357"/>
      <c r="G27" s="1357"/>
      <c r="H27" s="1357"/>
      <c r="I27" s="1357"/>
      <c r="J27" s="1357"/>
      <c r="K27" s="1357"/>
      <c r="L27" s="1357"/>
      <c r="M27" s="1357"/>
      <c r="N27" s="1357"/>
      <c r="O27" s="1357"/>
      <c r="P27" s="1357"/>
      <c r="Q27" s="1357"/>
      <c r="R27" s="1357"/>
      <c r="S27" s="1357"/>
      <c r="T27" s="1358"/>
      <c r="U27" s="201"/>
      <c r="V27" s="563"/>
      <c r="X27" s="161"/>
      <c r="Y27" s="122"/>
      <c r="Z27" s="122"/>
      <c r="AA27" s="147"/>
      <c r="AB27" s="844"/>
      <c r="AC27" s="844"/>
      <c r="AD27" s="844"/>
      <c r="AE27" s="147"/>
    </row>
    <row r="28" spans="1:31">
      <c r="B28" s="563"/>
      <c r="C28" s="213"/>
      <c r="D28" s="214"/>
      <c r="E28" s="214"/>
      <c r="F28" s="214"/>
      <c r="G28" s="214"/>
      <c r="H28" s="1272">
        <f ca="1">TODAY()</f>
        <v>41780</v>
      </c>
      <c r="I28" s="1272"/>
      <c r="J28" s="1272"/>
      <c r="K28" s="1272"/>
      <c r="L28" s="1272"/>
      <c r="M28" s="1272"/>
      <c r="N28" s="1272"/>
      <c r="O28" s="1272"/>
      <c r="P28" s="1272"/>
      <c r="Q28" s="1272"/>
      <c r="R28" s="1272"/>
      <c r="S28" s="1272"/>
      <c r="T28" s="1272"/>
      <c r="U28" s="1273"/>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82" priority="8" stopIfTrue="1">
      <formula>IF($Y$21&lt;10,TRUE,)</formula>
    </cfRule>
  </conditionalFormatting>
  <conditionalFormatting sqref="K21">
    <cfRule type="expression" dxfId="281" priority="9" stopIfTrue="1">
      <formula>IF($Y$21&lt;1,TRUE,)</formula>
    </cfRule>
  </conditionalFormatting>
  <conditionalFormatting sqref="L21">
    <cfRule type="expression" dxfId="280" priority="10" stopIfTrue="1">
      <formula>IF($Y$21&lt;2,TRUE,)</formula>
    </cfRule>
  </conditionalFormatting>
  <conditionalFormatting sqref="N21">
    <cfRule type="expression" dxfId="279" priority="12" stopIfTrue="1">
      <formula>IF($Y21&lt;4,TRUE,)</formula>
    </cfRule>
  </conditionalFormatting>
  <conditionalFormatting sqref="O21">
    <cfRule type="expression" dxfId="278" priority="13" stopIfTrue="1">
      <formula>IF($Y$21&lt;5,TRUE,)</formula>
    </cfRule>
  </conditionalFormatting>
  <conditionalFormatting sqref="P21">
    <cfRule type="expression" dxfId="277" priority="14" stopIfTrue="1">
      <formula>IF($Y$21&lt;6,TRUE,)</formula>
    </cfRule>
  </conditionalFormatting>
  <conditionalFormatting sqref="Q21">
    <cfRule type="expression" dxfId="276" priority="15" stopIfTrue="1">
      <formula>IF($Y$21&lt;7,TRUE,)</formula>
    </cfRule>
  </conditionalFormatting>
  <conditionalFormatting sqref="R21">
    <cfRule type="expression" dxfId="275" priority="16" stopIfTrue="1">
      <formula>IF($Y$21&lt;8,TRUE,)</formula>
    </cfRule>
  </conditionalFormatting>
  <conditionalFormatting sqref="S21">
    <cfRule type="expression" dxfId="274" priority="17" stopIfTrue="1">
      <formula>IF($Y$21&lt;9,TRUE,)</formula>
    </cfRule>
  </conditionalFormatting>
  <conditionalFormatting sqref="M3 M24 M18:M19 M5:M6">
    <cfRule type="expression" dxfId="273" priority="18" stopIfTrue="1">
      <formula>IF(AND(#REF!="H",$Y3&lt;3),TRUE,)</formula>
    </cfRule>
  </conditionalFormatting>
  <conditionalFormatting sqref="M21">
    <cfRule type="expression" dxfId="272" priority="11" stopIfTrue="1">
      <formula>IF($Y$21&lt;3,TRUE,)</formula>
    </cfRule>
  </conditionalFormatting>
  <conditionalFormatting sqref="F11:G15">
    <cfRule type="expression" dxfId="271" priority="5">
      <formula>IF($Z11&gt;0,TRUE)</formula>
    </cfRule>
  </conditionalFormatting>
  <conditionalFormatting sqref="H12:I13">
    <cfRule type="expression" dxfId="270" priority="4">
      <formula>IF($AB12&gt;0,TRUE)</formula>
    </cfRule>
  </conditionalFormatting>
  <conditionalFormatting sqref="F12:I13">
    <cfRule type="expression" dxfId="269"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J49" sqref="J49:S49"/>
    </sheetView>
  </sheetViews>
  <sheetFormatPr defaultColWidth="9"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30" max="57" width="8.75" customWidth="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37" t="s">
        <v>306</v>
      </c>
      <c r="Y1" s="1437"/>
      <c r="Z1" s="1437"/>
      <c r="AA1" s="626"/>
      <c r="AB1" s="147"/>
    </row>
    <row r="2" spans="1:59" s="74" customFormat="1" ht="30" customHeight="1" thickBot="1">
      <c r="A2" s="602"/>
      <c r="B2" s="563"/>
      <c r="C2" s="1101">
        <v>7</v>
      </c>
      <c r="D2" s="1393" t="s">
        <v>298</v>
      </c>
      <c r="E2" s="1393"/>
      <c r="F2" s="1393"/>
      <c r="G2" s="1380" t="str">
        <f>C.2Name</f>
        <v>Oregon State Implementation Plan revision for PM2.5 National Ambient Air Quality Standards</v>
      </c>
      <c r="H2" s="1380"/>
      <c r="I2" s="1380"/>
      <c r="J2" s="1380"/>
      <c r="K2" s="1380"/>
      <c r="L2" s="1380"/>
      <c r="M2" s="1380"/>
      <c r="N2" s="1380"/>
      <c r="O2" s="1380"/>
      <c r="P2" s="1380"/>
      <c r="Q2" s="1380"/>
      <c r="R2" s="1380"/>
      <c r="S2" s="1380"/>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7" t="s">
        <v>1069</v>
      </c>
      <c r="F5" s="1442"/>
      <c r="G5" s="1443"/>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7" t="s">
        <v>1071</v>
      </c>
      <c r="F6" s="1442"/>
      <c r="G6" s="1443"/>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82" t="s">
        <v>296</v>
      </c>
      <c r="E7" s="1282"/>
      <c r="F7" s="1282"/>
      <c r="G7" s="1282"/>
      <c r="H7" s="714"/>
      <c r="I7" s="715"/>
      <c r="J7" s="1385" t="s">
        <v>282</v>
      </c>
      <c r="K7" s="1386"/>
      <c r="L7" s="1386"/>
      <c r="M7" s="1386"/>
      <c r="N7" s="1386"/>
      <c r="O7" s="1386"/>
      <c r="P7" s="1386"/>
      <c r="Q7" s="1386"/>
      <c r="R7" s="1386"/>
      <c r="S7" s="1387"/>
      <c r="T7" s="201"/>
      <c r="U7" s="563"/>
      <c r="V7" s="573" t="s">
        <v>767</v>
      </c>
      <c r="W7" s="161"/>
      <c r="X7" s="33">
        <f>VLOOKUP(J7,C.VL_SeverityRating,2,FALSE)</f>
        <v>1</v>
      </c>
      <c r="Y7" s="872"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82"/>
      <c r="E8" s="1282"/>
      <c r="F8" s="1282"/>
      <c r="G8" s="1282"/>
      <c r="H8" s="1423" t="s">
        <v>280</v>
      </c>
      <c r="I8" s="1424"/>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9" t="s">
        <v>141</v>
      </c>
      <c r="E10" s="1349"/>
      <c r="F10" s="1349"/>
      <c r="G10" s="1349"/>
      <c r="H10" s="1425"/>
      <c r="I10" s="1426"/>
      <c r="J10" s="1426"/>
      <c r="K10" s="1426"/>
      <c r="L10" s="1426"/>
      <c r="M10" s="1426"/>
      <c r="N10" s="1426"/>
      <c r="O10" s="1426"/>
      <c r="P10" s="1426"/>
      <c r="Q10" s="1426"/>
      <c r="R10" s="1426"/>
      <c r="S10" s="1427"/>
      <c r="T10" s="206"/>
      <c r="U10" s="563"/>
      <c r="V10" s="575"/>
      <c r="W10" s="285"/>
      <c r="X10" s="284" t="b">
        <v>0</v>
      </c>
      <c r="Y10" s="1438" t="str">
        <f>IF($X10=FALSE,"",IF(COUNTIF($X$11:$X16,TRUE)=0,LOWER($D10),IF(COUNTIF($X$11:$X16,TRUE)=1,LOWER($D10)&amp;" and ",LOWER($D10)&amp;", ")))</f>
        <v/>
      </c>
      <c r="Z10" s="1438"/>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9" t="s">
        <v>297</v>
      </c>
      <c r="E11" s="1349"/>
      <c r="F11" s="1349"/>
      <c r="G11" s="1349"/>
      <c r="H11" s="1429"/>
      <c r="I11" s="1430"/>
      <c r="J11" s="1430"/>
      <c r="K11" s="1430"/>
      <c r="L11" s="1430"/>
      <c r="M11" s="1430"/>
      <c r="N11" s="1430"/>
      <c r="O11" s="1430"/>
      <c r="P11" s="1430"/>
      <c r="Q11" s="1430"/>
      <c r="R11" s="1430"/>
      <c r="S11" s="1431"/>
      <c r="T11" s="206"/>
      <c r="U11" s="563"/>
      <c r="V11" s="575"/>
      <c r="W11" s="285"/>
      <c r="X11" s="284" t="b">
        <v>0</v>
      </c>
      <c r="Y11" s="1438" t="str">
        <f>IF($X11=FALSE,"",IF(COUNTIF($X$12:$X16,TRUE)=0,LOWER($D11),IF(COUNTIF($X$12:$X16,TRUE)=1,LOWER($D11)&amp;" and ",LOWER($D11)&amp;", ")))</f>
        <v/>
      </c>
      <c r="Z11" s="1438"/>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39" t="s">
        <v>142</v>
      </c>
      <c r="E12" s="1339"/>
      <c r="F12" s="1339"/>
      <c r="G12" s="1339"/>
      <c r="H12" s="1434"/>
      <c r="I12" s="1434"/>
      <c r="J12" s="1434"/>
      <c r="K12" s="1434"/>
      <c r="L12" s="1434"/>
      <c r="M12" s="1434"/>
      <c r="N12" s="1434"/>
      <c r="O12" s="1434"/>
      <c r="P12" s="1434"/>
      <c r="Q12" s="1434"/>
      <c r="R12" s="1434"/>
      <c r="S12" s="1434"/>
      <c r="T12" s="206"/>
      <c r="U12" s="563"/>
      <c r="V12" s="575"/>
      <c r="W12" s="285"/>
      <c r="X12" s="284" t="b">
        <v>1</v>
      </c>
      <c r="Y12" s="1438" t="str">
        <f>IF($X12=FALSE,"",IF(COUNTIF($X$13:$X16,TRUE)=0,LOWER($D12),IF(COUNTIF($X$13:$X16,TRUE)=1,LOWER($D12)&amp;" and ",LOWER($D12)&amp;", ")))</f>
        <v>loss of federal funding</v>
      </c>
      <c r="Z12" s="1438"/>
      <c r="AA12" s="888">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39" t="s">
        <v>301</v>
      </c>
      <c r="E13" s="1339"/>
      <c r="F13" s="1339"/>
      <c r="G13" s="1339"/>
      <c r="H13" s="1425"/>
      <c r="I13" s="1426"/>
      <c r="J13" s="1426"/>
      <c r="K13" s="1426"/>
      <c r="L13" s="1426"/>
      <c r="M13" s="1426"/>
      <c r="N13" s="1426"/>
      <c r="O13" s="1426"/>
      <c r="P13" s="1426"/>
      <c r="Q13" s="1426"/>
      <c r="R13" s="1426"/>
      <c r="S13" s="1427"/>
      <c r="T13" s="206"/>
      <c r="U13" s="563"/>
      <c r="V13" s="575"/>
      <c r="W13" s="285"/>
      <c r="X13" s="284" t="b">
        <v>0</v>
      </c>
      <c r="Y13" s="1438" t="str">
        <f>IF($X13=FALSE,"",IF(COUNTIF($X$14:$X16,TRUE)=0,LOWER($D13),IF(COUNTIF($X$14:$X16,TRUE)=1,LOWER($D13)&amp;" and ",LOWER($D13)&amp;", ")))</f>
        <v/>
      </c>
      <c r="Z13" s="1438"/>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39" t="s">
        <v>431</v>
      </c>
      <c r="E14" s="1339"/>
      <c r="F14" s="1339"/>
      <c r="G14" s="1339"/>
      <c r="H14" s="1425"/>
      <c r="I14" s="1426"/>
      <c r="J14" s="1426"/>
      <c r="K14" s="1426"/>
      <c r="L14" s="1426"/>
      <c r="M14" s="1426"/>
      <c r="N14" s="1426"/>
      <c r="O14" s="1426"/>
      <c r="P14" s="1426"/>
      <c r="Q14" s="1426"/>
      <c r="R14" s="1426"/>
      <c r="S14" s="1427"/>
      <c r="T14" s="206"/>
      <c r="U14" s="563"/>
      <c r="V14" s="575"/>
      <c r="W14" s="285"/>
      <c r="X14" s="284" t="b">
        <v>0</v>
      </c>
      <c r="Y14" s="1438" t="str">
        <f>IF($X14=FALSE,"",IF(COUNTIF($X$15:$X16,TRUE)=0,LOWER($D14),IF(COUNTIF($X$15:$X16,TRUE)=1,LOWER($D14)&amp;" and ",LOWER($D14)&amp;", ")))</f>
        <v/>
      </c>
      <c r="Z14" s="1438"/>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32" t="s">
        <v>299</v>
      </c>
      <c r="E15" s="1432"/>
      <c r="F15" s="1432"/>
      <c r="G15" s="1433"/>
      <c r="H15" s="1425" t="s">
        <v>0</v>
      </c>
      <c r="I15" s="1426"/>
      <c r="J15" s="1426"/>
      <c r="K15" s="1426"/>
      <c r="L15" s="1426"/>
      <c r="M15" s="1426"/>
      <c r="N15" s="1426"/>
      <c r="O15" s="1426"/>
      <c r="P15" s="1426"/>
      <c r="Q15" s="1426"/>
      <c r="R15" s="1426"/>
      <c r="S15" s="1427"/>
      <c r="T15" s="206"/>
      <c r="U15" s="563"/>
      <c r="V15" s="575"/>
      <c r="W15" s="285"/>
      <c r="X15" s="284" t="b">
        <v>0</v>
      </c>
      <c r="Y15" s="1438" t="str">
        <f>IF($X15=FALSE,"",IF($X$16=FALSE,LOWER($D15),LOWER($D15)&amp;" and "))</f>
        <v/>
      </c>
      <c r="Z15" s="1438"/>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8" t="s">
        <v>299</v>
      </c>
      <c r="E16" s="1338"/>
      <c r="F16" s="1338"/>
      <c r="G16" s="1338"/>
      <c r="H16" s="1425"/>
      <c r="I16" s="1426"/>
      <c r="J16" s="1426"/>
      <c r="K16" s="1426"/>
      <c r="L16" s="1426"/>
      <c r="M16" s="1426"/>
      <c r="N16" s="1426"/>
      <c r="O16" s="1426"/>
      <c r="P16" s="1426"/>
      <c r="Q16" s="1426"/>
      <c r="R16" s="1426"/>
      <c r="S16" s="1427"/>
      <c r="T16" s="206"/>
      <c r="U16" s="563"/>
      <c r="V16" s="575"/>
      <c r="W16" s="285"/>
      <c r="X16" s="284" t="b">
        <v>0</v>
      </c>
      <c r="Y16" s="1438" t="str">
        <f>IF($X16=FALSE,"",LOWER($D16))</f>
        <v/>
      </c>
      <c r="Z16" s="1438"/>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39" t="str">
        <f>IF(COUNTIF(X10:X16,TRUE),Y10&amp;Y11&amp;Y12&amp;Y13&amp;Y14&amp;Y15&amp;Y16&amp;".","")</f>
        <v>loss of federal funding.</v>
      </c>
      <c r="Y17" s="1440"/>
      <c r="Z17" s="1441"/>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28" t="s">
        <v>305</v>
      </c>
      <c r="E18" s="1428"/>
      <c r="F18" s="1428"/>
      <c r="G18" s="348"/>
      <c r="H18" s="1455" t="s">
        <v>302</v>
      </c>
      <c r="I18" s="1455"/>
      <c r="J18" s="1455"/>
      <c r="K18" s="1455"/>
      <c r="L18" s="1455"/>
      <c r="M18" s="1455"/>
      <c r="N18" s="1455"/>
      <c r="O18" s="1455"/>
      <c r="P18" s="1455"/>
      <c r="Q18" s="1455"/>
      <c r="R18" s="1455"/>
      <c r="S18" s="1455"/>
      <c r="T18" s="349"/>
      <c r="U18" s="563"/>
      <c r="V18" s="584"/>
      <c r="W18" s="286"/>
      <c r="X18" s="1458" t="str">
        <f>IF(COUNTIF(X19:X21,FALSE)=3,"Does not apply","Required")</f>
        <v>Does not apply</v>
      </c>
      <c r="Y18" s="1458"/>
      <c r="Z18" s="1458"/>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54" t="str">
        <f>X18</f>
        <v>Does not apply</v>
      </c>
      <c r="I19" s="1454"/>
      <c r="J19" s="1454"/>
      <c r="K19" s="1454"/>
      <c r="L19" s="1454"/>
      <c r="M19" s="1454"/>
      <c r="N19" s="1454"/>
      <c r="O19" s="1454"/>
      <c r="P19" s="1454"/>
      <c r="Q19" s="1454"/>
      <c r="R19" s="1454"/>
      <c r="S19" s="1454"/>
      <c r="T19" s="349"/>
      <c r="U19" s="563"/>
      <c r="W19" s="286"/>
      <c r="X19" s="284" t="b">
        <v>0</v>
      </c>
      <c r="Y19" s="1438" t="str">
        <f>IF($X19=FALSE,"",IF(COUNTIF($X$20:$X21,TRUE)=0,LOWER($D19),IF(COUNTIF($X$20:$X21,TRUE)=1,LOWER($D19)&amp;" and ",LOWER($D19)&amp;", ")))</f>
        <v/>
      </c>
      <c r="Z19" s="1438"/>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60" t="s">
        <v>303</v>
      </c>
      <c r="I20" s="1460"/>
      <c r="J20" s="1460"/>
      <c r="K20" s="1460"/>
      <c r="L20" s="1460"/>
      <c r="M20" s="1460"/>
      <c r="N20" s="1460"/>
      <c r="O20" s="1460"/>
      <c r="P20" s="1460"/>
      <c r="Q20" s="1460"/>
      <c r="R20" s="1460"/>
      <c r="S20" s="1460"/>
      <c r="T20" s="349"/>
      <c r="U20" s="563"/>
      <c r="V20" s="584"/>
      <c r="W20" s="286"/>
      <c r="X20" s="284" t="b">
        <v>0</v>
      </c>
      <c r="Y20" s="1438" t="str">
        <f>IF($X20=FALSE,"",IF($X$21=FALSE,LOWER($D20),LOWER($D20)&amp;" and "))</f>
        <v/>
      </c>
      <c r="Z20" s="1459"/>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60" t="s">
        <v>304</v>
      </c>
      <c r="I21" s="1460"/>
      <c r="J21" s="1460"/>
      <c r="K21" s="1460"/>
      <c r="L21" s="1460"/>
      <c r="M21" s="1460"/>
      <c r="N21" s="1460"/>
      <c r="O21" s="1460"/>
      <c r="P21" s="1460"/>
      <c r="Q21" s="1460"/>
      <c r="R21" s="1460"/>
      <c r="S21" s="1460"/>
      <c r="T21" s="349"/>
      <c r="U21" s="563"/>
      <c r="V21" s="584"/>
      <c r="W21" s="286"/>
      <c r="X21" s="284" t="b">
        <v>0</v>
      </c>
      <c r="Y21" s="1438" t="str">
        <f>IF($X21=FALSE,"",LOWER($D21))</f>
        <v/>
      </c>
      <c r="Z21" s="1459"/>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4" t="s">
        <v>516</v>
      </c>
      <c r="H23" s="1465"/>
      <c r="I23" s="1465"/>
      <c r="J23" s="1465"/>
      <c r="K23" s="1465"/>
      <c r="L23" s="1465"/>
      <c r="M23" s="1465"/>
      <c r="N23" s="1465"/>
      <c r="O23" s="1465"/>
      <c r="P23" s="1465"/>
      <c r="Q23" s="1465"/>
      <c r="R23" s="1465"/>
      <c r="S23" s="1466"/>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6" t="s">
        <v>113</v>
      </c>
      <c r="E24" s="1456"/>
      <c r="F24" s="760"/>
      <c r="G24" s="761" t="s">
        <v>114</v>
      </c>
      <c r="H24" s="762"/>
      <c r="I24" s="762"/>
      <c r="J24" s="1435" t="s">
        <v>7</v>
      </c>
      <c r="K24" s="1435"/>
      <c r="L24" s="1435"/>
      <c r="M24" s="1435"/>
      <c r="N24" s="1435"/>
      <c r="O24" s="1435"/>
      <c r="P24" s="1435"/>
      <c r="Q24" s="1435"/>
      <c r="R24" s="1435"/>
      <c r="S24" s="1435"/>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51" t="s">
        <v>334</v>
      </c>
      <c r="E25" s="1451"/>
      <c r="F25" s="1451"/>
      <c r="G25" s="1436" t="s">
        <v>205</v>
      </c>
      <c r="H25" s="1436"/>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6</v>
      </c>
      <c r="Y25" s="884" t="str">
        <f>G25</f>
        <v>unknown at this time</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51" t="s">
        <v>346</v>
      </c>
      <c r="E26" s="1451"/>
      <c r="F26" s="1451"/>
      <c r="G26" s="1436" t="s">
        <v>205</v>
      </c>
      <c r="H26" s="1436"/>
      <c r="I26" s="705"/>
      <c r="J26" s="726">
        <v>1</v>
      </c>
      <c r="K26" s="727">
        <v>2</v>
      </c>
      <c r="L26" s="728">
        <v>3</v>
      </c>
      <c r="M26" s="729">
        <v>4</v>
      </c>
      <c r="N26" s="730">
        <v>5</v>
      </c>
      <c r="O26" s="731">
        <v>6</v>
      </c>
      <c r="P26" s="732">
        <v>7</v>
      </c>
      <c r="Q26" s="733">
        <v>8</v>
      </c>
      <c r="R26" s="734">
        <v>9</v>
      </c>
      <c r="S26" s="735">
        <v>10</v>
      </c>
      <c r="T26" s="304"/>
      <c r="U26" s="563"/>
      <c r="V26" s="580" t="s">
        <v>821</v>
      </c>
      <c r="W26" s="161"/>
      <c r="X26" s="52">
        <f t="shared" si="1"/>
        <v>6</v>
      </c>
      <c r="Y26" s="884" t="str">
        <f t="shared" ref="Y26:Y34" si="2">G26</f>
        <v>unknown at this time</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51" t="s">
        <v>335</v>
      </c>
      <c r="E27" s="1451"/>
      <c r="F27" s="1451"/>
      <c r="G27" s="1436" t="s">
        <v>205</v>
      </c>
      <c r="H27" s="1436"/>
      <c r="I27" s="705"/>
      <c r="J27" s="726">
        <v>1</v>
      </c>
      <c r="K27" s="727">
        <v>2</v>
      </c>
      <c r="L27" s="728">
        <v>3</v>
      </c>
      <c r="M27" s="729">
        <v>4</v>
      </c>
      <c r="N27" s="730">
        <v>5</v>
      </c>
      <c r="O27" s="731">
        <v>6</v>
      </c>
      <c r="P27" s="732">
        <v>7</v>
      </c>
      <c r="Q27" s="733">
        <v>8</v>
      </c>
      <c r="R27" s="734">
        <v>9</v>
      </c>
      <c r="S27" s="735">
        <v>10</v>
      </c>
      <c r="T27" s="304"/>
      <c r="U27" s="563"/>
      <c r="V27" s="580" t="s">
        <v>821</v>
      </c>
      <c r="W27" s="161"/>
      <c r="X27" s="52">
        <f t="shared" si="1"/>
        <v>6</v>
      </c>
      <c r="Y27" s="884" t="str">
        <f t="shared" si="2"/>
        <v>unknown at this time</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51" t="s">
        <v>341</v>
      </c>
      <c r="E28" s="1451"/>
      <c r="F28" s="1451"/>
      <c r="G28" s="1436" t="s">
        <v>205</v>
      </c>
      <c r="H28" s="1436"/>
      <c r="I28" s="705"/>
      <c r="J28" s="726">
        <v>1</v>
      </c>
      <c r="K28" s="727">
        <v>2</v>
      </c>
      <c r="L28" s="728">
        <v>3</v>
      </c>
      <c r="M28" s="729">
        <v>4</v>
      </c>
      <c r="N28" s="730">
        <v>5</v>
      </c>
      <c r="O28" s="731">
        <v>6</v>
      </c>
      <c r="P28" s="732">
        <v>7</v>
      </c>
      <c r="Q28" s="733">
        <v>8</v>
      </c>
      <c r="R28" s="734">
        <v>9</v>
      </c>
      <c r="S28" s="735">
        <v>10</v>
      </c>
      <c r="T28" s="304"/>
      <c r="U28" s="563"/>
      <c r="V28" s="580" t="s">
        <v>821</v>
      </c>
      <c r="W28" s="161"/>
      <c r="X28" s="52">
        <f t="shared" si="1"/>
        <v>6</v>
      </c>
      <c r="Y28" s="884" t="str">
        <f t="shared" si="2"/>
        <v>unknown at this time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51" t="s">
        <v>347</v>
      </c>
      <c r="E29" s="1451"/>
      <c r="F29" s="1451"/>
      <c r="G29" s="1436" t="s">
        <v>6</v>
      </c>
      <c r="H29" s="1436"/>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51" t="s">
        <v>348</v>
      </c>
      <c r="E30" s="1451"/>
      <c r="F30" s="1451"/>
      <c r="G30" s="1436" t="s">
        <v>6</v>
      </c>
      <c r="H30" s="1436"/>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51" t="s">
        <v>1</v>
      </c>
      <c r="E31" s="1451"/>
      <c r="F31" s="1451"/>
      <c r="G31" s="1436" t="s">
        <v>6</v>
      </c>
      <c r="H31" s="1436"/>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51" t="s">
        <v>447</v>
      </c>
      <c r="E32" s="1451"/>
      <c r="F32" s="1451"/>
      <c r="G32" s="1436" t="s">
        <v>6</v>
      </c>
      <c r="H32" s="1436"/>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7" t="s">
        <v>213</v>
      </c>
      <c r="E33" s="1447"/>
      <c r="F33" s="1447"/>
      <c r="G33" s="1436" t="s">
        <v>6</v>
      </c>
      <c r="H33" s="1436"/>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7" t="s">
        <v>213</v>
      </c>
      <c r="E34" s="1447"/>
      <c r="F34" s="1447"/>
      <c r="G34" s="1436" t="s">
        <v>6</v>
      </c>
      <c r="H34" s="1436"/>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7" t="s">
        <v>116</v>
      </c>
      <c r="H37" s="1467"/>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6</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8" t="s">
        <v>443</v>
      </c>
      <c r="E38" s="1468"/>
      <c r="F38" s="1468"/>
      <c r="G38" s="1468"/>
      <c r="H38" s="1468"/>
      <c r="I38" s="1468"/>
      <c r="J38" s="1468"/>
      <c r="K38" s="1468"/>
      <c r="L38" s="1468"/>
      <c r="M38" s="1468"/>
      <c r="N38" s="1468"/>
      <c r="O38" s="1468"/>
      <c r="P38" s="1468"/>
      <c r="Q38" s="1468"/>
      <c r="R38" s="1468"/>
      <c r="S38" s="1468"/>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7"/>
      <c r="E39" s="1258"/>
      <c r="F39" s="1258"/>
      <c r="G39" s="1258"/>
      <c r="H39" s="1258"/>
      <c r="I39" s="1258"/>
      <c r="J39" s="1258"/>
      <c r="K39" s="1258"/>
      <c r="L39" s="1258"/>
      <c r="M39" s="1258"/>
      <c r="N39" s="1258"/>
      <c r="O39" s="1258"/>
      <c r="P39" s="1258"/>
      <c r="Q39" s="1258"/>
      <c r="R39" s="1258"/>
      <c r="S39" s="1258"/>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7" t="s">
        <v>213</v>
      </c>
      <c r="K44" s="1457"/>
      <c r="L44" s="1457"/>
      <c r="M44" s="1457"/>
      <c r="N44" s="1457"/>
      <c r="O44" s="1457"/>
      <c r="P44" s="1457"/>
      <c r="Q44" s="1457"/>
      <c r="R44" s="1457"/>
      <c r="S44" s="1457"/>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63" t="str">
        <f>C.7Invoicing</f>
        <v/>
      </c>
      <c r="E45" s="1463"/>
      <c r="F45" s="1463"/>
      <c r="G45" s="1463"/>
      <c r="H45" s="1463"/>
      <c r="I45" s="1463"/>
      <c r="J45" s="1463"/>
      <c r="K45" s="1463"/>
      <c r="L45" s="1463"/>
      <c r="M45" s="1463"/>
      <c r="N45" s="1463"/>
      <c r="O45" s="1463"/>
      <c r="P45" s="1463"/>
      <c r="Q45" s="1463"/>
      <c r="R45" s="1463"/>
      <c r="S45" s="1463"/>
      <c r="T45" s="304"/>
      <c r="U45" s="563"/>
      <c r="V45" s="572"/>
      <c r="W45" s="161"/>
      <c r="X45" s="1461" t="str">
        <f>IF(COUNTIF(X41:Z44,TRUE)&gt;0,"Since an invoicing system is involved with this rulemaking, please consult with resource system owner early in the rulemaking process.","")</f>
        <v/>
      </c>
      <c r="Y45" s="1462"/>
      <c r="Z45" s="1462"/>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6" t="s">
        <v>243</v>
      </c>
      <c r="E46" s="1406"/>
      <c r="F46" s="1406"/>
      <c r="G46" s="1406"/>
      <c r="H46" s="1406"/>
      <c r="I46" s="1406"/>
      <c r="J46" s="1406"/>
      <c r="K46" s="1406"/>
      <c r="L46" s="1406"/>
      <c r="M46" s="1406"/>
      <c r="N46" s="1406"/>
      <c r="O46" s="1406"/>
      <c r="P46" s="1406"/>
      <c r="Q46" s="1406"/>
      <c r="R46" s="1406"/>
      <c r="S46" s="1406"/>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7" t="s">
        <v>0</v>
      </c>
      <c r="E47" s="1258"/>
      <c r="F47" s="1258"/>
      <c r="G47" s="1258"/>
      <c r="H47" s="1258"/>
      <c r="I47" s="1258"/>
      <c r="J47" s="1258"/>
      <c r="K47" s="1258"/>
      <c r="L47" s="1258"/>
      <c r="M47" s="1258"/>
      <c r="N47" s="1258"/>
      <c r="O47" s="1258"/>
      <c r="P47" s="1258"/>
      <c r="Q47" s="1258"/>
      <c r="R47" s="1258"/>
      <c r="S47" s="1258"/>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59" t="s">
        <v>0</v>
      </c>
      <c r="I49" s="1383"/>
      <c r="J49" s="1341" t="s">
        <v>37</v>
      </c>
      <c r="K49" s="1342"/>
      <c r="L49" s="1342"/>
      <c r="M49" s="1342"/>
      <c r="N49" s="1342"/>
      <c r="O49" s="1342"/>
      <c r="P49" s="1342"/>
      <c r="Q49" s="1342"/>
      <c r="R49" s="1342"/>
      <c r="S49" s="1343"/>
      <c r="T49" s="346"/>
      <c r="U49" s="563"/>
      <c r="V49" s="573" t="s">
        <v>838</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2" t="s">
        <v>247</v>
      </c>
      <c r="I50" s="1453"/>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8" t="s">
        <v>0</v>
      </c>
      <c r="E53" s="1449"/>
      <c r="F53" s="1449"/>
      <c r="G53" s="1449"/>
      <c r="H53" s="1449"/>
      <c r="I53" s="1449"/>
      <c r="J53" s="1449"/>
      <c r="K53" s="1449"/>
      <c r="L53" s="1449"/>
      <c r="M53" s="1449"/>
      <c r="N53" s="1449"/>
      <c r="O53" s="1449"/>
      <c r="P53" s="1449"/>
      <c r="Q53" s="1449"/>
      <c r="R53" s="1449"/>
      <c r="S53" s="1450"/>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4" t="s">
        <v>0</v>
      </c>
      <c r="E55" s="1445"/>
      <c r="F55" s="1445"/>
      <c r="G55" s="1445"/>
      <c r="H55" s="1445"/>
      <c r="I55" s="1445"/>
      <c r="J55" s="1445"/>
      <c r="K55" s="1445"/>
      <c r="L55" s="1445"/>
      <c r="M55" s="1445"/>
      <c r="N55" s="1445"/>
      <c r="O55" s="1445"/>
      <c r="P55" s="1445"/>
      <c r="Q55" s="1445"/>
      <c r="R55" s="1445"/>
      <c r="S55" s="1446"/>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72">
        <f ca="1">TODAY()</f>
        <v>41780</v>
      </c>
      <c r="H56" s="1272"/>
      <c r="I56" s="1272"/>
      <c r="J56" s="1272"/>
      <c r="K56" s="1272"/>
      <c r="L56" s="1272"/>
      <c r="M56" s="1272"/>
      <c r="N56" s="1272"/>
      <c r="O56" s="1272"/>
      <c r="P56" s="1272"/>
      <c r="Q56" s="1272"/>
      <c r="R56" s="1272"/>
      <c r="S56" s="1272"/>
      <c r="T56" s="1273"/>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268" priority="96" stopIfTrue="1">
      <formula>IF(AND(#REF!="H",$X47&lt;3),TRUE,)</formula>
    </cfRule>
  </conditionalFormatting>
  <conditionalFormatting sqref="J25:J31 J33:J40">
    <cfRule type="expression" dxfId="267" priority="75" stopIfTrue="1">
      <formula>IF($X25&lt;1,TRUE,)</formula>
    </cfRule>
  </conditionalFormatting>
  <conditionalFormatting sqref="S8">
    <cfRule type="expression" dxfId="266" priority="51" stopIfTrue="1">
      <formula>IF($X$7&lt;10,TRUE,)</formula>
    </cfRule>
  </conditionalFormatting>
  <conditionalFormatting sqref="J8">
    <cfRule type="expression" dxfId="265" priority="52" stopIfTrue="1">
      <formula>IF($X$7&lt;1,TRUE,)</formula>
    </cfRule>
  </conditionalFormatting>
  <conditionalFormatting sqref="K8">
    <cfRule type="expression" dxfId="264" priority="53" stopIfTrue="1">
      <formula>IF($X$7&lt;2,TRUE,)</formula>
    </cfRule>
  </conditionalFormatting>
  <conditionalFormatting sqref="M8">
    <cfRule type="expression" dxfId="263" priority="55" stopIfTrue="1">
      <formula>IF($X$7&lt;4,TRUE,)</formula>
    </cfRule>
  </conditionalFormatting>
  <conditionalFormatting sqref="N8">
    <cfRule type="expression" dxfId="262" priority="56" stopIfTrue="1">
      <formula>IF($X$7&lt;5,TRUE,)</formula>
    </cfRule>
  </conditionalFormatting>
  <conditionalFormatting sqref="O8">
    <cfRule type="expression" dxfId="261" priority="57" stopIfTrue="1">
      <formula>IF($X$7&lt;6,TRUE,)</formula>
    </cfRule>
  </conditionalFormatting>
  <conditionalFormatting sqref="P8">
    <cfRule type="expression" dxfId="260" priority="58" stopIfTrue="1">
      <formula>IF($X$7&lt;7,TRUE,)</formula>
    </cfRule>
  </conditionalFormatting>
  <conditionalFormatting sqref="Q8">
    <cfRule type="expression" dxfId="259" priority="59" stopIfTrue="1">
      <formula>IF($X$7&lt;8,TRUE,)</formula>
    </cfRule>
  </conditionalFormatting>
  <conditionalFormatting sqref="R8">
    <cfRule type="expression" dxfId="258" priority="60" stopIfTrue="1">
      <formula>IF($X$7&lt;9,TRUE,)</formula>
    </cfRule>
  </conditionalFormatting>
  <conditionalFormatting sqref="L8">
    <cfRule type="expression" dxfId="257" priority="54" stopIfTrue="1">
      <formula>IF($X$7&lt;3,TRUE,)</formula>
    </cfRule>
  </conditionalFormatting>
  <conditionalFormatting sqref="S25:S31 S33:S43">
    <cfRule type="expression" dxfId="256" priority="74" stopIfTrue="1">
      <formula>IF($X25&lt;10,TRUE,)</formula>
    </cfRule>
  </conditionalFormatting>
  <conditionalFormatting sqref="K25:K31 K33:K43">
    <cfRule type="expression" dxfId="255" priority="76" stopIfTrue="1">
      <formula>IF($X25&lt;2,TRUE,)</formula>
    </cfRule>
  </conditionalFormatting>
  <conditionalFormatting sqref="L25:L31 L33:L43">
    <cfRule type="expression" dxfId="254" priority="77" stopIfTrue="1">
      <formula>IF($X25&lt;3,TRUE,)</formula>
    </cfRule>
  </conditionalFormatting>
  <conditionalFormatting sqref="M25:M31 M33:M43">
    <cfRule type="expression" dxfId="253" priority="78" stopIfTrue="1">
      <formula>IF($X25&lt;4,TRUE,)</formula>
    </cfRule>
  </conditionalFormatting>
  <conditionalFormatting sqref="N25:N31 N33:N43">
    <cfRule type="expression" dxfId="252" priority="79" stopIfTrue="1">
      <formula>IF($X25&lt;5,TRUE,)</formula>
    </cfRule>
  </conditionalFormatting>
  <conditionalFormatting sqref="O25:O31 O33:O43">
    <cfRule type="expression" dxfId="251" priority="80" stopIfTrue="1">
      <formula>IF($X25&lt;6,TRUE,)</formula>
    </cfRule>
  </conditionalFormatting>
  <conditionalFormatting sqref="P25:P31 P33:P43">
    <cfRule type="expression" dxfId="250" priority="81" stopIfTrue="1">
      <formula>IF($X25&lt;7,TRUE,)</formula>
    </cfRule>
  </conditionalFormatting>
  <conditionalFormatting sqref="Q25:Q31 Q33:Q43">
    <cfRule type="expression" dxfId="249" priority="82" stopIfTrue="1">
      <formula>IF($X25&lt;8,TRUE)</formula>
    </cfRule>
  </conditionalFormatting>
  <conditionalFormatting sqref="R25:R31 R33:R43">
    <cfRule type="expression" dxfId="248" priority="83" stopIfTrue="1">
      <formula>IF($X25&lt;9,TRUE,)</formula>
    </cfRule>
  </conditionalFormatting>
  <conditionalFormatting sqref="S50">
    <cfRule type="expression" dxfId="247" priority="13" stopIfTrue="1">
      <formula>IF($X$49&lt;10,TRUE,)</formula>
    </cfRule>
  </conditionalFormatting>
  <conditionalFormatting sqref="J50">
    <cfRule type="expression" dxfId="246" priority="14" stopIfTrue="1">
      <formula>IF($X$49&lt;1,TRUE,)</formula>
    </cfRule>
  </conditionalFormatting>
  <conditionalFormatting sqref="K50">
    <cfRule type="expression" dxfId="245" priority="15" stopIfTrue="1">
      <formula>IF($X$49&lt;2,TRUE,)</formula>
    </cfRule>
  </conditionalFormatting>
  <conditionalFormatting sqref="N50">
    <cfRule type="expression" dxfId="244" priority="19" stopIfTrue="1">
      <formula>IF($X$49&lt;5,TRUE,)</formula>
    </cfRule>
  </conditionalFormatting>
  <conditionalFormatting sqref="O50">
    <cfRule type="expression" dxfId="243" priority="20" stopIfTrue="1">
      <formula>IF($X$49&lt;6,TRUE,)</formula>
    </cfRule>
  </conditionalFormatting>
  <conditionalFormatting sqref="P50">
    <cfRule type="expression" dxfId="242" priority="21" stopIfTrue="1">
      <formula>IF($X$49&lt;7,TRUE,)</formula>
    </cfRule>
  </conditionalFormatting>
  <conditionalFormatting sqref="Q50">
    <cfRule type="expression" dxfId="241" priority="22" stopIfTrue="1">
      <formula>IF($X$49&lt;8,TRUE,)</formula>
    </cfRule>
  </conditionalFormatting>
  <conditionalFormatting sqref="R50">
    <cfRule type="expression" dxfId="240" priority="23" stopIfTrue="1">
      <formula>IF($X$49&lt;9,TRUE,)</formula>
    </cfRule>
  </conditionalFormatting>
  <conditionalFormatting sqref="L50">
    <cfRule type="expression" dxfId="239" priority="16" stopIfTrue="1">
      <formula>IF($X$49&lt;3,TRUE,)</formula>
    </cfRule>
  </conditionalFormatting>
  <conditionalFormatting sqref="M50">
    <cfRule type="expression" dxfId="238" priority="17" stopIfTrue="1">
      <formula>IF($X$49&lt;4,TRUE,)</formula>
    </cfRule>
  </conditionalFormatting>
  <conditionalFormatting sqref="J32">
    <cfRule type="expression" dxfId="237" priority="3" stopIfTrue="1">
      <formula>IF($X32&lt;1,TRUE,)</formula>
    </cfRule>
  </conditionalFormatting>
  <conditionalFormatting sqref="S32">
    <cfRule type="expression" dxfId="236" priority="2" stopIfTrue="1">
      <formula>IF($X32&lt;10,TRUE,)</formula>
    </cfRule>
  </conditionalFormatting>
  <conditionalFormatting sqref="K32">
    <cfRule type="expression" dxfId="235" priority="4" stopIfTrue="1">
      <formula>IF($X32&lt;2,TRUE,)</formula>
    </cfRule>
  </conditionalFormatting>
  <conditionalFormatting sqref="L32">
    <cfRule type="expression" dxfId="234" priority="5" stopIfTrue="1">
      <formula>IF($X32&lt;3,TRUE,)</formula>
    </cfRule>
  </conditionalFormatting>
  <conditionalFormatting sqref="M32">
    <cfRule type="expression" dxfId="233" priority="6" stopIfTrue="1">
      <formula>IF($X32&lt;4,TRUE,)</formula>
    </cfRule>
  </conditionalFormatting>
  <conditionalFormatting sqref="N32">
    <cfRule type="expression" dxfId="232" priority="7" stopIfTrue="1">
      <formula>IF($X32&lt;5,TRUE,)</formula>
    </cfRule>
  </conditionalFormatting>
  <conditionalFormatting sqref="O32">
    <cfRule type="expression" dxfId="231" priority="8" stopIfTrue="1">
      <formula>IF($X32&lt;6,TRUE,)</formula>
    </cfRule>
  </conditionalFormatting>
  <conditionalFormatting sqref="P32">
    <cfRule type="expression" dxfId="230" priority="9" stopIfTrue="1">
      <formula>IF($X32&lt;7,TRUE,)</formula>
    </cfRule>
  </conditionalFormatting>
  <conditionalFormatting sqref="Q32">
    <cfRule type="expression" dxfId="229" priority="10" stopIfTrue="1">
      <formula>IF($X32&lt;8,TRUE)</formula>
    </cfRule>
  </conditionalFormatting>
  <conditionalFormatting sqref="R32">
    <cfRule type="expression" dxfId="228" priority="11" stopIfTrue="1">
      <formula>IF($X32&lt;9,TRUE,)</formula>
    </cfRule>
  </conditionalFormatting>
  <conditionalFormatting sqref="L39">
    <cfRule type="expression" dxfId="227"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16" zoomScale="80" zoomScaleNormal="80" workbookViewId="0">
      <selection activeCell="I27" sqref="I27:R27"/>
    </sheetView>
  </sheetViews>
  <sheetFormatPr defaultColWidth="9"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6" t="str">
        <f>C.2Name</f>
        <v>Oregon State Implementation Plan revision for PM2.5 National Ambient Air Quality Standards</v>
      </c>
      <c r="G2" s="1496"/>
      <c r="H2" s="1496"/>
      <c r="I2" s="1496"/>
      <c r="J2" s="1496"/>
      <c r="K2" s="1496"/>
      <c r="L2" s="1496"/>
      <c r="M2" s="1496"/>
      <c r="N2" s="1496"/>
      <c r="O2" s="1496"/>
      <c r="P2" s="1496"/>
      <c r="Q2" s="1496"/>
      <c r="R2" s="1496"/>
      <c r="S2" s="1496"/>
      <c r="T2" s="1105"/>
      <c r="U2" s="563"/>
      <c r="V2" s="272" t="s">
        <v>0</v>
      </c>
      <c r="W2" s="159"/>
      <c r="X2" s="68"/>
      <c r="Y2" s="68"/>
      <c r="Z2" s="147"/>
      <c r="AA2" s="147"/>
    </row>
    <row r="3" spans="1:59" s="66" customFormat="1" ht="12.75" customHeight="1" thickTop="1">
      <c r="A3" s="601"/>
      <c r="B3" s="563"/>
      <c r="C3" s="1485"/>
      <c r="D3" s="1486"/>
      <c r="E3" s="1486"/>
      <c r="F3" s="1486"/>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8" t="s">
        <v>274</v>
      </c>
      <c r="H4" s="1498"/>
      <c r="I4" s="1497" t="s">
        <v>274</v>
      </c>
      <c r="J4" s="1497"/>
      <c r="K4" s="1497"/>
      <c r="L4" s="1497"/>
      <c r="M4" s="1497"/>
      <c r="N4" s="1497"/>
      <c r="O4" s="1497"/>
      <c r="P4" s="1497"/>
      <c r="Q4" s="1497"/>
      <c r="R4" s="1497"/>
      <c r="S4" s="1497"/>
      <c r="T4" s="201"/>
      <c r="U4" s="563"/>
      <c r="V4" s="272"/>
      <c r="W4" s="161"/>
      <c r="X4" s="271"/>
      <c r="Y4" s="289"/>
      <c r="Z4" s="147"/>
      <c r="AA4" s="147"/>
    </row>
    <row r="5" spans="1:59" s="66" customFormat="1" ht="18" customHeight="1">
      <c r="A5" s="601"/>
      <c r="B5" s="563"/>
      <c r="C5" s="274"/>
      <c r="D5" s="1491" t="s">
        <v>1064</v>
      </c>
      <c r="E5" s="1491"/>
      <c r="F5" s="1491"/>
      <c r="G5" s="1490"/>
      <c r="H5" s="1490"/>
      <c r="I5" s="1478"/>
      <c r="J5" s="1479"/>
      <c r="K5" s="1479"/>
      <c r="L5" s="1479"/>
      <c r="M5" s="1479"/>
      <c r="N5" s="1479"/>
      <c r="O5" s="1479"/>
      <c r="P5" s="1479"/>
      <c r="Q5" s="1479"/>
      <c r="R5" s="1479"/>
      <c r="S5" s="1480"/>
      <c r="T5" s="201"/>
      <c r="U5" s="563"/>
      <c r="V5" s="272"/>
      <c r="W5" s="161"/>
      <c r="X5" s="271"/>
      <c r="Y5" s="289"/>
      <c r="Z5" s="147"/>
      <c r="AA5" s="147"/>
    </row>
    <row r="6" spans="1:59" s="843" customFormat="1" ht="18" customHeight="1">
      <c r="A6" s="852"/>
      <c r="B6" s="851"/>
      <c r="C6" s="849"/>
      <c r="D6" s="1491" t="s">
        <v>0</v>
      </c>
      <c r="E6" s="1491"/>
      <c r="F6" s="1491"/>
      <c r="G6" s="1475" t="s">
        <v>0</v>
      </c>
      <c r="H6" s="1477"/>
      <c r="I6" s="1492"/>
      <c r="J6" s="1492"/>
      <c r="K6" s="1492"/>
      <c r="L6" s="1492"/>
      <c r="M6" s="1492"/>
      <c r="N6" s="1492"/>
      <c r="O6" s="1492"/>
      <c r="P6" s="1492"/>
      <c r="Q6" s="1492"/>
      <c r="R6" s="1492"/>
      <c r="S6" s="1493"/>
      <c r="T6" s="848"/>
      <c r="U6" s="851"/>
      <c r="V6" s="847"/>
      <c r="W6" s="846"/>
      <c r="X6" s="845"/>
      <c r="Y6" s="845"/>
      <c r="Z6" s="844"/>
      <c r="AA6" s="844"/>
    </row>
    <row r="7" spans="1:59" s="66" customFormat="1" ht="25.5" customHeight="1">
      <c r="A7" s="601"/>
      <c r="B7" s="563"/>
      <c r="C7" s="274"/>
      <c r="D7" s="343" t="s">
        <v>273</v>
      </c>
      <c r="E7" s="311"/>
      <c r="F7" s="311"/>
      <c r="G7" s="311"/>
      <c r="H7" s="311"/>
      <c r="I7" s="1495"/>
      <c r="J7" s="1495"/>
      <c r="K7" s="1495"/>
      <c r="L7" s="1495"/>
      <c r="M7" s="1495"/>
      <c r="N7" s="1495"/>
      <c r="O7" s="1495"/>
      <c r="P7" s="1495"/>
      <c r="Q7" s="1495"/>
      <c r="R7" s="1495"/>
      <c r="S7" s="1495"/>
      <c r="T7" s="201"/>
      <c r="U7" s="563"/>
      <c r="V7" s="272"/>
      <c r="W7" s="161"/>
      <c r="X7" s="271"/>
      <c r="Y7" s="289"/>
      <c r="Z7" s="147"/>
      <c r="AA7" s="147"/>
    </row>
    <row r="8" spans="1:59" s="843" customFormat="1" ht="18" customHeight="1">
      <c r="A8" s="852"/>
      <c r="B8" s="851"/>
      <c r="C8" s="1021"/>
      <c r="D8" s="1491" t="s">
        <v>1070</v>
      </c>
      <c r="E8" s="1491"/>
      <c r="F8" s="1491"/>
      <c r="G8" s="1490"/>
      <c r="H8" s="1490"/>
      <c r="I8" s="1478"/>
      <c r="J8" s="1479"/>
      <c r="K8" s="1479"/>
      <c r="L8" s="1479"/>
      <c r="M8" s="1479"/>
      <c r="N8" s="1479"/>
      <c r="O8" s="1479"/>
      <c r="P8" s="1479"/>
      <c r="Q8" s="1479"/>
      <c r="R8" s="1479"/>
      <c r="S8" s="1480"/>
      <c r="T8" s="848"/>
      <c r="U8" s="851"/>
      <c r="V8" s="1017"/>
      <c r="W8" s="846"/>
      <c r="X8" s="845"/>
      <c r="Y8" s="845"/>
      <c r="Z8" s="844"/>
      <c r="AA8" s="844"/>
    </row>
    <row r="9" spans="1:59" s="843" customFormat="1" ht="18" customHeight="1">
      <c r="A9" s="852"/>
      <c r="B9" s="851"/>
      <c r="C9" s="1021"/>
      <c r="D9" s="1491" t="s">
        <v>0</v>
      </c>
      <c r="E9" s="1491"/>
      <c r="F9" s="1491"/>
      <c r="G9" s="1475" t="s">
        <v>0</v>
      </c>
      <c r="H9" s="1477"/>
      <c r="I9" s="1492"/>
      <c r="J9" s="1492"/>
      <c r="K9" s="1492"/>
      <c r="L9" s="1492"/>
      <c r="M9" s="1492"/>
      <c r="N9" s="1492"/>
      <c r="O9" s="1492"/>
      <c r="P9" s="1492"/>
      <c r="Q9" s="1492"/>
      <c r="R9" s="1492"/>
      <c r="S9" s="1493"/>
      <c r="T9" s="848"/>
      <c r="U9" s="851"/>
      <c r="V9" s="1017"/>
      <c r="W9" s="846"/>
      <c r="X9" s="845"/>
      <c r="Y9" s="845"/>
      <c r="Z9" s="844"/>
      <c r="AA9" s="844"/>
    </row>
    <row r="10" spans="1:59" s="66" customFormat="1" ht="25.5" customHeight="1">
      <c r="A10" s="601"/>
      <c r="B10" s="563"/>
      <c r="C10" s="274"/>
      <c r="D10" s="1022" t="s">
        <v>192</v>
      </c>
      <c r="E10" s="311"/>
      <c r="F10" s="311"/>
      <c r="G10" s="311"/>
      <c r="H10" s="311"/>
      <c r="I10" s="1474"/>
      <c r="J10" s="1474"/>
      <c r="K10" s="1474"/>
      <c r="L10" s="1474"/>
      <c r="M10" s="1474"/>
      <c r="N10" s="1474"/>
      <c r="O10" s="1474"/>
      <c r="P10" s="1474"/>
      <c r="Q10" s="1474"/>
      <c r="R10" s="1474"/>
      <c r="S10" s="1474"/>
      <c r="T10" s="201"/>
      <c r="U10" s="563"/>
      <c r="V10" s="272"/>
      <c r="W10" s="161"/>
      <c r="X10" s="271"/>
      <c r="Y10" s="289"/>
      <c r="Z10" s="147"/>
      <c r="AA10" s="147"/>
    </row>
    <row r="11" spans="1:59" s="843" customFormat="1" ht="18" customHeight="1">
      <c r="A11" s="852"/>
      <c r="B11" s="851"/>
      <c r="C11" s="1021"/>
      <c r="D11" s="1491" t="s">
        <v>1065</v>
      </c>
      <c r="E11" s="1491"/>
      <c r="F11" s="1491"/>
      <c r="G11" s="1490"/>
      <c r="H11" s="1490"/>
      <c r="I11" s="1478"/>
      <c r="J11" s="1479"/>
      <c r="K11" s="1479"/>
      <c r="L11" s="1479"/>
      <c r="M11" s="1479"/>
      <c r="N11" s="1479"/>
      <c r="O11" s="1479"/>
      <c r="P11" s="1479"/>
      <c r="Q11" s="1479"/>
      <c r="R11" s="1479"/>
      <c r="S11" s="1480"/>
      <c r="T11" s="848"/>
      <c r="U11" s="851"/>
      <c r="V11" s="1017"/>
      <c r="W11" s="846"/>
      <c r="X11" s="845"/>
      <c r="Y11" s="845"/>
      <c r="Z11" s="844"/>
      <c r="AA11" s="844"/>
    </row>
    <row r="12" spans="1:59" s="843" customFormat="1" ht="18" customHeight="1">
      <c r="A12" s="852"/>
      <c r="B12" s="851"/>
      <c r="C12" s="1021"/>
      <c r="D12" s="1491" t="s">
        <v>0</v>
      </c>
      <c r="E12" s="1491"/>
      <c r="F12" s="1491"/>
      <c r="G12" s="1475" t="s">
        <v>0</v>
      </c>
      <c r="H12" s="1477"/>
      <c r="I12" s="1475"/>
      <c r="J12" s="1476"/>
      <c r="K12" s="1476"/>
      <c r="L12" s="1476"/>
      <c r="M12" s="1476"/>
      <c r="N12" s="1476"/>
      <c r="O12" s="1476"/>
      <c r="P12" s="1476"/>
      <c r="Q12" s="1476"/>
      <c r="R12" s="1476"/>
      <c r="S12" s="1477"/>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5" t="s">
        <v>283</v>
      </c>
      <c r="J14" s="1386"/>
      <c r="K14" s="1386"/>
      <c r="L14" s="1386"/>
      <c r="M14" s="1386"/>
      <c r="N14" s="1386"/>
      <c r="O14" s="1386"/>
      <c r="P14" s="1386"/>
      <c r="Q14" s="1386"/>
      <c r="R14" s="1387"/>
      <c r="S14" s="183"/>
      <c r="T14" s="201"/>
      <c r="U14" s="563"/>
      <c r="V14" s="385" t="s">
        <v>844</v>
      </c>
      <c r="W14" s="161"/>
      <c r="X14" s="33">
        <f>VLOOKUP(I14,C.VL_SeverityRating,2,FALSE)</f>
        <v>3</v>
      </c>
      <c r="Y14" s="637" t="str">
        <f>I14</f>
        <v>low to medium</v>
      </c>
      <c r="Z14" s="55"/>
      <c r="AA14" s="55"/>
    </row>
    <row r="15" spans="1:59" s="66" customFormat="1" ht="17.25" customHeight="1">
      <c r="A15" s="601"/>
      <c r="B15" s="563"/>
      <c r="C15" s="279"/>
      <c r="D15"/>
      <c r="E15"/>
      <c r="F15"/>
      <c r="G15" s="1472" t="s">
        <v>280</v>
      </c>
      <c r="H15" s="1473"/>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4" t="s">
        <v>300</v>
      </c>
      <c r="I16" s="1494"/>
      <c r="J16" s="1494"/>
      <c r="K16" s="1494"/>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9" t="s">
        <v>277</v>
      </c>
      <c r="E17" s="1349"/>
      <c r="F17" s="1349"/>
      <c r="G17" s="1349"/>
      <c r="H17" s="1469" t="s">
        <v>0</v>
      </c>
      <c r="I17" s="1470"/>
      <c r="J17" s="1470"/>
      <c r="K17" s="1470"/>
      <c r="L17" s="1470"/>
      <c r="M17" s="1470"/>
      <c r="N17" s="1470"/>
      <c r="O17" s="1470"/>
      <c r="P17" s="1470"/>
      <c r="Q17" s="1470"/>
      <c r="R17" s="1470"/>
      <c r="S17" s="1471"/>
      <c r="T17" s="206"/>
      <c r="U17" s="563"/>
      <c r="V17" s="1080"/>
      <c r="W17" s="273"/>
      <c r="X17" s="284" t="b">
        <v>0</v>
      </c>
      <c r="Y17" s="284"/>
      <c r="Z17" s="1438" t="str">
        <f>IF($X17=FALSE,"",IF(COUNTIF($X18:$X$23,TRUE)=0,LOWER($D17),IF(COUNTIF($X18:$X$23,TRUE)=1,LOWER($D17)&amp;" and ",LOWER($D17)&amp;", ")))</f>
        <v/>
      </c>
      <c r="AA17" s="1438"/>
      <c r="AC17" s="273"/>
      <c r="AD17" s="273"/>
    </row>
    <row r="18" spans="1:30" s="66" customFormat="1" ht="21" customHeight="1">
      <c r="A18" s="601"/>
      <c r="B18" s="563"/>
      <c r="C18" s="202"/>
      <c r="D18" s="1349" t="s">
        <v>279</v>
      </c>
      <c r="E18" s="1349"/>
      <c r="F18" s="1349"/>
      <c r="G18" s="1349"/>
      <c r="H18" s="1469"/>
      <c r="I18" s="1470"/>
      <c r="J18" s="1470"/>
      <c r="K18" s="1470"/>
      <c r="L18" s="1470"/>
      <c r="M18" s="1470"/>
      <c r="N18" s="1470"/>
      <c r="O18" s="1470"/>
      <c r="P18" s="1470"/>
      <c r="Q18" s="1470"/>
      <c r="R18" s="1470"/>
      <c r="S18" s="1471"/>
      <c r="T18" s="206"/>
      <c r="U18" s="563"/>
      <c r="V18" s="273"/>
      <c r="W18" s="273"/>
      <c r="X18" s="284" t="b">
        <v>0</v>
      </c>
      <c r="Y18" s="284"/>
      <c r="Z18" s="1438" t="str">
        <f>IF($X18=FALSE,"",IF(COUNTIF($X19:$X$23,TRUE)=0,LOWER($D18),IF(COUNTIF($X19:$X$23,TRUE)=1,LOWER($D18)&amp;" and ",LOWER($D18)&amp;", ")))</f>
        <v/>
      </c>
      <c r="AA18" s="1438"/>
      <c r="AC18" s="273"/>
      <c r="AD18" s="273"/>
    </row>
    <row r="19" spans="1:30" s="66" customFormat="1" ht="21" customHeight="1">
      <c r="A19" s="601"/>
      <c r="B19" s="563"/>
      <c r="C19" s="202"/>
      <c r="D19" s="1339" t="s">
        <v>275</v>
      </c>
      <c r="E19" s="1339"/>
      <c r="F19" s="1339"/>
      <c r="G19" s="1339"/>
      <c r="H19" s="1469"/>
      <c r="I19" s="1470"/>
      <c r="J19" s="1470"/>
      <c r="K19" s="1470"/>
      <c r="L19" s="1470"/>
      <c r="M19" s="1470"/>
      <c r="N19" s="1470"/>
      <c r="O19" s="1470"/>
      <c r="P19" s="1470"/>
      <c r="Q19" s="1470"/>
      <c r="R19" s="1470"/>
      <c r="S19" s="1471"/>
      <c r="T19" s="206"/>
      <c r="U19" s="563"/>
      <c r="V19" s="273"/>
      <c r="W19" s="273"/>
      <c r="X19" s="284" t="b">
        <v>0</v>
      </c>
      <c r="Y19" s="284"/>
      <c r="Z19" s="1438" t="str">
        <f>IF($X19=FALSE,"",IF(COUNTIF($X21:$X$23,TRUE)=0,LOWER($D19),IF(COUNTIF($X21:$X$23,TRUE)=1,LOWER($D19)&amp;" and ",LOWER($D19)&amp;", ")))</f>
        <v/>
      </c>
      <c r="AA19" s="1438"/>
      <c r="AC19" s="273"/>
      <c r="AD19" s="273"/>
    </row>
    <row r="20" spans="1:30" s="843" customFormat="1" ht="21" customHeight="1">
      <c r="A20" s="852"/>
      <c r="B20" s="851"/>
      <c r="C20" s="202"/>
      <c r="D20" s="1339" t="s">
        <v>278</v>
      </c>
      <c r="E20" s="1339"/>
      <c r="F20" s="1339"/>
      <c r="G20" s="1339"/>
      <c r="H20" s="1469"/>
      <c r="I20" s="1470"/>
      <c r="J20" s="1470"/>
      <c r="K20" s="1470"/>
      <c r="L20" s="1470"/>
      <c r="M20" s="1470"/>
      <c r="N20" s="1470"/>
      <c r="O20" s="1470"/>
      <c r="P20" s="1470"/>
      <c r="Q20" s="1470"/>
      <c r="R20" s="1470"/>
      <c r="S20" s="1471"/>
      <c r="T20" s="206"/>
      <c r="U20" s="851"/>
      <c r="V20" s="1087"/>
      <c r="W20" s="1087"/>
      <c r="X20" s="284"/>
      <c r="Y20" s="284"/>
      <c r="Z20" s="1086"/>
      <c r="AA20" s="1086"/>
      <c r="AC20" s="1087"/>
      <c r="AD20" s="1087"/>
    </row>
    <row r="21" spans="1:30" s="66" customFormat="1" ht="42" customHeight="1">
      <c r="A21" s="601"/>
      <c r="B21" s="563"/>
      <c r="C21" s="202"/>
      <c r="D21" s="1339" t="s">
        <v>860</v>
      </c>
      <c r="E21" s="1339"/>
      <c r="F21" s="1339"/>
      <c r="G21" s="1339"/>
      <c r="H21" s="1469" t="s">
        <v>1063</v>
      </c>
      <c r="I21" s="1470"/>
      <c r="J21" s="1470"/>
      <c r="K21" s="1470"/>
      <c r="L21" s="1470"/>
      <c r="M21" s="1470"/>
      <c r="N21" s="1470"/>
      <c r="O21" s="1470"/>
      <c r="P21" s="1470"/>
      <c r="Q21" s="1470"/>
      <c r="R21" s="1470"/>
      <c r="S21" s="1471"/>
      <c r="T21" s="206"/>
      <c r="U21" s="563"/>
      <c r="V21" s="273"/>
      <c r="W21" s="273"/>
      <c r="X21" s="284" t="b">
        <v>1</v>
      </c>
      <c r="Y21" s="284"/>
      <c r="Z21" s="1438" t="str">
        <f>IF($X21=FALSE,"",IF(COUNTIF($X22:$X$23,TRUE)=0,LOWER($D20),IF(COUNTIF($X22:$X$23,TRUE)=1,LOWER($D20)&amp;" and ",LOWER($D20)&amp;", ")))</f>
        <v>failure to comply with clean air act</v>
      </c>
      <c r="AA21" s="1438"/>
      <c r="AC21" s="273"/>
      <c r="AD21" s="273"/>
    </row>
    <row r="22" spans="1:30" s="66" customFormat="1" ht="21" customHeight="1">
      <c r="A22" s="601"/>
      <c r="B22" s="563"/>
      <c r="C22" s="202"/>
      <c r="D22" s="1338" t="s">
        <v>276</v>
      </c>
      <c r="E22" s="1338"/>
      <c r="F22" s="1338"/>
      <c r="G22" s="1338"/>
      <c r="H22" s="1487" t="s">
        <v>0</v>
      </c>
      <c r="I22" s="1488"/>
      <c r="J22" s="1488"/>
      <c r="K22" s="1488"/>
      <c r="L22" s="1488"/>
      <c r="M22" s="1488"/>
      <c r="N22" s="1488"/>
      <c r="O22" s="1488"/>
      <c r="P22" s="1488"/>
      <c r="Q22" s="1488"/>
      <c r="R22" s="1488"/>
      <c r="S22" s="1489"/>
      <c r="T22" s="206"/>
      <c r="U22" s="563"/>
      <c r="V22" s="273"/>
      <c r="W22" s="273"/>
      <c r="X22" s="284" t="b">
        <v>0</v>
      </c>
      <c r="Y22" s="284"/>
      <c r="Z22" s="1438" t="str">
        <f>IF($X22=FALSE,"",IF($X23:$X$23=FALSE,LOWER($E22),LOWER($E22)&amp;" and "))</f>
        <v/>
      </c>
      <c r="AA22" s="1438"/>
      <c r="AC22" s="273" t="s">
        <v>0</v>
      </c>
      <c r="AD22" s="273"/>
    </row>
    <row r="23" spans="1:30" s="66" customFormat="1" ht="21" customHeight="1">
      <c r="A23" s="601"/>
      <c r="B23" s="563"/>
      <c r="C23" s="202"/>
      <c r="D23" s="1338" t="s">
        <v>276</v>
      </c>
      <c r="E23" s="1338"/>
      <c r="F23" s="1338"/>
      <c r="G23" s="1338"/>
      <c r="H23" s="1469"/>
      <c r="I23" s="1470"/>
      <c r="J23" s="1470"/>
      <c r="K23" s="1470"/>
      <c r="L23" s="1470"/>
      <c r="M23" s="1470"/>
      <c r="N23" s="1470"/>
      <c r="O23" s="1470"/>
      <c r="P23" s="1470"/>
      <c r="Q23" s="1470"/>
      <c r="R23" s="1470"/>
      <c r="S23" s="1471"/>
      <c r="T23" s="206"/>
      <c r="U23" s="563"/>
      <c r="V23" s="273"/>
      <c r="W23" s="273"/>
      <c r="X23" s="284" t="b">
        <v>0</v>
      </c>
      <c r="Y23" s="284"/>
      <c r="Z23" s="1438" t="str">
        <f>IF($X23=FALSE,"",LOWER($E23))</f>
        <v/>
      </c>
      <c r="AA23" s="1438"/>
      <c r="AC23" s="285" t="s">
        <v>0</v>
      </c>
      <c r="AD23" s="273"/>
    </row>
    <row r="24" spans="1:30" s="66" customFormat="1" ht="30" customHeight="1">
      <c r="A24" s="601"/>
      <c r="B24" s="563"/>
      <c r="C24" s="202"/>
      <c r="D24" s="1406" t="s">
        <v>267</v>
      </c>
      <c r="E24" s="1406"/>
      <c r="F24" s="1406"/>
      <c r="G24" s="1406"/>
      <c r="H24" s="193"/>
      <c r="I24" s="193"/>
      <c r="J24" s="193"/>
      <c r="K24" s="193"/>
      <c r="L24" s="193"/>
      <c r="M24" s="193"/>
      <c r="N24" s="193"/>
      <c r="O24" s="193"/>
      <c r="P24" s="193"/>
      <c r="Q24" s="193"/>
      <c r="R24" s="193"/>
      <c r="S24" s="275"/>
      <c r="T24" s="206"/>
      <c r="U24" s="563"/>
      <c r="V24" s="161"/>
      <c r="W24" s="161"/>
      <c r="X24" s="1398" t="str">
        <f>IF(COUNTIF(X17:X23,TRUE),"LEGAL: "&amp;Z17&amp;Z18&amp;Z19&amp;Z21&amp;Z22&amp;Z23&amp;".","")</f>
        <v>LEGAL: failure to comply with clean air act.</v>
      </c>
      <c r="Y24" s="1484"/>
      <c r="Z24" s="1484"/>
      <c r="AA24" s="1399"/>
    </row>
    <row r="25" spans="1:30" s="66" customFormat="1" ht="15.75" customHeight="1">
      <c r="A25" s="601"/>
      <c r="B25" s="563"/>
      <c r="C25" s="202"/>
      <c r="D25" s="1260" t="s">
        <v>0</v>
      </c>
      <c r="E25" s="1261"/>
      <c r="F25" s="1261"/>
      <c r="G25" s="1261"/>
      <c r="H25" s="1261"/>
      <c r="I25" s="1261"/>
      <c r="J25" s="1261"/>
      <c r="K25" s="1261"/>
      <c r="L25" s="1261"/>
      <c r="M25" s="1261"/>
      <c r="N25" s="1261"/>
      <c r="O25" s="1261"/>
      <c r="P25" s="1261"/>
      <c r="Q25" s="1261"/>
      <c r="R25" s="1261"/>
      <c r="S25" s="1261"/>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41" t="s">
        <v>37</v>
      </c>
      <c r="J27" s="1342"/>
      <c r="K27" s="1342"/>
      <c r="L27" s="1342"/>
      <c r="M27" s="1342"/>
      <c r="N27" s="1342"/>
      <c r="O27" s="1342"/>
      <c r="P27" s="1342"/>
      <c r="Q27" s="1342"/>
      <c r="R27" s="1343"/>
      <c r="S27" s="183"/>
      <c r="T27" s="201"/>
      <c r="U27" s="563"/>
      <c r="V27" s="313" t="s">
        <v>838</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72" t="s">
        <v>239</v>
      </c>
      <c r="H28" s="1473"/>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1" t="s">
        <v>0</v>
      </c>
      <c r="E32" s="1482"/>
      <c r="F32" s="1482"/>
      <c r="G32" s="1482"/>
      <c r="H32" s="1482"/>
      <c r="I32" s="1482"/>
      <c r="J32" s="1482"/>
      <c r="K32" s="1482"/>
      <c r="L32" s="1482"/>
      <c r="M32" s="1482"/>
      <c r="N32" s="1482"/>
      <c r="O32" s="1482"/>
      <c r="P32" s="1482"/>
      <c r="Q32" s="1482"/>
      <c r="R32" s="1482"/>
      <c r="S32" s="1483"/>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4" t="s">
        <v>0</v>
      </c>
      <c r="E34" s="1445"/>
      <c r="F34" s="1445"/>
      <c r="G34" s="1445"/>
      <c r="H34" s="1445"/>
      <c r="I34" s="1445"/>
      <c r="J34" s="1445"/>
      <c r="K34" s="1445"/>
      <c r="L34" s="1445"/>
      <c r="M34" s="1445"/>
      <c r="N34" s="1445"/>
      <c r="O34" s="1445"/>
      <c r="P34" s="1445"/>
      <c r="Q34" s="1445"/>
      <c r="R34" s="1445"/>
      <c r="S34" s="1446"/>
      <c r="T34" s="201"/>
      <c r="U34" s="563"/>
      <c r="W34" s="161"/>
      <c r="X34" s="122"/>
      <c r="Y34" s="122"/>
      <c r="Z34" s="147"/>
      <c r="AA34" s="147"/>
    </row>
    <row r="35" spans="1:27">
      <c r="B35" s="563"/>
      <c r="C35" s="276"/>
      <c r="D35" s="277"/>
      <c r="E35" s="277"/>
      <c r="F35" s="277"/>
      <c r="G35" s="1272">
        <f ca="1">TODAY()</f>
        <v>41780</v>
      </c>
      <c r="H35" s="1272"/>
      <c r="I35" s="1272"/>
      <c r="J35" s="1272"/>
      <c r="K35" s="1272"/>
      <c r="L35" s="1272"/>
      <c r="M35" s="1272"/>
      <c r="N35" s="1272"/>
      <c r="O35" s="1272"/>
      <c r="P35" s="1272"/>
      <c r="Q35" s="1272"/>
      <c r="R35" s="1272"/>
      <c r="S35" s="1272"/>
      <c r="T35" s="1273"/>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226" priority="31" stopIfTrue="1">
      <formula>IF(AND(#REF!="H",$X3&lt;3),TRUE,)</formula>
    </cfRule>
  </conditionalFormatting>
  <conditionalFormatting sqref="R15">
    <cfRule type="expression" dxfId="225" priority="4610" stopIfTrue="1">
      <formula>IF($X$14&lt;10,TRUE,)</formula>
    </cfRule>
  </conditionalFormatting>
  <conditionalFormatting sqref="I15">
    <cfRule type="expression" dxfId="224" priority="4690" stopIfTrue="1">
      <formula>IF($X$14&lt;1,TRUE,)</formula>
    </cfRule>
  </conditionalFormatting>
  <conditionalFormatting sqref="J15">
    <cfRule type="expression" dxfId="223" priority="4691" stopIfTrue="1">
      <formula>IF($X$14&lt;2,TRUE,)</formula>
    </cfRule>
  </conditionalFormatting>
  <conditionalFormatting sqref="L15">
    <cfRule type="expression" dxfId="222" priority="4692" stopIfTrue="1">
      <formula>IF($X$14&lt;4,TRUE,)</formula>
    </cfRule>
  </conditionalFormatting>
  <conditionalFormatting sqref="M15">
    <cfRule type="expression" dxfId="221" priority="4693" stopIfTrue="1">
      <formula>IF($X$14&lt;5,TRUE,)</formula>
    </cfRule>
  </conditionalFormatting>
  <conditionalFormatting sqref="N15">
    <cfRule type="expression" dxfId="220" priority="4694" stopIfTrue="1">
      <formula>IF($X$14&lt;6,TRUE,)</formula>
    </cfRule>
  </conditionalFormatting>
  <conditionalFormatting sqref="O15">
    <cfRule type="expression" dxfId="219" priority="4695" stopIfTrue="1">
      <formula>IF($X$14&lt;7,TRUE,)</formula>
    </cfRule>
  </conditionalFormatting>
  <conditionalFormatting sqref="P15">
    <cfRule type="expression" dxfId="218" priority="4696" stopIfTrue="1">
      <formula>IF($X$14&lt;8,TRUE,)</formula>
    </cfRule>
  </conditionalFormatting>
  <conditionalFormatting sqref="Q15">
    <cfRule type="expression" dxfId="217" priority="4697" stopIfTrue="1">
      <formula>IF($X$14&lt;9,TRUE,)</formula>
    </cfRule>
  </conditionalFormatting>
  <conditionalFormatting sqref="K15">
    <cfRule type="expression" dxfId="216" priority="4698" stopIfTrue="1">
      <formula>IF($X$14&lt;3,TRUE,)</formula>
    </cfRule>
  </conditionalFormatting>
  <conditionalFormatting sqref="R28">
    <cfRule type="expression" dxfId="215" priority="4" stopIfTrue="1">
      <formula>IF($X$27&lt;10,TRUE,)</formula>
    </cfRule>
  </conditionalFormatting>
  <conditionalFormatting sqref="I28">
    <cfRule type="expression" dxfId="214" priority="5" stopIfTrue="1">
      <formula>IF($X$27&lt;1,TRUE,)</formula>
    </cfRule>
  </conditionalFormatting>
  <conditionalFormatting sqref="J28">
    <cfRule type="expression" dxfId="213" priority="6" stopIfTrue="1">
      <formula>IF($X$27&lt;2,TRUE,)</formula>
    </cfRule>
  </conditionalFormatting>
  <conditionalFormatting sqref="L28">
    <cfRule type="expression" dxfId="212" priority="7" stopIfTrue="1">
      <formula>IF($X$27&lt;4,TRUE,)</formula>
    </cfRule>
  </conditionalFormatting>
  <conditionalFormatting sqref="M28">
    <cfRule type="expression" dxfId="211" priority="8" stopIfTrue="1">
      <formula>IF($X$27&lt;5,TRUE,)</formula>
    </cfRule>
  </conditionalFormatting>
  <conditionalFormatting sqref="N28">
    <cfRule type="expression" dxfId="210" priority="9" stopIfTrue="1">
      <formula>IF($X$27&lt;6,TRUE,)</formula>
    </cfRule>
  </conditionalFormatting>
  <conditionalFormatting sqref="O28">
    <cfRule type="expression" dxfId="209" priority="10" stopIfTrue="1">
      <formula>IF($X$27&lt;7,TRUE,)</formula>
    </cfRule>
  </conditionalFormatting>
  <conditionalFormatting sqref="P28">
    <cfRule type="expression" dxfId="208" priority="11" stopIfTrue="1">
      <formula>IF($X$27&lt;8,TRUE,)</formula>
    </cfRule>
  </conditionalFormatting>
  <conditionalFormatting sqref="Q28">
    <cfRule type="expression" dxfId="207" priority="12" stopIfTrue="1">
      <formula>IF($X$27&lt;9,TRUE,)</formula>
    </cfRule>
  </conditionalFormatting>
  <conditionalFormatting sqref="K28">
    <cfRule type="expression" dxfId="206"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zoomScale="80" zoomScaleNormal="80" workbookViewId="0">
      <selection activeCell="I12" sqref="I12:R12"/>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6" t="str">
        <f>C.2Name</f>
        <v>Oregon State Implementation Plan revision for PM2.5 National Ambient Air Quality Standards</v>
      </c>
      <c r="G2" s="1496"/>
      <c r="H2" s="1496"/>
      <c r="I2" s="1496"/>
      <c r="J2" s="1496"/>
      <c r="K2" s="1496"/>
      <c r="L2" s="1496"/>
      <c r="M2" s="1496"/>
      <c r="N2" s="1496"/>
      <c r="O2" s="1496"/>
      <c r="P2" s="1496"/>
      <c r="Q2" s="1496"/>
      <c r="R2" s="1496"/>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2"/>
      <c r="E4" s="1503"/>
      <c r="F4" s="1503"/>
      <c r="G4" s="1503"/>
      <c r="H4" s="1503"/>
      <c r="I4" s="1503"/>
      <c r="J4" s="1503"/>
      <c r="K4" s="1503"/>
      <c r="L4" s="1503"/>
      <c r="M4" s="1503"/>
      <c r="N4" s="1503"/>
      <c r="O4" s="1503"/>
      <c r="P4" s="1503"/>
      <c r="Q4" s="1503"/>
      <c r="R4" s="1504"/>
      <c r="S4" s="292"/>
      <c r="T4" s="563"/>
      <c r="U4" s="114"/>
      <c r="V4" s="114"/>
      <c r="W4" s="161"/>
      <c r="X4" s="55"/>
      <c r="Y4" s="38"/>
      <c r="Z4" s="66"/>
    </row>
    <row r="5" spans="1:31" ht="30.75" customHeight="1">
      <c r="B5" s="563"/>
      <c r="C5" s="398"/>
      <c r="D5" s="1311" t="s">
        <v>193</v>
      </c>
      <c r="E5" s="1311"/>
      <c r="F5" s="1311"/>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83" t="s">
        <v>217</v>
      </c>
      <c r="E7" s="1284"/>
      <c r="F7" s="1285"/>
      <c r="G7" s="1285"/>
      <c r="H7" s="1308"/>
      <c r="I7" s="1308"/>
      <c r="J7" s="1308"/>
      <c r="K7" s="1308"/>
      <c r="L7" s="1308"/>
      <c r="M7" s="1308"/>
      <c r="N7" s="1308"/>
      <c r="O7" s="1308"/>
      <c r="P7" s="1308"/>
      <c r="Q7" s="1308"/>
      <c r="R7" s="1308"/>
      <c r="S7" s="212"/>
      <c r="T7" s="563"/>
      <c r="U7" s="2"/>
      <c r="V7" s="2"/>
      <c r="W7" s="2"/>
      <c r="X7" s="144">
        <v>1</v>
      </c>
      <c r="Y7" s="147" t="s">
        <v>230</v>
      </c>
      <c r="Z7" s="164"/>
    </row>
    <row r="8" spans="1:31" ht="39" customHeight="1">
      <c r="B8" s="563"/>
      <c r="C8" s="365" t="s">
        <v>0</v>
      </c>
      <c r="D8" s="1311" t="s">
        <v>216</v>
      </c>
      <c r="E8" s="1311"/>
      <c r="F8" s="1311"/>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83" t="s">
        <v>217</v>
      </c>
      <c r="E10" s="1284"/>
      <c r="F10" s="1285"/>
      <c r="G10" s="1285"/>
      <c r="H10" s="1308"/>
      <c r="I10" s="1308"/>
      <c r="J10" s="1308"/>
      <c r="K10" s="1308"/>
      <c r="L10" s="1308"/>
      <c r="M10" s="1308"/>
      <c r="N10" s="1308"/>
      <c r="O10" s="1308"/>
      <c r="P10" s="1308"/>
      <c r="Q10" s="1308"/>
      <c r="R10" s="1308"/>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0" t="s">
        <v>432</v>
      </c>
      <c r="E12" s="1410"/>
      <c r="F12" s="1410"/>
      <c r="G12" s="1410"/>
      <c r="H12" s="1410"/>
      <c r="I12" s="1341" t="s">
        <v>37</v>
      </c>
      <c r="J12" s="1342"/>
      <c r="K12" s="1342"/>
      <c r="L12" s="1342"/>
      <c r="M12" s="1342"/>
      <c r="N12" s="1342"/>
      <c r="O12" s="1342"/>
      <c r="P12" s="1342"/>
      <c r="Q12" s="1342"/>
      <c r="R12" s="1343"/>
      <c r="S12" s="201"/>
      <c r="T12" s="563"/>
      <c r="U12" s="313" t="s">
        <v>760</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9" t="s">
        <v>247</v>
      </c>
      <c r="G13" s="1500"/>
      <c r="H13" s="1501"/>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1</v>
      </c>
      <c r="Y13" s="882" t="str">
        <f>I12</f>
        <v>definitely not complex</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60" t="s">
        <v>0</v>
      </c>
      <c r="E17" s="1261"/>
      <c r="F17" s="1261"/>
      <c r="G17" s="1261"/>
      <c r="H17" s="1261"/>
      <c r="I17" s="1261"/>
      <c r="J17" s="1261"/>
      <c r="K17" s="1261"/>
      <c r="L17" s="1261"/>
      <c r="M17" s="1261"/>
      <c r="N17" s="1261"/>
      <c r="O17" s="1261"/>
      <c r="P17" s="1261"/>
      <c r="Q17" s="1261"/>
      <c r="R17" s="1261"/>
      <c r="S17" s="1262"/>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2" t="s">
        <v>0</v>
      </c>
      <c r="E19" s="1213"/>
      <c r="F19" s="1213"/>
      <c r="G19" s="1213"/>
      <c r="H19" s="1213"/>
      <c r="I19" s="1213"/>
      <c r="J19" s="1213"/>
      <c r="K19" s="1213"/>
      <c r="L19" s="1213"/>
      <c r="M19" s="1213"/>
      <c r="N19" s="1213"/>
      <c r="O19" s="1213"/>
      <c r="P19" s="1213"/>
      <c r="Q19" s="1213"/>
      <c r="R19" s="1214"/>
      <c r="S19" s="201"/>
      <c r="T19" s="563"/>
      <c r="U19" s="161"/>
      <c r="V19" s="161"/>
      <c r="W19" s="161"/>
      <c r="X19" s="50"/>
      <c r="Y19" s="50"/>
      <c r="Z19" s="163"/>
    </row>
    <row r="20" spans="1:26" ht="18.75">
      <c r="B20" s="563"/>
      <c r="C20" s="371"/>
      <c r="D20" s="372"/>
      <c r="E20" s="372"/>
      <c r="F20" s="1272">
        <f ca="1">TODAY()</f>
        <v>41780</v>
      </c>
      <c r="G20" s="1272"/>
      <c r="H20" s="1272"/>
      <c r="I20" s="1272"/>
      <c r="J20" s="1272"/>
      <c r="K20" s="1272"/>
      <c r="L20" s="1272"/>
      <c r="M20" s="1272"/>
      <c r="N20" s="1272"/>
      <c r="O20" s="1272"/>
      <c r="P20" s="1272"/>
      <c r="Q20" s="1272"/>
      <c r="R20" s="1272"/>
      <c r="S20" s="1273"/>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205" priority="54" stopIfTrue="1">
      <formula>IF(AND(#REF!="H",$X18&lt;10),TRUE,)</formula>
    </cfRule>
  </conditionalFormatting>
  <conditionalFormatting sqref="H19">
    <cfRule type="expression" dxfId="204" priority="55" stopIfTrue="1">
      <formula>IF(AND(#REF!="H",$X18&lt;1),TRUE,)</formula>
    </cfRule>
  </conditionalFormatting>
  <conditionalFormatting sqref="I19">
    <cfRule type="expression" dxfId="203" priority="56" stopIfTrue="1">
      <formula>IF(AND(#REF!="H",$X18&lt;2),TRUE,)</formula>
    </cfRule>
  </conditionalFormatting>
  <conditionalFormatting sqref="K19">
    <cfRule type="expression" dxfId="202" priority="57" stopIfTrue="1">
      <formula>IF(AND(#REF!="H",$X18&lt;4),TRUE,)</formula>
    </cfRule>
  </conditionalFormatting>
  <conditionalFormatting sqref="L19">
    <cfRule type="expression" dxfId="201" priority="58" stopIfTrue="1">
      <formula>IF(AND(#REF!="H",$X18&lt;5),TRUE,)</formula>
    </cfRule>
  </conditionalFormatting>
  <conditionalFormatting sqref="M19">
    <cfRule type="expression" dxfId="200" priority="59" stopIfTrue="1">
      <formula>IF(AND(#REF!="H",$X18&lt;6),TRUE,)</formula>
    </cfRule>
  </conditionalFormatting>
  <conditionalFormatting sqref="N19">
    <cfRule type="expression" dxfId="199" priority="60" stopIfTrue="1">
      <formula>IF(AND(#REF!="H",$X18&lt;7),TRUE,)</formula>
    </cfRule>
  </conditionalFormatting>
  <conditionalFormatting sqref="O19">
    <cfRule type="expression" dxfId="198" priority="61" stopIfTrue="1">
      <formula>IF(AND(#REF!="H",$X18&lt;8),TRUE,)</formula>
    </cfRule>
  </conditionalFormatting>
  <conditionalFormatting sqref="P19">
    <cfRule type="expression" dxfId="197" priority="62" stopIfTrue="1">
      <formula>IF(AND(#REF!="H",$X18&lt;9),TRUE,)</formula>
    </cfRule>
  </conditionalFormatting>
  <conditionalFormatting sqref="J19">
    <cfRule type="expression" dxfId="196" priority="63" stopIfTrue="1">
      <formula>IF(AND(#REF!="H",$X18&lt;3),TRUE,)</formula>
    </cfRule>
  </conditionalFormatting>
  <conditionalFormatting sqref="Q16">
    <cfRule type="expression" dxfId="195" priority="64" stopIfTrue="1">
      <formula>IF(AND(#REF!="H",#REF!&lt;10),TRUE,)</formula>
    </cfRule>
  </conditionalFormatting>
  <conditionalFormatting sqref="H16">
    <cfRule type="expression" dxfId="194" priority="65" stopIfTrue="1">
      <formula>IF(AND(#REF!="H",#REF!&lt;1),TRUE,)</formula>
    </cfRule>
  </conditionalFormatting>
  <conditionalFormatting sqref="I16 I18">
    <cfRule type="expression" dxfId="193" priority="66" stopIfTrue="1">
      <formula>IF(AND(#REF!="H",#REF!&lt;2),TRUE,)</formula>
    </cfRule>
  </conditionalFormatting>
  <conditionalFormatting sqref="K16 K18">
    <cfRule type="expression" dxfId="192" priority="67" stopIfTrue="1">
      <formula>IF(AND(#REF!="H",#REF!&lt;4),TRUE,)</formula>
    </cfRule>
  </conditionalFormatting>
  <conditionalFormatting sqref="L16 L18">
    <cfRule type="expression" dxfId="191" priority="68" stopIfTrue="1">
      <formula>IF(AND(#REF!="H",#REF!&lt;5),TRUE,)</formula>
    </cfRule>
  </conditionalFormatting>
  <conditionalFormatting sqref="M16 M18">
    <cfRule type="expression" dxfId="190" priority="69" stopIfTrue="1">
      <formula>IF(AND(#REF!="H",#REF!&lt;6),TRUE,)</formula>
    </cfRule>
  </conditionalFormatting>
  <conditionalFormatting sqref="N16 N18">
    <cfRule type="expression" dxfId="189" priority="70" stopIfTrue="1">
      <formula>IF(AND(#REF!="H",#REF!&lt;7),TRUE,)</formula>
    </cfRule>
  </conditionalFormatting>
  <conditionalFormatting sqref="O16 O18">
    <cfRule type="expression" dxfId="188" priority="71" stopIfTrue="1">
      <formula>IF(AND(#REF!="H",#REF!&lt;8),TRUE,)</formula>
    </cfRule>
  </conditionalFormatting>
  <conditionalFormatting sqref="P16 P18">
    <cfRule type="expression" dxfId="187" priority="72" stopIfTrue="1">
      <formula>IF(AND(#REF!="H",#REF!&lt;9),TRUE,)</formula>
    </cfRule>
  </conditionalFormatting>
  <conditionalFormatting sqref="J16 J18">
    <cfRule type="expression" dxfId="186" priority="73" stopIfTrue="1">
      <formula>IF(AND(#REF!="H",#REF!&lt;3),TRUE,)</formula>
    </cfRule>
  </conditionalFormatting>
  <conditionalFormatting sqref="Q18">
    <cfRule type="expression" dxfId="185" priority="74" stopIfTrue="1">
      <formula>IF(AND(#REF!="H",#REF!&lt;10),TRUE,)</formula>
    </cfRule>
  </conditionalFormatting>
  <conditionalFormatting sqref="H18">
    <cfRule type="expression" dxfId="184"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83" priority="34" stopIfTrue="1">
      <formula>IF(X13&lt;10,TRUE,)</formula>
    </cfRule>
  </conditionalFormatting>
  <conditionalFormatting sqref="I13">
    <cfRule type="expression" dxfId="182" priority="5198" stopIfTrue="1">
      <formula>IF(X13&lt;1,TRUE,)</formula>
    </cfRule>
  </conditionalFormatting>
  <conditionalFormatting sqref="J13">
    <cfRule type="expression" dxfId="181" priority="5199" stopIfTrue="1">
      <formula>IF(X13&lt;2,TRUE,)</formula>
    </cfRule>
  </conditionalFormatting>
  <conditionalFormatting sqref="L13">
    <cfRule type="expression" dxfId="180" priority="5200" stopIfTrue="1">
      <formula>IF(X13&lt;4,TRUE,)</formula>
    </cfRule>
  </conditionalFormatting>
  <conditionalFormatting sqref="M13">
    <cfRule type="expression" dxfId="179" priority="5201" stopIfTrue="1">
      <formula>IF(X13&lt;5,TRUE,)</formula>
    </cfRule>
  </conditionalFormatting>
  <conditionalFormatting sqref="N13">
    <cfRule type="expression" dxfId="178" priority="5202" stopIfTrue="1">
      <formula>IF(X13&lt;6,TRUE,)</formula>
    </cfRule>
  </conditionalFormatting>
  <conditionalFormatting sqref="O13">
    <cfRule type="expression" dxfId="177" priority="5203" stopIfTrue="1">
      <formula>IF(X13&lt;7,TRUE,)</formula>
    </cfRule>
  </conditionalFormatting>
  <conditionalFormatting sqref="P13">
    <cfRule type="expression" dxfId="176" priority="5204" stopIfTrue="1">
      <formula>IF(X13&lt;8,TRUE,)</formula>
    </cfRule>
  </conditionalFormatting>
  <conditionalFormatting sqref="Q13">
    <cfRule type="expression" dxfId="175" priority="5205" stopIfTrue="1">
      <formula>IF(X13&lt;9,TRUE,)</formula>
    </cfRule>
  </conditionalFormatting>
  <conditionalFormatting sqref="K13">
    <cfRule type="expression" dxfId="174"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80" zoomScaleNormal="80" workbookViewId="0">
      <selection activeCell="I9" sqref="I9:R9"/>
    </sheetView>
  </sheetViews>
  <sheetFormatPr defaultColWidth="9"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6" t="str">
        <f>C.2Name</f>
        <v>Oregon State Implementation Plan revision for PM2.5 National Ambient Air Quality Standards</v>
      </c>
      <c r="G2" s="1496"/>
      <c r="H2" s="1496"/>
      <c r="I2" s="1496"/>
      <c r="J2" s="1496"/>
      <c r="K2" s="1496"/>
      <c r="L2" s="1496"/>
      <c r="M2" s="1496"/>
      <c r="N2" s="1496"/>
      <c r="O2" s="1496"/>
      <c r="P2" s="1496"/>
      <c r="Q2" s="1496"/>
      <c r="R2" s="1496"/>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6.5" customHeight="1">
      <c r="B4" s="563"/>
      <c r="C4" s="202"/>
      <c r="D4" s="1507"/>
      <c r="E4" s="1508"/>
      <c r="F4" s="1508"/>
      <c r="G4" s="1508"/>
      <c r="H4" s="1508"/>
      <c r="I4" s="1508"/>
      <c r="J4" s="1508"/>
      <c r="K4" s="1508"/>
      <c r="L4" s="1508"/>
      <c r="M4" s="1508"/>
      <c r="N4" s="1508"/>
      <c r="O4" s="1508"/>
      <c r="P4" s="1508"/>
      <c r="Q4" s="1508"/>
      <c r="R4" s="1509"/>
      <c r="S4" s="292"/>
      <c r="T4" s="563"/>
      <c r="U4" s="114"/>
      <c r="V4" s="114"/>
      <c r="W4" s="161"/>
      <c r="X4" s="55"/>
      <c r="Y4" s="38"/>
      <c r="Z4" s="66"/>
    </row>
    <row r="5" spans="1:43" ht="30.75" customHeight="1">
      <c r="B5" s="563"/>
      <c r="C5" s="398"/>
      <c r="D5" s="1311" t="s">
        <v>352</v>
      </c>
      <c r="E5" s="1311"/>
      <c r="F5" s="1311"/>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83" t="s">
        <v>217</v>
      </c>
      <c r="E7" s="1284"/>
      <c r="F7" s="1285"/>
      <c r="G7" s="1285"/>
      <c r="H7" s="1308"/>
      <c r="I7" s="1308"/>
      <c r="J7" s="1308"/>
      <c r="K7" s="1308"/>
      <c r="L7" s="1308"/>
      <c r="M7" s="1308"/>
      <c r="N7" s="1308"/>
      <c r="O7" s="1308"/>
      <c r="P7" s="1308"/>
      <c r="Q7" s="1308"/>
      <c r="R7" s="1308"/>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3" t="s">
        <v>1057</v>
      </c>
      <c r="E9" s="1513"/>
      <c r="F9" s="1513"/>
      <c r="G9" s="1083"/>
      <c r="H9" s="1083"/>
      <c r="I9" s="1341" t="s">
        <v>37</v>
      </c>
      <c r="J9" s="1342"/>
      <c r="K9" s="1342"/>
      <c r="L9" s="1342"/>
      <c r="M9" s="1342"/>
      <c r="N9" s="1342"/>
      <c r="O9" s="1342"/>
      <c r="P9" s="1342"/>
      <c r="Q9" s="1342"/>
      <c r="R9" s="1343"/>
      <c r="S9" s="201"/>
      <c r="T9" s="563"/>
      <c r="U9" s="385" t="s">
        <v>760</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60" t="s">
        <v>0</v>
      </c>
      <c r="E14" s="1261"/>
      <c r="F14" s="1261"/>
      <c r="G14" s="1261"/>
      <c r="H14" s="1261"/>
      <c r="I14" s="1261"/>
      <c r="J14" s="1261"/>
      <c r="K14" s="1261"/>
      <c r="L14" s="1261"/>
      <c r="M14" s="1261"/>
      <c r="N14" s="1261"/>
      <c r="O14" s="1261"/>
      <c r="P14" s="1261"/>
      <c r="Q14" s="1261"/>
      <c r="R14" s="1261"/>
      <c r="S14" s="1262"/>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10" t="s">
        <v>0</v>
      </c>
      <c r="E16" s="1511"/>
      <c r="F16" s="1511"/>
      <c r="G16" s="1511"/>
      <c r="H16" s="1511"/>
      <c r="I16" s="1511"/>
      <c r="J16" s="1511"/>
      <c r="K16" s="1511"/>
      <c r="L16" s="1511"/>
      <c r="M16" s="1511"/>
      <c r="N16" s="1511"/>
      <c r="O16" s="1511"/>
      <c r="P16" s="1511"/>
      <c r="Q16" s="1511"/>
      <c r="R16" s="1512"/>
      <c r="S16" s="201"/>
      <c r="T16" s="563"/>
      <c r="U16" s="161"/>
      <c r="V16" s="161"/>
      <c r="W16" s="161"/>
      <c r="X16" s="50"/>
      <c r="Y16" s="50"/>
      <c r="Z16" s="163"/>
    </row>
    <row r="17" spans="1:26" ht="18.75">
      <c r="B17" s="563"/>
      <c r="C17" s="371"/>
      <c r="D17" s="372"/>
      <c r="E17" s="372"/>
      <c r="F17" s="1272">
        <f ca="1">TODAY()</f>
        <v>41780</v>
      </c>
      <c r="G17" s="1272"/>
      <c r="H17" s="1272"/>
      <c r="I17" s="1272"/>
      <c r="J17" s="1272"/>
      <c r="K17" s="1272"/>
      <c r="L17" s="1272"/>
      <c r="M17" s="1272"/>
      <c r="N17" s="1272"/>
      <c r="O17" s="1272"/>
      <c r="P17" s="1272"/>
      <c r="Q17" s="1272"/>
      <c r="R17" s="1272"/>
      <c r="S17" s="1273"/>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73" priority="55" stopIfTrue="1">
      <formula>IF(AND(#REF!="H",#REF!&lt;2),TRUE,)</formula>
    </cfRule>
  </conditionalFormatting>
  <conditionalFormatting sqref="K15">
    <cfRule type="expression" dxfId="172" priority="56" stopIfTrue="1">
      <formula>IF(AND(#REF!="H",#REF!&lt;4),TRUE,)</formula>
    </cfRule>
  </conditionalFormatting>
  <conditionalFormatting sqref="L15">
    <cfRule type="expression" dxfId="171" priority="57" stopIfTrue="1">
      <formula>IF(AND(#REF!="H",#REF!&lt;5),TRUE,)</formula>
    </cfRule>
  </conditionalFormatting>
  <conditionalFormatting sqref="M15 M13">
    <cfRule type="expression" dxfId="170" priority="58" stopIfTrue="1">
      <formula>IF(AND(#REF!="H",#REF!&lt;6),TRUE,)</formula>
    </cfRule>
  </conditionalFormatting>
  <conditionalFormatting sqref="N15 N13">
    <cfRule type="expression" dxfId="169" priority="59" stopIfTrue="1">
      <formula>IF(AND(#REF!="H",#REF!&lt;7),TRUE,)</formula>
    </cfRule>
  </conditionalFormatting>
  <conditionalFormatting sqref="O15 O13">
    <cfRule type="expression" dxfId="168" priority="60" stopIfTrue="1">
      <formula>IF(AND(#REF!="H",#REF!&lt;8),TRUE,)</formula>
    </cfRule>
  </conditionalFormatting>
  <conditionalFormatting sqref="P15 P13">
    <cfRule type="expression" dxfId="167" priority="61" stopIfTrue="1">
      <formula>IF(AND(#REF!="H",#REF!&lt;9),TRUE,)</formula>
    </cfRule>
  </conditionalFormatting>
  <conditionalFormatting sqref="J15 J13">
    <cfRule type="expression" dxfId="166" priority="62" stopIfTrue="1">
      <formula>IF(AND(#REF!="H",#REF!&lt;3),TRUE,)</formula>
    </cfRule>
  </conditionalFormatting>
  <conditionalFormatting sqref="Q15 Q13">
    <cfRule type="expression" dxfId="165" priority="63" stopIfTrue="1">
      <formula>IF(AND(#REF!="H",#REF!&lt;10),TRUE,)</formula>
    </cfRule>
  </conditionalFormatting>
  <conditionalFormatting sqref="H15 H13">
    <cfRule type="expression" dxfId="164"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163" priority="42" stopIfTrue="1">
      <formula>IF(X10&lt;10,TRUE,)</formula>
    </cfRule>
  </conditionalFormatting>
  <conditionalFormatting sqref="I10">
    <cfRule type="expression" dxfId="162" priority="73" stopIfTrue="1">
      <formula>IF(X10&lt;1,TRUE,)</formula>
    </cfRule>
  </conditionalFormatting>
  <conditionalFormatting sqref="J10">
    <cfRule type="expression" dxfId="161" priority="74" stopIfTrue="1">
      <formula>IF(X10&lt;2,TRUE,)</formula>
    </cfRule>
  </conditionalFormatting>
  <conditionalFormatting sqref="L10">
    <cfRule type="expression" dxfId="160" priority="76" stopIfTrue="1">
      <formula>IF(X10&lt;4,TRUE,)</formula>
    </cfRule>
  </conditionalFormatting>
  <conditionalFormatting sqref="M10">
    <cfRule type="expression" dxfId="159" priority="77" stopIfTrue="1">
      <formula>IF(X10&lt;5,TRUE,)</formula>
    </cfRule>
  </conditionalFormatting>
  <conditionalFormatting sqref="N10">
    <cfRule type="expression" dxfId="158" priority="78" stopIfTrue="1">
      <formula>IF(X10&lt;6,TRUE,)</formula>
    </cfRule>
  </conditionalFormatting>
  <conditionalFormatting sqref="O10">
    <cfRule type="expression" dxfId="157" priority="79" stopIfTrue="1">
      <formula>IF(X10&lt;7,TRUE,)</formula>
    </cfRule>
  </conditionalFormatting>
  <conditionalFormatting sqref="P10">
    <cfRule type="expression" dxfId="156" priority="80" stopIfTrue="1">
      <formula>IF(X10&lt;8,TRUE,)</formula>
    </cfRule>
  </conditionalFormatting>
  <conditionalFormatting sqref="Q10">
    <cfRule type="expression" dxfId="155" priority="81" stopIfTrue="1">
      <formula>IF(X10&lt;9,TRUE,)</formula>
    </cfRule>
  </conditionalFormatting>
  <conditionalFormatting sqref="K10">
    <cfRule type="expression" dxfId="154" priority="75" stopIfTrue="1">
      <formula>IF(X10&lt;3,TRUE,)</formula>
    </cfRule>
  </conditionalFormatting>
  <conditionalFormatting sqref="AN3">
    <cfRule type="expression" dxfId="153" priority="40" stopIfTrue="1">
      <formula>IF(AND($AE3="H",$AF3&lt;10),TRUE,)</formula>
    </cfRule>
  </conditionalFormatting>
  <conditionalFormatting sqref="AE3">
    <cfRule type="expression" dxfId="152" priority="39" stopIfTrue="1">
      <formula>IF(AND($AE3="H",$AF3&lt;1),TRUE,)</formula>
    </cfRule>
  </conditionalFormatting>
  <conditionalFormatting sqref="AF3">
    <cfRule type="expression" dxfId="151" priority="38" stopIfTrue="1">
      <formula>IF(AND($AE3="H",$AF3&lt;2),TRUE,)</formula>
    </cfRule>
  </conditionalFormatting>
  <conditionalFormatting sqref="AH3">
    <cfRule type="expression" dxfId="150" priority="36" stopIfTrue="1">
      <formula>IF(AND($AE3="H",$AF3&lt;4),TRUE,)</formula>
    </cfRule>
  </conditionalFormatting>
  <conditionalFormatting sqref="AI3">
    <cfRule type="expression" dxfId="149" priority="35" stopIfTrue="1">
      <formula>IF(AND($AE3="H",$AF3&lt;5),TRUE,)</formula>
    </cfRule>
  </conditionalFormatting>
  <conditionalFormatting sqref="AJ3">
    <cfRule type="expression" dxfId="148" priority="34" stopIfTrue="1">
      <formula>IF(AND($AE3="H",$AF3&lt;6),TRUE,)</formula>
    </cfRule>
  </conditionalFormatting>
  <conditionalFormatting sqref="AK3">
    <cfRule type="expression" dxfId="147" priority="33" stopIfTrue="1">
      <formula>IF(AND($AE3="H",$AF3&lt;7),TRUE,)</formula>
    </cfRule>
  </conditionalFormatting>
  <conditionalFormatting sqref="AL3">
    <cfRule type="expression" dxfId="146" priority="32" stopIfTrue="1">
      <formula>IF(AND($AE3="H",$AF3&lt;8),TRUE,)</formula>
    </cfRule>
  </conditionalFormatting>
  <conditionalFormatting sqref="AM3">
    <cfRule type="expression" dxfId="145" priority="31" stopIfTrue="1">
      <formula>IF(AND($AE3="H",$AF3&lt;9),TRUE,)</formula>
    </cfRule>
  </conditionalFormatting>
  <conditionalFormatting sqref="AG3">
    <cfRule type="expression" dxfId="144" priority="37" stopIfTrue="1">
      <formula>IF(AND($AE3="H",$AF3&lt;3),TRUE,)</formula>
    </cfRule>
  </conditionalFormatting>
  <conditionalFormatting sqref="Q16">
    <cfRule type="expression" dxfId="143" priority="83" stopIfTrue="1">
      <formula>IF(AND(#REF!="H",$X15&lt;10),TRUE,)</formula>
    </cfRule>
  </conditionalFormatting>
  <conditionalFormatting sqref="H16">
    <cfRule type="expression" dxfId="142" priority="84" stopIfTrue="1">
      <formula>IF(AND(#REF!="H",$X15&lt;1),TRUE,)</formula>
    </cfRule>
  </conditionalFormatting>
  <conditionalFormatting sqref="I16">
    <cfRule type="expression" dxfId="141" priority="85" stopIfTrue="1">
      <formula>IF(AND(#REF!="H",$X15&lt;2),TRUE,)</formula>
    </cfRule>
  </conditionalFormatting>
  <conditionalFormatting sqref="K16">
    <cfRule type="expression" dxfId="140" priority="86" stopIfTrue="1">
      <formula>IF(AND(#REF!="H",$X15&lt;4),TRUE,)</formula>
    </cfRule>
  </conditionalFormatting>
  <conditionalFormatting sqref="L16">
    <cfRule type="expression" dxfId="139" priority="87" stopIfTrue="1">
      <formula>IF(AND(#REF!="H",$X15&lt;5),TRUE,)</formula>
    </cfRule>
  </conditionalFormatting>
  <conditionalFormatting sqref="M16">
    <cfRule type="expression" dxfId="138" priority="88" stopIfTrue="1">
      <formula>IF(AND(#REF!="H",$X15&lt;6),TRUE,)</formula>
    </cfRule>
  </conditionalFormatting>
  <conditionalFormatting sqref="N16">
    <cfRule type="expression" dxfId="137" priority="89" stopIfTrue="1">
      <formula>IF(AND(#REF!="H",$X15&lt;7),TRUE,)</formula>
    </cfRule>
  </conditionalFormatting>
  <conditionalFormatting sqref="O16">
    <cfRule type="expression" dxfId="136" priority="90" stopIfTrue="1">
      <formula>IF(AND(#REF!="H",$X15&lt;8),TRUE,)</formula>
    </cfRule>
  </conditionalFormatting>
  <conditionalFormatting sqref="P16">
    <cfRule type="expression" dxfId="135" priority="91" stopIfTrue="1">
      <formula>IF(AND(#REF!="H",$X15&lt;9),TRUE,)</formula>
    </cfRule>
  </conditionalFormatting>
  <conditionalFormatting sqref="J16">
    <cfRule type="expression" dxfId="134" priority="92" stopIfTrue="1">
      <formula>IF(AND(#REF!="H",$X15&lt;3),TRUE,)</formula>
    </cfRule>
  </conditionalFormatting>
  <conditionalFormatting sqref="I13">
    <cfRule type="expression" dxfId="133" priority="30" stopIfTrue="1">
      <formula>IF(AND(#REF!="H",#REF!&lt;2),TRUE,)</formula>
    </cfRule>
  </conditionalFormatting>
  <conditionalFormatting sqref="K13">
    <cfRule type="expression" dxfId="132" priority="29" stopIfTrue="1">
      <formula>IF(AND(#REF!="H",#REF!&lt;4),TRUE,)</formula>
    </cfRule>
  </conditionalFormatting>
  <conditionalFormatting sqref="L13">
    <cfRule type="expression" dxfId="131"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zoomScale="80" zoomScaleNormal="80" workbookViewId="0">
      <selection activeCell="I6" sqref="I6:R6"/>
    </sheetView>
  </sheetViews>
  <sheetFormatPr defaultColWidth="9"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6" t="str">
        <f>C.2Name</f>
        <v>Oregon State Implementation Plan revision for PM2.5 National Ambient Air Quality Standards</v>
      </c>
      <c r="G2" s="1496"/>
      <c r="H2" s="1496"/>
      <c r="I2" s="1496"/>
      <c r="J2" s="1496"/>
      <c r="K2" s="1496"/>
      <c r="L2" s="1496"/>
      <c r="M2" s="1496"/>
      <c r="N2" s="1496"/>
      <c r="O2" s="1496"/>
      <c r="P2" s="1496"/>
      <c r="Q2" s="1496"/>
      <c r="R2" s="1496"/>
      <c r="S2" s="200"/>
      <c r="T2" s="563"/>
      <c r="U2" s="424" t="s">
        <v>0</v>
      </c>
      <c r="V2" s="424"/>
      <c r="W2" s="424"/>
      <c r="X2" s="68" t="s">
        <v>0</v>
      </c>
      <c r="Y2" s="68"/>
      <c r="Z2" s="176"/>
    </row>
    <row r="3" spans="1:43" ht="37.5" customHeight="1" thickTop="1">
      <c r="B3" s="563"/>
      <c r="C3" s="202"/>
      <c r="D3" s="1518" t="s">
        <v>398</v>
      </c>
      <c r="E3" s="1518"/>
      <c r="F3" s="1518"/>
      <c r="G3" s="1518"/>
      <c r="H3" s="641"/>
      <c r="I3" s="641"/>
      <c r="J3" s="641"/>
      <c r="K3" s="641"/>
      <c r="L3" s="641"/>
      <c r="M3" s="641"/>
      <c r="N3" s="641"/>
      <c r="O3" s="641"/>
      <c r="P3" s="641"/>
      <c r="Q3" s="641"/>
      <c r="R3" s="641"/>
      <c r="S3" s="771"/>
      <c r="T3" s="563"/>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5.75" customHeight="1">
      <c r="A4" s="379"/>
      <c r="B4" s="563"/>
      <c r="C4" s="202"/>
      <c r="D4" s="1514" t="s">
        <v>1066</v>
      </c>
      <c r="E4" s="1515"/>
      <c r="F4" s="1515"/>
      <c r="G4" s="1515"/>
      <c r="H4" s="1515"/>
      <c r="I4" s="1515"/>
      <c r="J4" s="1515"/>
      <c r="K4" s="1515"/>
      <c r="L4" s="1515"/>
      <c r="M4" s="1515"/>
      <c r="N4" s="1515"/>
      <c r="O4" s="1515"/>
      <c r="P4" s="1515"/>
      <c r="Q4" s="1515"/>
      <c r="R4" s="1516"/>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7" t="s">
        <v>403</v>
      </c>
      <c r="E6" s="1517"/>
      <c r="F6" s="1517"/>
      <c r="G6" s="1018"/>
      <c r="H6" s="1020"/>
      <c r="I6" s="1341" t="s">
        <v>37</v>
      </c>
      <c r="J6" s="1342"/>
      <c r="K6" s="1342"/>
      <c r="L6" s="1342"/>
      <c r="M6" s="1342"/>
      <c r="N6" s="1342"/>
      <c r="O6" s="1342"/>
      <c r="P6" s="1342"/>
      <c r="Q6" s="1342"/>
      <c r="R6" s="1343"/>
      <c r="S6" s="201"/>
      <c r="T6" s="563"/>
      <c r="U6" s="385" t="s">
        <v>760</v>
      </c>
      <c r="V6" s="313"/>
      <c r="W6" s="161"/>
      <c r="X6" s="147"/>
      <c r="Y6" s="147"/>
    </row>
    <row r="7" spans="1:43" ht="16.5">
      <c r="B7" s="563"/>
      <c r="C7" s="202"/>
      <c r="D7" s="1517"/>
      <c r="E7" s="1517"/>
      <c r="F7" s="1517"/>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7"/>
      <c r="E8" s="1517"/>
      <c r="F8" s="1517"/>
      <c r="G8" s="690"/>
      <c r="H8" s="216"/>
      <c r="I8" s="216"/>
      <c r="J8" s="216"/>
      <c r="K8" s="216"/>
      <c r="L8" s="216"/>
      <c r="M8" s="216"/>
      <c r="N8" s="216"/>
      <c r="O8" s="216"/>
      <c r="P8" s="216"/>
      <c r="Q8" s="216"/>
      <c r="R8" s="216"/>
      <c r="S8" s="154"/>
      <c r="T8" s="563"/>
      <c r="U8" s="313" t="s">
        <v>761</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8" t="s">
        <v>0</v>
      </c>
      <c r="E13" s="1449"/>
      <c r="F13" s="1449"/>
      <c r="G13" s="1449"/>
      <c r="H13" s="1449"/>
      <c r="I13" s="1449"/>
      <c r="J13" s="1449"/>
      <c r="K13" s="1449"/>
      <c r="L13" s="1449"/>
      <c r="M13" s="1449"/>
      <c r="N13" s="1449"/>
      <c r="O13" s="1449"/>
      <c r="P13" s="1449"/>
      <c r="Q13" s="1449"/>
      <c r="R13" s="1450"/>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6" t="s">
        <v>0</v>
      </c>
      <c r="E15" s="1357"/>
      <c r="F15" s="1357"/>
      <c r="G15" s="1357"/>
      <c r="H15" s="1357"/>
      <c r="I15" s="1357"/>
      <c r="J15" s="1357"/>
      <c r="K15" s="1357"/>
      <c r="L15" s="1357"/>
      <c r="M15" s="1357"/>
      <c r="N15" s="1357"/>
      <c r="O15" s="1357"/>
      <c r="P15" s="1357"/>
      <c r="Q15" s="1357"/>
      <c r="R15" s="1358"/>
      <c r="S15" s="201"/>
      <c r="T15" s="563"/>
      <c r="U15" s="161"/>
      <c r="V15" s="161"/>
      <c r="W15" s="161"/>
      <c r="X15" s="50"/>
      <c r="Y15" s="50"/>
      <c r="Z15" s="163"/>
    </row>
    <row r="16" spans="1:43" ht="18.75">
      <c r="B16" s="563"/>
      <c r="C16" s="371"/>
      <c r="D16" s="372"/>
      <c r="E16" s="372"/>
      <c r="F16" s="1272">
        <f ca="1">TODAY()</f>
        <v>41780</v>
      </c>
      <c r="G16" s="1272"/>
      <c r="H16" s="1272"/>
      <c r="I16" s="1272"/>
      <c r="J16" s="1272"/>
      <c r="K16" s="1272"/>
      <c r="L16" s="1272"/>
      <c r="M16" s="1272"/>
      <c r="N16" s="1272"/>
      <c r="O16" s="1272"/>
      <c r="P16" s="1272"/>
      <c r="Q16" s="1272"/>
      <c r="R16" s="1272"/>
      <c r="S16" s="1273"/>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130" priority="25" stopIfTrue="1">
      <formula>IF(AND(#REF!="H",#REF!&lt;2),TRUE,)</formula>
    </cfRule>
  </conditionalFormatting>
  <conditionalFormatting sqref="K14 K12">
    <cfRule type="expression" dxfId="129" priority="26" stopIfTrue="1">
      <formula>IF(AND(#REF!="H",#REF!&lt;4),TRUE,)</formula>
    </cfRule>
  </conditionalFormatting>
  <conditionalFormatting sqref="L14 L12">
    <cfRule type="expression" dxfId="128" priority="27" stopIfTrue="1">
      <formula>IF(AND(#REF!="H",#REF!&lt;5),TRUE,)</formula>
    </cfRule>
  </conditionalFormatting>
  <conditionalFormatting sqref="M14 M12">
    <cfRule type="expression" dxfId="127" priority="28" stopIfTrue="1">
      <formula>IF(AND(#REF!="H",#REF!&lt;6),TRUE,)</formula>
    </cfRule>
  </conditionalFormatting>
  <conditionalFormatting sqref="N14 N12">
    <cfRule type="expression" dxfId="126" priority="29" stopIfTrue="1">
      <formula>IF(AND(#REF!="H",#REF!&lt;7),TRUE,)</formula>
    </cfRule>
  </conditionalFormatting>
  <conditionalFormatting sqref="O14 O12">
    <cfRule type="expression" dxfId="125" priority="30" stopIfTrue="1">
      <formula>IF(AND(#REF!="H",#REF!&lt;8),TRUE,)</formula>
    </cfRule>
  </conditionalFormatting>
  <conditionalFormatting sqref="P14 P12">
    <cfRule type="expression" dxfId="124" priority="31" stopIfTrue="1">
      <formula>IF(AND(#REF!="H",#REF!&lt;9),TRUE,)</formula>
    </cfRule>
  </conditionalFormatting>
  <conditionalFormatting sqref="J14 J12">
    <cfRule type="expression" dxfId="123" priority="32" stopIfTrue="1">
      <formula>IF(AND(#REF!="H",#REF!&lt;3),TRUE,)</formula>
    </cfRule>
  </conditionalFormatting>
  <conditionalFormatting sqref="Q14 Q12">
    <cfRule type="expression" dxfId="122" priority="33" stopIfTrue="1">
      <formula>IF(AND(#REF!="H",#REF!&lt;10),TRUE,)</formula>
    </cfRule>
  </conditionalFormatting>
  <conditionalFormatting sqref="H14 H12">
    <cfRule type="expression" dxfId="121"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120" priority="42" stopIfTrue="1">
      <formula>IF(X7&lt;10,TRUE,)</formula>
    </cfRule>
  </conditionalFormatting>
  <conditionalFormatting sqref="I7">
    <cfRule type="expression" dxfId="119" priority="73" stopIfTrue="1">
      <formula>IF(X7&lt;1,TRUE,)</formula>
    </cfRule>
  </conditionalFormatting>
  <conditionalFormatting sqref="J7">
    <cfRule type="expression" dxfId="118" priority="74" stopIfTrue="1">
      <formula>IF(X7&lt;2,TRUE,)</formula>
    </cfRule>
  </conditionalFormatting>
  <conditionalFormatting sqref="L7">
    <cfRule type="expression" dxfId="117" priority="76" stopIfTrue="1">
      <formula>IF(X7&lt;4,TRUE,)</formula>
    </cfRule>
  </conditionalFormatting>
  <conditionalFormatting sqref="M7">
    <cfRule type="expression" dxfId="116" priority="77" stopIfTrue="1">
      <formula>IF(X7&lt;5,TRUE,)</formula>
    </cfRule>
  </conditionalFormatting>
  <conditionalFormatting sqref="N7">
    <cfRule type="expression" dxfId="115" priority="78" stopIfTrue="1">
      <formula>IF(X7&lt;6,TRUE,)</formula>
    </cfRule>
  </conditionalFormatting>
  <conditionalFormatting sqref="O7">
    <cfRule type="expression" dxfId="114" priority="79" stopIfTrue="1">
      <formula>IF(X7&lt;7,TRUE,)</formula>
    </cfRule>
  </conditionalFormatting>
  <conditionalFormatting sqref="P7">
    <cfRule type="expression" dxfId="113" priority="80" stopIfTrue="1">
      <formula>IF(X7&lt;8,TRUE,)</formula>
    </cfRule>
  </conditionalFormatting>
  <conditionalFormatting sqref="Q7">
    <cfRule type="expression" dxfId="112" priority="81" stopIfTrue="1">
      <formula>IF(X7&lt;9,TRUE,)</formula>
    </cfRule>
  </conditionalFormatting>
  <conditionalFormatting sqref="K7">
    <cfRule type="expression" dxfId="111" priority="75" stopIfTrue="1">
      <formula>IF(X7&lt;3,TRUE,)</formula>
    </cfRule>
  </conditionalFormatting>
  <conditionalFormatting sqref="AN3">
    <cfRule type="expression" dxfId="110" priority="40" stopIfTrue="1">
      <formula>IF(AND($AE3="H",$AF3&lt;10),TRUE,)</formula>
    </cfRule>
  </conditionalFormatting>
  <conditionalFormatting sqref="AE3">
    <cfRule type="expression" dxfId="109" priority="39" stopIfTrue="1">
      <formula>IF(AND($AE3="H",$AF3&lt;1),TRUE,)</formula>
    </cfRule>
  </conditionalFormatting>
  <conditionalFormatting sqref="AF3">
    <cfRule type="expression" dxfId="108" priority="38" stopIfTrue="1">
      <formula>IF(AND($AE3="H",$AF3&lt;2),TRUE,)</formula>
    </cfRule>
  </conditionalFormatting>
  <conditionalFormatting sqref="AH3">
    <cfRule type="expression" dxfId="107" priority="36" stopIfTrue="1">
      <formula>IF(AND($AE3="H",$AF3&lt;4),TRUE,)</formula>
    </cfRule>
  </conditionalFormatting>
  <conditionalFormatting sqref="AI3">
    <cfRule type="expression" dxfId="106" priority="35" stopIfTrue="1">
      <formula>IF(AND($AE3="H",$AF3&lt;5),TRUE,)</formula>
    </cfRule>
  </conditionalFormatting>
  <conditionalFormatting sqref="AJ3">
    <cfRule type="expression" dxfId="105" priority="34" stopIfTrue="1">
      <formula>IF(AND($AE3="H",$AF3&lt;6),TRUE,)</formula>
    </cfRule>
  </conditionalFormatting>
  <conditionalFormatting sqref="AK3">
    <cfRule type="expression" dxfId="104" priority="33" stopIfTrue="1">
      <formula>IF(AND($AE3="H",$AF3&lt;7),TRUE,)</formula>
    </cfRule>
  </conditionalFormatting>
  <conditionalFormatting sqref="AL3">
    <cfRule type="expression" dxfId="103" priority="32" stopIfTrue="1">
      <formula>IF(AND($AE3="H",$AF3&lt;8),TRUE,)</formula>
    </cfRule>
  </conditionalFormatting>
  <conditionalFormatting sqref="AM3">
    <cfRule type="expression" dxfId="102" priority="31" stopIfTrue="1">
      <formula>IF(AND($AE3="H",$AF3&lt;9),TRUE,)</formula>
    </cfRule>
  </conditionalFormatting>
  <conditionalFormatting sqref="AG3">
    <cfRule type="expression" dxfId="101" priority="37" stopIfTrue="1">
      <formula>IF(AND($AE3="H",$AF3&lt;3),TRUE,)</formula>
    </cfRule>
  </conditionalFormatting>
  <conditionalFormatting sqref="Q15">
    <cfRule type="expression" dxfId="100" priority="20" stopIfTrue="1">
      <formula>IF(AND(#REF!="H",$X14&lt;10),TRUE,)</formula>
    </cfRule>
  </conditionalFormatting>
  <conditionalFormatting sqref="H15">
    <cfRule type="expression" dxfId="99" priority="19" stopIfTrue="1">
      <formula>IF(AND(#REF!="H",$X14&lt;1),TRUE,)</formula>
    </cfRule>
  </conditionalFormatting>
  <conditionalFormatting sqref="I15">
    <cfRule type="expression" dxfId="98" priority="18" stopIfTrue="1">
      <formula>IF(AND(#REF!="H",$X14&lt;2),TRUE,)</formula>
    </cfRule>
  </conditionalFormatting>
  <conditionalFormatting sqref="K15">
    <cfRule type="expression" dxfId="97" priority="17" stopIfTrue="1">
      <formula>IF(AND(#REF!="H",$X14&lt;4),TRUE,)</formula>
    </cfRule>
  </conditionalFormatting>
  <conditionalFormatting sqref="L15">
    <cfRule type="expression" dxfId="96" priority="16" stopIfTrue="1">
      <formula>IF(AND(#REF!="H",$X14&lt;5),TRUE,)</formula>
    </cfRule>
  </conditionalFormatting>
  <conditionalFormatting sqref="M15">
    <cfRule type="expression" dxfId="95" priority="15" stopIfTrue="1">
      <formula>IF(AND(#REF!="H",$X14&lt;6),TRUE,)</formula>
    </cfRule>
  </conditionalFormatting>
  <conditionalFormatting sqref="N15">
    <cfRule type="expression" dxfId="94" priority="14" stopIfTrue="1">
      <formula>IF(AND(#REF!="H",$X14&lt;7),TRUE,)</formula>
    </cfRule>
  </conditionalFormatting>
  <conditionalFormatting sqref="O15">
    <cfRule type="expression" dxfId="93" priority="13" stopIfTrue="1">
      <formula>IF(AND(#REF!="H",$X14&lt;8),TRUE,)</formula>
    </cfRule>
  </conditionalFormatting>
  <conditionalFormatting sqref="P15">
    <cfRule type="expression" dxfId="92" priority="12" stopIfTrue="1">
      <formula>IF(AND(#REF!="H",$X14&lt;9),TRUE,)</formula>
    </cfRule>
  </conditionalFormatting>
  <conditionalFormatting sqref="J15">
    <cfRule type="expression" dxfId="91"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zoomScale="80" zoomScaleNormal="80" workbookViewId="0">
      <selection activeCell="I6" sqref="I6:R6"/>
    </sheetView>
  </sheetViews>
  <sheetFormatPr defaultColWidth="9"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20" t="s">
        <v>329</v>
      </c>
      <c r="E2" s="1520"/>
      <c r="F2" s="1496" t="str">
        <f>C.2Name</f>
        <v>Oregon State Implementation Plan revision for PM2.5 National Ambient Air Quality Standards</v>
      </c>
      <c r="G2" s="1496"/>
      <c r="H2" s="1496"/>
      <c r="I2" s="1496"/>
      <c r="J2" s="1496"/>
      <c r="K2" s="1496"/>
      <c r="L2" s="1496"/>
      <c r="M2" s="1496"/>
      <c r="N2" s="1496"/>
      <c r="O2" s="1496"/>
      <c r="P2" s="1496"/>
      <c r="Q2" s="1496"/>
      <c r="R2" s="1496"/>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9" t="s">
        <v>1071</v>
      </c>
      <c r="E4" s="1519"/>
      <c r="F4" s="1519"/>
      <c r="G4" s="1519"/>
      <c r="H4" s="1519"/>
      <c r="I4" s="1519"/>
      <c r="J4" s="1519"/>
      <c r="K4" s="1519"/>
      <c r="L4" s="1519"/>
      <c r="M4" s="1519"/>
      <c r="N4" s="1519"/>
      <c r="O4" s="1519"/>
      <c r="P4" s="1519"/>
      <c r="Q4" s="1519"/>
      <c r="R4" s="1519"/>
      <c r="S4" s="771"/>
      <c r="T4" s="563"/>
      <c r="U4" s="1505" t="s">
        <v>0</v>
      </c>
      <c r="V4" s="1505"/>
      <c r="W4" s="1505"/>
      <c r="X4" s="406"/>
      <c r="Y4" s="407" t="s">
        <v>0</v>
      </c>
      <c r="Z4" s="405"/>
      <c r="AA4" s="405"/>
      <c r="AB4" s="405"/>
      <c r="AC4" s="405"/>
      <c r="AD4" s="143"/>
      <c r="AE4" s="143"/>
      <c r="AF4" s="1506" t="s">
        <v>0</v>
      </c>
      <c r="AG4" s="1506"/>
      <c r="AH4" s="1506"/>
      <c r="AI4" s="1506"/>
      <c r="AJ4" s="1506"/>
      <c r="AK4" s="1506"/>
      <c r="AL4" s="1506"/>
      <c r="AM4" s="1506"/>
      <c r="AN4" s="1506"/>
      <c r="AO4" s="1506"/>
      <c r="AP4" s="1506"/>
      <c r="AQ4" s="1506"/>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41" t="s">
        <v>37</v>
      </c>
      <c r="J6" s="1342"/>
      <c r="K6" s="1342"/>
      <c r="L6" s="1342"/>
      <c r="M6" s="1342"/>
      <c r="N6" s="1342"/>
      <c r="O6" s="1342"/>
      <c r="P6" s="1342"/>
      <c r="Q6" s="1342"/>
      <c r="R6" s="1343"/>
      <c r="S6" s="201"/>
      <c r="T6" s="563"/>
      <c r="U6" s="385" t="s">
        <v>760</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60" t="s">
        <v>0</v>
      </c>
      <c r="E12" s="1261"/>
      <c r="F12" s="1261"/>
      <c r="G12" s="1261"/>
      <c r="H12" s="1261"/>
      <c r="I12" s="1261"/>
      <c r="J12" s="1261"/>
      <c r="K12" s="1261"/>
      <c r="L12" s="1261"/>
      <c r="M12" s="1261"/>
      <c r="N12" s="1261"/>
      <c r="O12" s="1261"/>
      <c r="P12" s="1261"/>
      <c r="Q12" s="1261"/>
      <c r="R12" s="1262"/>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6" t="s">
        <v>0</v>
      </c>
      <c r="E14" s="1357"/>
      <c r="F14" s="1357"/>
      <c r="G14" s="1357"/>
      <c r="H14" s="1357"/>
      <c r="I14" s="1357"/>
      <c r="J14" s="1357"/>
      <c r="K14" s="1357"/>
      <c r="L14" s="1357"/>
      <c r="M14" s="1357"/>
      <c r="N14" s="1357"/>
      <c r="O14" s="1357"/>
      <c r="P14" s="1357"/>
      <c r="Q14" s="1357"/>
      <c r="R14" s="1358"/>
      <c r="S14" s="201"/>
      <c r="T14" s="563"/>
      <c r="U14" s="161"/>
      <c r="V14" s="161"/>
      <c r="W14" s="161"/>
      <c r="X14" s="146"/>
      <c r="Y14" s="146"/>
      <c r="Z14" s="163"/>
    </row>
    <row r="15" spans="1:43" ht="31.5" customHeight="1">
      <c r="A15" s="1078" t="s">
        <v>251</v>
      </c>
      <c r="B15" s="563"/>
      <c r="C15" s="371"/>
      <c r="D15" s="372"/>
      <c r="E15" s="372"/>
      <c r="F15" s="1272">
        <f ca="1">TODAY()</f>
        <v>41780</v>
      </c>
      <c r="G15" s="1272"/>
      <c r="H15" s="1272"/>
      <c r="I15" s="1272"/>
      <c r="J15" s="1272"/>
      <c r="K15" s="1272"/>
      <c r="L15" s="1272"/>
      <c r="M15" s="1272"/>
      <c r="N15" s="1272"/>
      <c r="O15" s="1272"/>
      <c r="P15" s="1272"/>
      <c r="Q15" s="1272"/>
      <c r="R15" s="1272"/>
      <c r="S15" s="1273"/>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90" priority="43" stopIfTrue="1">
      <formula>IF(X7&lt;10,TRUE,)</formula>
    </cfRule>
  </conditionalFormatting>
  <conditionalFormatting sqref="I7">
    <cfRule type="expression" dxfId="89" priority="74" stopIfTrue="1">
      <formula>IF(X7&lt;1,TRUE,)</formula>
    </cfRule>
  </conditionalFormatting>
  <conditionalFormatting sqref="J7">
    <cfRule type="expression" dxfId="88" priority="75" stopIfTrue="1">
      <formula>IF(X7&lt;2,TRUE,)</formula>
    </cfRule>
  </conditionalFormatting>
  <conditionalFormatting sqref="L7">
    <cfRule type="expression" dxfId="87" priority="77" stopIfTrue="1">
      <formula>IF(X7&lt;4,TRUE,)</formula>
    </cfRule>
  </conditionalFormatting>
  <conditionalFormatting sqref="M7">
    <cfRule type="expression" dxfId="86" priority="78" stopIfTrue="1">
      <formula>IF(X7&lt;5,TRUE,)</formula>
    </cfRule>
  </conditionalFormatting>
  <conditionalFormatting sqref="N7">
    <cfRule type="expression" dxfId="85" priority="79" stopIfTrue="1">
      <formula>IF(X7&lt;6,TRUE,)</formula>
    </cfRule>
  </conditionalFormatting>
  <conditionalFormatting sqref="O7">
    <cfRule type="expression" dxfId="84" priority="80" stopIfTrue="1">
      <formula>IF(X7&lt;7,TRUE,)</formula>
    </cfRule>
  </conditionalFormatting>
  <conditionalFormatting sqref="P7">
    <cfRule type="expression" dxfId="83" priority="81" stopIfTrue="1">
      <formula>IF(X7&lt;8,TRUE,)</formula>
    </cfRule>
  </conditionalFormatting>
  <conditionalFormatting sqref="Q7">
    <cfRule type="expression" dxfId="82" priority="82" stopIfTrue="1">
      <formula>IF(X7&lt;9,TRUE,)</formula>
    </cfRule>
  </conditionalFormatting>
  <conditionalFormatting sqref="K7">
    <cfRule type="expression" dxfId="81" priority="76" stopIfTrue="1">
      <formula>IF(X7&lt;3,TRUE,)</formula>
    </cfRule>
  </conditionalFormatting>
  <conditionalFormatting sqref="AN4:AN5">
    <cfRule type="expression" dxfId="80" priority="20" stopIfTrue="1">
      <formula>IF(AND($AE4="H",$AF4&lt;10),TRUE,)</formula>
    </cfRule>
  </conditionalFormatting>
  <conditionalFormatting sqref="AE4:AE5">
    <cfRule type="expression" dxfId="79" priority="19" stopIfTrue="1">
      <formula>IF(AND($AE4="H",$AF4&lt;1),TRUE,)</formula>
    </cfRule>
  </conditionalFormatting>
  <conditionalFormatting sqref="AF4:AF5">
    <cfRule type="expression" dxfId="78" priority="18" stopIfTrue="1">
      <formula>IF(AND($AE4="H",$AF4&lt;2),TRUE,)</formula>
    </cfRule>
  </conditionalFormatting>
  <conditionalFormatting sqref="AH4:AH5">
    <cfRule type="expression" dxfId="77" priority="17" stopIfTrue="1">
      <formula>IF(AND($AE4="H",$AF4&lt;4),TRUE,)</formula>
    </cfRule>
  </conditionalFormatting>
  <conditionalFormatting sqref="AI4:AI5">
    <cfRule type="expression" dxfId="76" priority="16" stopIfTrue="1">
      <formula>IF(AND($AE4="H",$AF4&lt;5),TRUE,)</formula>
    </cfRule>
  </conditionalFormatting>
  <conditionalFormatting sqref="AJ4:AJ5">
    <cfRule type="expression" dxfId="75" priority="15" stopIfTrue="1">
      <formula>IF(AND($AE4="H",$AF4&lt;6),TRUE,)</formula>
    </cfRule>
  </conditionalFormatting>
  <conditionalFormatting sqref="AK4:AK5">
    <cfRule type="expression" dxfId="74" priority="14" stopIfTrue="1">
      <formula>IF(AND($AE4="H",$AF4&lt;7),TRUE,)</formula>
    </cfRule>
  </conditionalFormatting>
  <conditionalFormatting sqref="AL4:AL5">
    <cfRule type="expression" dxfId="73" priority="13" stopIfTrue="1">
      <formula>IF(AND($AE4="H",$AF4&lt;8),TRUE,)</formula>
    </cfRule>
  </conditionalFormatting>
  <conditionalFormatting sqref="AM4:AM5">
    <cfRule type="expression" dxfId="72" priority="12" stopIfTrue="1">
      <formula>IF(AND($AE4="H",$AF4&lt;9),TRUE,)</formula>
    </cfRule>
  </conditionalFormatting>
  <conditionalFormatting sqref="AG4:AG5">
    <cfRule type="expression" dxfId="71"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1" t="s">
        <v>551</v>
      </c>
      <c r="B1" s="1151"/>
      <c r="C1" s="1151"/>
      <c r="D1" s="1151"/>
      <c r="E1" s="1151"/>
      <c r="F1" s="1151"/>
      <c r="G1" s="1151"/>
      <c r="H1" s="1076"/>
      <c r="I1" s="1150" t="s">
        <v>550</v>
      </c>
      <c r="J1" s="1150"/>
      <c r="K1" s="1150"/>
      <c r="L1" s="1150"/>
      <c r="M1" s="1150"/>
      <c r="N1" s="1150"/>
      <c r="O1" s="1150"/>
      <c r="P1" s="1150"/>
      <c r="Q1" s="1150"/>
      <c r="R1" s="1150"/>
      <c r="S1" s="1150"/>
      <c r="T1" s="1150"/>
      <c r="U1" s="1150"/>
      <c r="V1" s="1150"/>
      <c r="W1" s="1150"/>
      <c r="X1" s="1150"/>
      <c r="Y1" s="1150"/>
      <c r="Z1" s="1150"/>
      <c r="AA1" s="1150"/>
      <c r="AB1" s="1150"/>
      <c r="AC1" s="1150"/>
      <c r="AD1" s="1150"/>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8.5">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8.5">
      <c r="A5" s="1066">
        <v>1</v>
      </c>
      <c r="B5" s="1067">
        <v>3</v>
      </c>
      <c r="C5" s="1068">
        <v>41148</v>
      </c>
      <c r="D5" s="1064" t="s">
        <v>583</v>
      </c>
      <c r="E5" s="1064" t="s">
        <v>584</v>
      </c>
      <c r="F5" s="1065" t="s">
        <v>585</v>
      </c>
      <c r="G5" s="1075" t="s">
        <v>589</v>
      </c>
      <c r="H5" s="1075" t="s">
        <v>590</v>
      </c>
      <c r="I5" s="1068">
        <f>Table1[[#This Row],[Date]]</f>
        <v>41148</v>
      </c>
      <c r="J5" s="46"/>
      <c r="K5" s="46"/>
    </row>
    <row r="6" spans="1:34" ht="28.5">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8.5">
      <c r="A9" s="1066">
        <v>1</v>
      </c>
      <c r="B9" s="1067">
        <v>7</v>
      </c>
      <c r="C9" s="1068">
        <v>41148</v>
      </c>
      <c r="D9" s="1064" t="s">
        <v>583</v>
      </c>
      <c r="E9" s="1064" t="s">
        <v>367</v>
      </c>
      <c r="F9" s="1065" t="s">
        <v>591</v>
      </c>
      <c r="G9" s="1075" t="s">
        <v>589</v>
      </c>
      <c r="H9" s="1075" t="s">
        <v>590</v>
      </c>
      <c r="I9" s="1068">
        <f>Table1[[#This Row],[Date]]</f>
        <v>41148</v>
      </c>
      <c r="J9" s="46"/>
      <c r="K9" s="46"/>
    </row>
    <row r="10" spans="1:34" ht="28.5">
      <c r="A10" s="1066">
        <v>1</v>
      </c>
      <c r="B10" s="1067">
        <v>8</v>
      </c>
      <c r="C10" s="1068">
        <v>41148</v>
      </c>
      <c r="D10" s="1064" t="s">
        <v>583</v>
      </c>
      <c r="E10" s="1064" t="s">
        <v>367</v>
      </c>
      <c r="F10" s="1065" t="s">
        <v>585</v>
      </c>
      <c r="G10" s="1075" t="s">
        <v>589</v>
      </c>
      <c r="H10" s="1075" t="s">
        <v>590</v>
      </c>
      <c r="I10" s="1068">
        <f>Table1[[#This Row],[Date]]</f>
        <v>41148</v>
      </c>
      <c r="J10" s="46"/>
      <c r="K10" s="46"/>
    </row>
    <row r="11" spans="1:34" ht="28.5">
      <c r="A11" s="1066">
        <v>1</v>
      </c>
      <c r="B11" s="1067">
        <v>9</v>
      </c>
      <c r="C11" s="1068">
        <v>41148</v>
      </c>
      <c r="D11" s="1064" t="s">
        <v>583</v>
      </c>
      <c r="E11" s="1064" t="s">
        <v>368</v>
      </c>
      <c r="F11" s="1065" t="s">
        <v>585</v>
      </c>
      <c r="G11" s="1075" t="s">
        <v>589</v>
      </c>
      <c r="H11" s="1075" t="s">
        <v>590</v>
      </c>
      <c r="I11" s="1068">
        <f>Table1[[#This Row],[Date]]</f>
        <v>41148</v>
      </c>
      <c r="J11" s="46"/>
      <c r="K11" s="46"/>
    </row>
    <row r="12" spans="1:34" ht="28.5">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ht="28.5">
      <c r="B30" s="1067">
        <v>28</v>
      </c>
      <c r="C30" s="1068">
        <v>41148</v>
      </c>
      <c r="D30" s="1064" t="s">
        <v>583</v>
      </c>
      <c r="E30" s="1064" t="s">
        <v>368</v>
      </c>
      <c r="F30" s="1065" t="s">
        <v>616</v>
      </c>
      <c r="G30" s="1075" t="s">
        <v>617</v>
      </c>
      <c r="H30" s="1075" t="s">
        <v>618</v>
      </c>
      <c r="I30" s="1068">
        <f>Table1[[#This Row],[Date]]</f>
        <v>41148</v>
      </c>
      <c r="J30" s="46"/>
      <c r="K30" s="46"/>
    </row>
    <row r="31" spans="2:11" ht="28.5">
      <c r="B31" s="1067">
        <v>29</v>
      </c>
      <c r="C31" s="1068">
        <v>41148</v>
      </c>
      <c r="D31" s="1064" t="s">
        <v>583</v>
      </c>
      <c r="E31" s="1064" t="s">
        <v>368</v>
      </c>
      <c r="F31" s="1065" t="s">
        <v>619</v>
      </c>
      <c r="G31" s="1075" t="s">
        <v>586</v>
      </c>
      <c r="H31" s="1075" t="s">
        <v>620</v>
      </c>
      <c r="I31" s="1068">
        <f>Table1[[#This Row],[Date]]</f>
        <v>41148</v>
      </c>
      <c r="J31" s="46"/>
      <c r="K31" s="46"/>
    </row>
    <row r="32" spans="2:11" ht="28.5">
      <c r="B32" s="1067">
        <v>30</v>
      </c>
      <c r="C32" s="1068">
        <v>41148</v>
      </c>
      <c r="D32" s="1064" t="s">
        <v>583</v>
      </c>
      <c r="E32" s="1064" t="s">
        <v>368</v>
      </c>
      <c r="F32" s="1065" t="s">
        <v>621</v>
      </c>
      <c r="G32" s="1075" t="s">
        <v>622</v>
      </c>
      <c r="H32" s="1075" t="s">
        <v>623</v>
      </c>
      <c r="I32" s="1068">
        <f>Table1[[#This Row],[Date]]</f>
        <v>41148</v>
      </c>
      <c r="J32" s="46"/>
      <c r="K32" s="46"/>
    </row>
    <row r="33" spans="2:11" ht="42.75">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8.5">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2.75">
      <c r="B56" s="1067">
        <v>54</v>
      </c>
      <c r="C56" s="1068">
        <v>41149</v>
      </c>
      <c r="D56" s="1080" t="s">
        <v>583</v>
      </c>
      <c r="E56" s="1080" t="s">
        <v>584</v>
      </c>
      <c r="F56" s="1065" t="s">
        <v>656</v>
      </c>
      <c r="G56" s="1075" t="s">
        <v>658</v>
      </c>
      <c r="H56" s="1075" t="s">
        <v>659</v>
      </c>
      <c r="I56" s="1068">
        <f>Table1[[#This Row],[Date]]</f>
        <v>41149</v>
      </c>
      <c r="J56" s="46"/>
      <c r="K56" s="46"/>
    </row>
    <row r="57" spans="2:11" ht="42.75">
      <c r="B57" s="1067">
        <v>55</v>
      </c>
      <c r="C57" s="1068">
        <v>41149</v>
      </c>
      <c r="D57" s="1080" t="s">
        <v>583</v>
      </c>
      <c r="E57" s="1080" t="s">
        <v>584</v>
      </c>
      <c r="F57" s="1065" t="s">
        <v>657</v>
      </c>
      <c r="G57" s="1075" t="s">
        <v>658</v>
      </c>
      <c r="H57" s="1075" t="s">
        <v>659</v>
      </c>
      <c r="I57" s="1068">
        <f>Table1[[#This Row],[Date]]</f>
        <v>41149</v>
      </c>
      <c r="J57" s="46"/>
      <c r="K57" s="46"/>
    </row>
    <row r="58" spans="2:11" ht="28.5">
      <c r="B58" s="1067">
        <v>56</v>
      </c>
      <c r="C58" s="1068">
        <v>41149</v>
      </c>
      <c r="D58" s="1080" t="s">
        <v>583</v>
      </c>
      <c r="E58" s="1080" t="s">
        <v>584</v>
      </c>
      <c r="F58" s="1065" t="s">
        <v>660</v>
      </c>
      <c r="G58" s="1075" t="s">
        <v>665</v>
      </c>
      <c r="H58" s="1075" t="s">
        <v>666</v>
      </c>
      <c r="I58" s="1068">
        <f>Table1[[#This Row],[Date]]</f>
        <v>41149</v>
      </c>
      <c r="J58" s="46"/>
      <c r="K58" s="46"/>
    </row>
    <row r="59" spans="2:11" ht="28.5">
      <c r="B59" s="1067">
        <v>57</v>
      </c>
      <c r="C59" s="1068">
        <v>41149</v>
      </c>
      <c r="D59" s="1080" t="s">
        <v>583</v>
      </c>
      <c r="E59" s="1080" t="s">
        <v>584</v>
      </c>
      <c r="F59" s="1065" t="s">
        <v>661</v>
      </c>
      <c r="G59" s="1075" t="s">
        <v>665</v>
      </c>
      <c r="H59" s="1075" t="s">
        <v>666</v>
      </c>
      <c r="I59" s="1068">
        <f>Table1[[#This Row],[Date]]</f>
        <v>41149</v>
      </c>
      <c r="J59" s="46"/>
      <c r="K59" s="46"/>
    </row>
    <row r="60" spans="2:11" ht="28.5">
      <c r="B60" s="1067">
        <v>58</v>
      </c>
      <c r="C60" s="1068">
        <v>41149</v>
      </c>
      <c r="D60" s="1080" t="s">
        <v>583</v>
      </c>
      <c r="E60" s="1080" t="s">
        <v>584</v>
      </c>
      <c r="F60" s="1065" t="s">
        <v>662</v>
      </c>
      <c r="G60" s="1075" t="s">
        <v>665</v>
      </c>
      <c r="H60" s="1075" t="s">
        <v>667</v>
      </c>
      <c r="I60" s="1068">
        <f>Table1[[#This Row],[Date]]</f>
        <v>41149</v>
      </c>
      <c r="J60" s="46"/>
      <c r="K60" s="46"/>
    </row>
    <row r="61" spans="2:11" ht="28.5">
      <c r="B61" s="1067">
        <v>59</v>
      </c>
      <c r="C61" s="1068">
        <v>41149</v>
      </c>
      <c r="D61" s="1080" t="s">
        <v>583</v>
      </c>
      <c r="E61" s="1080" t="s">
        <v>584</v>
      </c>
      <c r="F61" s="1065" t="s">
        <v>663</v>
      </c>
      <c r="G61" s="1075" t="s">
        <v>665</v>
      </c>
      <c r="H61" s="1075" t="s">
        <v>667</v>
      </c>
      <c r="I61" s="1068">
        <f>Table1[[#This Row],[Date]]</f>
        <v>41149</v>
      </c>
      <c r="J61" s="46"/>
      <c r="K61" s="46"/>
    </row>
    <row r="62" spans="2:11" ht="42.75">
      <c r="B62" s="1067">
        <v>60</v>
      </c>
      <c r="C62" s="1068">
        <v>41149</v>
      </c>
      <c r="D62" s="1080" t="s">
        <v>583</v>
      </c>
      <c r="E62" s="1080" t="s">
        <v>584</v>
      </c>
      <c r="F62" s="1065" t="s">
        <v>664</v>
      </c>
      <c r="G62" s="1075" t="s">
        <v>668</v>
      </c>
      <c r="H62" s="1075" t="s">
        <v>669</v>
      </c>
      <c r="I62" s="1068">
        <f>Table1[[#This Row],[Date]]</f>
        <v>41149</v>
      </c>
      <c r="J62" s="46"/>
      <c r="K62" s="46"/>
    </row>
    <row r="63" spans="2:11" ht="28.5">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8.5">
      <c r="B65" s="1067">
        <v>63</v>
      </c>
      <c r="C65" s="1068">
        <v>41149</v>
      </c>
      <c r="D65" s="1080" t="s">
        <v>583</v>
      </c>
      <c r="E65" s="1080" t="s">
        <v>367</v>
      </c>
      <c r="F65" s="1065" t="s">
        <v>675</v>
      </c>
      <c r="G65" s="1075" t="s">
        <v>671</v>
      </c>
      <c r="H65" s="1075" t="s">
        <v>672</v>
      </c>
      <c r="I65" s="1068">
        <f>Table1[[#This Row],[Date]]</f>
        <v>41149</v>
      </c>
      <c r="J65" s="46"/>
      <c r="K65" s="46"/>
    </row>
    <row r="66" spans="2:11" ht="28.5">
      <c r="B66" s="1067">
        <v>64</v>
      </c>
      <c r="C66" s="1068">
        <v>41149</v>
      </c>
      <c r="D66" s="1080" t="s">
        <v>583</v>
      </c>
      <c r="E66" s="1080" t="s">
        <v>367</v>
      </c>
      <c r="F66" s="1065" t="s">
        <v>676</v>
      </c>
      <c r="G66" s="1075" t="s">
        <v>671</v>
      </c>
      <c r="H66" s="1075" t="s">
        <v>672</v>
      </c>
      <c r="I66" s="1068">
        <f>Table1[[#This Row],[Date]]</f>
        <v>41149</v>
      </c>
      <c r="J66" s="46"/>
      <c r="K66" s="46"/>
    </row>
    <row r="67" spans="2:11" ht="28.5">
      <c r="B67" s="1067">
        <v>65</v>
      </c>
      <c r="C67" s="1068">
        <v>41149</v>
      </c>
      <c r="D67" s="1080" t="s">
        <v>583</v>
      </c>
      <c r="E67" s="1080" t="s">
        <v>367</v>
      </c>
      <c r="F67" s="1065" t="s">
        <v>677</v>
      </c>
      <c r="G67" s="1075" t="s">
        <v>671</v>
      </c>
      <c r="H67" s="1075" t="s">
        <v>672</v>
      </c>
      <c r="I67" s="1068">
        <f>Table1[[#This Row],[Date]]</f>
        <v>41149</v>
      </c>
      <c r="J67" s="46"/>
      <c r="K67" s="46"/>
    </row>
    <row r="68" spans="2:11" ht="28.5">
      <c r="B68" s="1067">
        <v>66</v>
      </c>
      <c r="C68" s="1068">
        <v>41149</v>
      </c>
      <c r="D68" s="1080" t="s">
        <v>583</v>
      </c>
      <c r="E68" s="1080" t="s">
        <v>367</v>
      </c>
      <c r="F68" s="1065" t="s">
        <v>678</v>
      </c>
      <c r="G68" s="1075" t="s">
        <v>671</v>
      </c>
      <c r="H68" s="1075" t="s">
        <v>672</v>
      </c>
      <c r="I68" s="1068">
        <f>Table1[[#This Row],[Date]]</f>
        <v>41149</v>
      </c>
      <c r="J68" s="46"/>
      <c r="K68" s="46"/>
    </row>
    <row r="69" spans="2:11" ht="28.5">
      <c r="B69" s="1067">
        <v>67</v>
      </c>
      <c r="C69" s="1068">
        <v>41149</v>
      </c>
      <c r="D69" s="1080" t="s">
        <v>583</v>
      </c>
      <c r="E69" s="1080" t="s">
        <v>367</v>
      </c>
      <c r="F69" s="1065" t="s">
        <v>679</v>
      </c>
      <c r="G69" s="1075" t="s">
        <v>671</v>
      </c>
      <c r="H69" s="1075" t="s">
        <v>672</v>
      </c>
      <c r="I69" s="1068">
        <f>Table1[[#This Row],[Date]]</f>
        <v>41149</v>
      </c>
      <c r="J69" s="46"/>
      <c r="K69" s="46"/>
    </row>
    <row r="70" spans="2:11" ht="28.5">
      <c r="B70" s="1067">
        <v>68</v>
      </c>
      <c r="C70" s="1068">
        <v>41149</v>
      </c>
      <c r="D70" s="1080" t="s">
        <v>583</v>
      </c>
      <c r="E70" s="1080" t="s">
        <v>367</v>
      </c>
      <c r="F70" s="1065" t="s">
        <v>680</v>
      </c>
      <c r="G70" s="1075" t="s">
        <v>671</v>
      </c>
      <c r="H70" s="1075" t="s">
        <v>672</v>
      </c>
      <c r="I70" s="1068">
        <f>Table1[[#This Row],[Date]]</f>
        <v>41149</v>
      </c>
      <c r="J70" s="46"/>
      <c r="K70" s="46"/>
    </row>
    <row r="71" spans="2:11" ht="28.5">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8.5">
      <c r="B79" s="1067">
        <v>77</v>
      </c>
      <c r="C79" s="1068">
        <v>41149</v>
      </c>
      <c r="D79" s="1080" t="s">
        <v>583</v>
      </c>
      <c r="E79" s="1080" t="s">
        <v>367</v>
      </c>
      <c r="F79" s="1065" t="s">
        <v>682</v>
      </c>
      <c r="G79" s="1075" t="s">
        <v>683</v>
      </c>
      <c r="H79" s="1075" t="s">
        <v>684</v>
      </c>
      <c r="I79" s="1068">
        <f>Table1[[#This Row],[Date]]</f>
        <v>41149</v>
      </c>
      <c r="J79" s="46"/>
      <c r="K79" s="46"/>
    </row>
    <row r="80" spans="2:11" ht="28.5">
      <c r="B80" s="1067">
        <v>78</v>
      </c>
      <c r="C80" s="1068">
        <v>41149</v>
      </c>
      <c r="D80" s="1080" t="s">
        <v>583</v>
      </c>
      <c r="E80" s="1080" t="s">
        <v>367</v>
      </c>
      <c r="F80" s="1065" t="s">
        <v>685</v>
      </c>
      <c r="G80" s="1075" t="s">
        <v>683</v>
      </c>
      <c r="H80" s="1075" t="s">
        <v>684</v>
      </c>
      <c r="I80" s="1068">
        <f>Table1[[#This Row],[Date]]</f>
        <v>41149</v>
      </c>
      <c r="J80" s="46"/>
      <c r="K80" s="46"/>
    </row>
    <row r="81" spans="2:11" ht="42.75">
      <c r="B81" s="1067">
        <v>79</v>
      </c>
      <c r="C81" s="1068">
        <v>41149</v>
      </c>
      <c r="D81" s="1080" t="s">
        <v>583</v>
      </c>
      <c r="E81" s="1080" t="s">
        <v>367</v>
      </c>
      <c r="F81" s="1065" t="s">
        <v>686</v>
      </c>
      <c r="G81" s="1075" t="s">
        <v>687</v>
      </c>
      <c r="H81" s="1075" t="s">
        <v>688</v>
      </c>
      <c r="I81" s="1068">
        <f>Table1[[#This Row],[Date]]</f>
        <v>41149</v>
      </c>
      <c r="J81" s="46"/>
      <c r="K81" s="46"/>
    </row>
    <row r="82" spans="2:11" ht="42.75">
      <c r="B82" s="1067">
        <v>80</v>
      </c>
      <c r="C82" s="1068">
        <v>41149</v>
      </c>
      <c r="D82" s="1080" t="s">
        <v>583</v>
      </c>
      <c r="E82" s="1080" t="s">
        <v>367</v>
      </c>
      <c r="F82" s="1065" t="s">
        <v>689</v>
      </c>
      <c r="G82" s="1075" t="s">
        <v>691</v>
      </c>
      <c r="H82" s="1075" t="s">
        <v>692</v>
      </c>
      <c r="I82" s="1068">
        <f>Table1[[#This Row],[Date]]</f>
        <v>41149</v>
      </c>
      <c r="J82" s="46"/>
      <c r="K82" s="46"/>
    </row>
    <row r="83" spans="2:11" ht="42.75">
      <c r="B83" s="1067">
        <v>81</v>
      </c>
      <c r="C83" s="1068">
        <v>41149</v>
      </c>
      <c r="D83" s="1080" t="s">
        <v>583</v>
      </c>
      <c r="E83" s="1080" t="s">
        <v>367</v>
      </c>
      <c r="F83" s="1065" t="s">
        <v>690</v>
      </c>
      <c r="G83" s="1075" t="s">
        <v>691</v>
      </c>
      <c r="H83" s="1075" t="s">
        <v>692</v>
      </c>
      <c r="I83" s="1068">
        <f>Table1[[#This Row],[Date]]</f>
        <v>41149</v>
      </c>
      <c r="J83" s="46"/>
      <c r="K83" s="46"/>
    </row>
    <row r="84" spans="2:11" ht="28.5">
      <c r="B84" s="1067">
        <v>82</v>
      </c>
      <c r="C84" s="1068">
        <v>41149</v>
      </c>
      <c r="D84" s="1080" t="s">
        <v>583</v>
      </c>
      <c r="E84" s="1080" t="s">
        <v>367</v>
      </c>
      <c r="F84" s="1065" t="s">
        <v>689</v>
      </c>
      <c r="G84" s="1075" t="s">
        <v>693</v>
      </c>
      <c r="H84" s="1075" t="s">
        <v>694</v>
      </c>
      <c r="I84" s="1068">
        <f>Table1[[#This Row],[Date]]</f>
        <v>41149</v>
      </c>
      <c r="J84" s="46"/>
      <c r="K84" s="46"/>
    </row>
    <row r="85" spans="2:11" ht="28.5">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8.5">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8.5">
      <c r="B91" s="1067">
        <v>89</v>
      </c>
      <c r="C91" s="1068">
        <v>41149</v>
      </c>
      <c r="D91" s="1080" t="s">
        <v>583</v>
      </c>
      <c r="E91" s="1080" t="s">
        <v>368</v>
      </c>
      <c r="F91" s="1065" t="s">
        <v>707</v>
      </c>
      <c r="G91" s="1075" t="s">
        <v>708</v>
      </c>
      <c r="H91" s="1075" t="s">
        <v>709</v>
      </c>
      <c r="I91" s="1068">
        <f>Table1[[#This Row],[Date]]</f>
        <v>41149</v>
      </c>
      <c r="J91" s="46"/>
      <c r="K91" s="46"/>
    </row>
    <row r="92" spans="2:11" ht="28.5">
      <c r="B92" s="1067">
        <v>90</v>
      </c>
      <c r="C92" s="1068">
        <v>41149</v>
      </c>
      <c r="D92" s="1080" t="s">
        <v>583</v>
      </c>
      <c r="E92" s="1080" t="s">
        <v>368</v>
      </c>
      <c r="F92" s="1065" t="s">
        <v>710</v>
      </c>
      <c r="G92" s="1075" t="s">
        <v>711</v>
      </c>
      <c r="H92" s="1075" t="s">
        <v>712</v>
      </c>
      <c r="I92" s="1068">
        <f>Table1[[#This Row],[Date]]</f>
        <v>41149</v>
      </c>
      <c r="J92" s="46"/>
      <c r="K92" s="46"/>
    </row>
    <row r="93" spans="2:11" ht="42.75">
      <c r="B93" s="1067">
        <v>91</v>
      </c>
      <c r="C93" s="1068">
        <v>41149</v>
      </c>
      <c r="D93" s="1080" t="s">
        <v>583</v>
      </c>
      <c r="E93" s="1080" t="s">
        <v>368</v>
      </c>
      <c r="F93" s="1065" t="s">
        <v>713</v>
      </c>
      <c r="G93" s="1075" t="s">
        <v>714</v>
      </c>
      <c r="H93" s="1075" t="s">
        <v>715</v>
      </c>
      <c r="I93" s="1068">
        <f>Table1[[#This Row],[Date]]</f>
        <v>41149</v>
      </c>
      <c r="J93" s="46"/>
      <c r="K93" s="46"/>
    </row>
    <row r="94" spans="2:11" ht="42.75">
      <c r="B94" s="1067">
        <v>92</v>
      </c>
      <c r="C94" s="1068">
        <v>41149</v>
      </c>
      <c r="D94" s="1080" t="s">
        <v>583</v>
      </c>
      <c r="E94" s="1080" t="s">
        <v>368</v>
      </c>
      <c r="F94" s="1065" t="s">
        <v>656</v>
      </c>
      <c r="G94" s="1075" t="s">
        <v>714</v>
      </c>
      <c r="H94" s="1075" t="s">
        <v>715</v>
      </c>
      <c r="I94" s="1068">
        <f>Table1[[#This Row],[Date]]</f>
        <v>41149</v>
      </c>
      <c r="J94" s="46"/>
      <c r="K94" s="46"/>
    </row>
    <row r="95" spans="2:11" ht="28.5">
      <c r="B95" s="1067">
        <v>93</v>
      </c>
      <c r="C95" s="1068">
        <v>41149</v>
      </c>
      <c r="D95" s="1080" t="s">
        <v>583</v>
      </c>
      <c r="E95" s="1080" t="s">
        <v>368</v>
      </c>
      <c r="F95" s="1065" t="s">
        <v>716</v>
      </c>
      <c r="G95" s="1075" t="s">
        <v>726</v>
      </c>
      <c r="H95" s="1075" t="s">
        <v>727</v>
      </c>
      <c r="I95" s="1068">
        <f>Table1[[#This Row],[Date]]</f>
        <v>41149</v>
      </c>
      <c r="J95" s="46"/>
      <c r="K95" s="46"/>
    </row>
    <row r="96" spans="2:11" ht="28.5">
      <c r="B96" s="1067">
        <v>94</v>
      </c>
      <c r="C96" s="1068">
        <v>41149</v>
      </c>
      <c r="D96" s="1080" t="s">
        <v>583</v>
      </c>
      <c r="E96" s="1080" t="s">
        <v>368</v>
      </c>
      <c r="F96" s="1065" t="s">
        <v>717</v>
      </c>
      <c r="G96" s="1075" t="s">
        <v>726</v>
      </c>
      <c r="H96" s="1075" t="s">
        <v>728</v>
      </c>
      <c r="I96" s="1068">
        <f>Table1[[#This Row],[Date]]</f>
        <v>41149</v>
      </c>
      <c r="J96" s="46"/>
      <c r="K96" s="46"/>
    </row>
    <row r="97" spans="2:30" ht="28.5">
      <c r="B97" s="1067">
        <v>95</v>
      </c>
      <c r="C97" s="1068">
        <v>41149</v>
      </c>
      <c r="D97" s="1080" t="s">
        <v>583</v>
      </c>
      <c r="E97" s="1080" t="s">
        <v>368</v>
      </c>
      <c r="F97" s="1065" t="s">
        <v>718</v>
      </c>
      <c r="G97" s="1075" t="s">
        <v>726</v>
      </c>
      <c r="H97" s="1075" t="s">
        <v>729</v>
      </c>
      <c r="I97" s="1068">
        <f>Table1[[#This Row],[Date]]</f>
        <v>41149</v>
      </c>
      <c r="J97" s="46"/>
      <c r="K97" s="46"/>
    </row>
    <row r="98" spans="2:30" ht="28.5">
      <c r="B98" s="1067">
        <v>96</v>
      </c>
      <c r="C98" s="1068">
        <v>41149</v>
      </c>
      <c r="D98" s="1080" t="s">
        <v>583</v>
      </c>
      <c r="E98" s="1080" t="s">
        <v>368</v>
      </c>
      <c r="F98" s="1065" t="s">
        <v>719</v>
      </c>
      <c r="G98" s="1075" t="s">
        <v>726</v>
      </c>
      <c r="H98" s="1075" t="s">
        <v>730</v>
      </c>
      <c r="I98" s="1068">
        <f>Table1[[#This Row],[Date]]</f>
        <v>41149</v>
      </c>
      <c r="J98" s="46"/>
      <c r="K98" s="46"/>
    </row>
    <row r="99" spans="2:30" ht="28.5">
      <c r="B99" s="1067">
        <v>97</v>
      </c>
      <c r="C99" s="1068">
        <v>41149</v>
      </c>
      <c r="D99" s="1080" t="s">
        <v>583</v>
      </c>
      <c r="E99" s="1080" t="s">
        <v>368</v>
      </c>
      <c r="F99" s="1065" t="s">
        <v>720</v>
      </c>
      <c r="G99" s="1075" t="s">
        <v>726</v>
      </c>
      <c r="H99" s="1075" t="s">
        <v>731</v>
      </c>
      <c r="I99" s="1068">
        <f>Table1[[#This Row],[Date]]</f>
        <v>41149</v>
      </c>
      <c r="J99" s="46"/>
      <c r="K99" s="46"/>
    </row>
    <row r="100" spans="2:30" ht="28.5">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555</v>
      </c>
      <c r="E335" s="1093" t="s">
        <v>440</v>
      </c>
      <c r="F335" s="1065" t="s">
        <v>999</v>
      </c>
      <c r="G335" s="1075" t="s">
        <v>1000</v>
      </c>
      <c r="H335" s="1075" t="s">
        <v>1001</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555</v>
      </c>
      <c r="E336" s="1107" t="s">
        <v>368</v>
      </c>
      <c r="F336" s="1110" t="s">
        <v>1003</v>
      </c>
      <c r="G336" s="1075" t="s">
        <v>1002</v>
      </c>
      <c r="H336" s="1075" t="s">
        <v>1004</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555</v>
      </c>
      <c r="E337" s="1107" t="s">
        <v>368</v>
      </c>
      <c r="F337" s="1110" t="s">
        <v>1008</v>
      </c>
      <c r="G337" s="1075" t="s">
        <v>1009</v>
      </c>
      <c r="H337" s="1075" t="s">
        <v>1010</v>
      </c>
      <c r="I337" s="1068">
        <f>Table1[[#This Row],[Date]]</f>
        <v>41150</v>
      </c>
      <c r="J337" s="46"/>
      <c r="K337" s="46"/>
      <c r="AE337" s="1065"/>
      <c r="AF337" s="1065"/>
      <c r="AG337" s="1065"/>
      <c r="AH337" s="1065"/>
    </row>
    <row r="338" spans="1:34" ht="28.5">
      <c r="B338" s="1067">
        <v>335</v>
      </c>
      <c r="C338" s="1068">
        <v>41150</v>
      </c>
      <c r="D338" s="1107" t="s">
        <v>555</v>
      </c>
      <c r="E338" s="1107" t="s">
        <v>349</v>
      </c>
      <c r="F338" s="1065" t="s">
        <v>1005</v>
      </c>
      <c r="G338" s="1075" t="s">
        <v>1002</v>
      </c>
      <c r="H338" s="1075" t="s">
        <v>1004</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555</v>
      </c>
      <c r="E339" s="1107" t="s">
        <v>101</v>
      </c>
      <c r="F339" s="1110" t="s">
        <v>1006</v>
      </c>
      <c r="G339" s="1075" t="s">
        <v>1002</v>
      </c>
      <c r="H339" s="1075" t="s">
        <v>1004</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555</v>
      </c>
      <c r="E340" s="1107" t="s">
        <v>298</v>
      </c>
      <c r="F340" s="1065" t="s">
        <v>1007</v>
      </c>
      <c r="G340" s="1075" t="s">
        <v>1002</v>
      </c>
      <c r="H340" s="1075" t="s">
        <v>1004</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555</v>
      </c>
      <c r="E341" s="1107" t="s">
        <v>102</v>
      </c>
      <c r="F341" s="1110" t="s">
        <v>1011</v>
      </c>
      <c r="G341" s="1075" t="s">
        <v>1002</v>
      </c>
      <c r="H341" s="1075" t="s">
        <v>1004</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555</v>
      </c>
      <c r="E342" s="1107" t="s">
        <v>369</v>
      </c>
      <c r="F342" s="1065" t="s">
        <v>1012</v>
      </c>
      <c r="G342" s="1075" t="s">
        <v>1002</v>
      </c>
      <c r="H342" s="1075" t="s">
        <v>1004</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555</v>
      </c>
      <c r="E343" s="1107" t="s">
        <v>329</v>
      </c>
      <c r="F343" s="1065" t="s">
        <v>1013</v>
      </c>
      <c r="G343" s="1075" t="s">
        <v>1002</v>
      </c>
      <c r="H343" s="1075" t="s">
        <v>1004</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583</v>
      </c>
      <c r="E344" s="1108" t="s">
        <v>298</v>
      </c>
      <c r="F344" s="1065" t="s">
        <v>1015</v>
      </c>
      <c r="G344" s="1075" t="s">
        <v>1017</v>
      </c>
      <c r="H344" s="1075" t="s">
        <v>1018</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583</v>
      </c>
      <c r="E345" s="1108" t="s">
        <v>298</v>
      </c>
      <c r="F345" s="1065" t="s">
        <v>1016</v>
      </c>
      <c r="G345" s="1075" t="s">
        <v>1017</v>
      </c>
      <c r="H345" s="1075" t="s">
        <v>1018</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1014</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583</v>
      </c>
      <c r="E347" s="1130" t="s">
        <v>298</v>
      </c>
      <c r="F347" s="1065" t="s">
        <v>1021</v>
      </c>
      <c r="G347" s="1075" t="s">
        <v>1022</v>
      </c>
      <c r="H347" s="1075" t="s">
        <v>1023</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1024</v>
      </c>
      <c r="H348" s="1075" t="s">
        <v>1025</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1028</v>
      </c>
      <c r="G349" s="1075" t="s">
        <v>1029</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583</v>
      </c>
      <c r="E350" s="1132" t="s">
        <v>367</v>
      </c>
      <c r="F350" s="1065" t="s">
        <v>1030</v>
      </c>
      <c r="G350" s="1075" t="s">
        <v>1031</v>
      </c>
      <c r="H350" s="1075" t="s">
        <v>1033</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583</v>
      </c>
      <c r="E351" s="1132" t="s">
        <v>102</v>
      </c>
      <c r="F351" s="1065" t="s">
        <v>716</v>
      </c>
      <c r="G351" s="1075" t="s">
        <v>1032</v>
      </c>
      <c r="H351" s="1075" t="s">
        <v>1034</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583</v>
      </c>
      <c r="E352" s="1132" t="s">
        <v>368</v>
      </c>
      <c r="F352" s="1065" t="s">
        <v>1036</v>
      </c>
      <c r="G352" s="1075" t="s">
        <v>1035</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583</v>
      </c>
      <c r="E353" s="1132" t="s">
        <v>440</v>
      </c>
      <c r="F353" s="1065" t="s">
        <v>1037</v>
      </c>
      <c r="G353" s="1075" t="s">
        <v>1038</v>
      </c>
      <c r="H353" s="1075" t="s">
        <v>1051</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583</v>
      </c>
      <c r="E354" s="1132" t="s">
        <v>101</v>
      </c>
      <c r="F354" s="1065" t="s">
        <v>1039</v>
      </c>
      <c r="G354" s="1075" t="s">
        <v>1056</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583</v>
      </c>
      <c r="E355" s="1132" t="s">
        <v>327</v>
      </c>
      <c r="F355" s="1065" t="s">
        <v>702</v>
      </c>
      <c r="G355" s="1075" t="s">
        <v>1040</v>
      </c>
      <c r="H355" s="1075" t="s">
        <v>1052</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583</v>
      </c>
      <c r="E356" s="1132" t="s">
        <v>326</v>
      </c>
      <c r="F356" s="1065" t="s">
        <v>810</v>
      </c>
      <c r="G356" s="1075" t="s">
        <v>1041</v>
      </c>
      <c r="H356" s="1075" t="s">
        <v>1053</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583</v>
      </c>
      <c r="E357" s="1132" t="s">
        <v>298</v>
      </c>
      <c r="F357" s="1065" t="s">
        <v>1021</v>
      </c>
      <c r="G357" s="1075" t="s">
        <v>1042</v>
      </c>
      <c r="H357" s="1075" t="s">
        <v>1054</v>
      </c>
      <c r="I357" s="1068" t="s">
        <v>1055</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583</v>
      </c>
      <c r="E358" s="1133" t="s">
        <v>440</v>
      </c>
      <c r="F358" s="1065" t="s">
        <v>1043</v>
      </c>
      <c r="G358" s="1075" t="s">
        <v>1046</v>
      </c>
      <c r="H358" s="1075" t="s">
        <v>1045</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583</v>
      </c>
      <c r="E359" s="1133" t="s">
        <v>440</v>
      </c>
      <c r="F359" s="1065" t="s">
        <v>1050</v>
      </c>
      <c r="G359" s="1075" t="s">
        <v>1044</v>
      </c>
      <c r="H359" s="1075" t="s">
        <v>1049</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583</v>
      </c>
      <c r="E360" s="1133" t="s">
        <v>440</v>
      </c>
      <c r="F360" s="1065" t="s">
        <v>1050</v>
      </c>
      <c r="G360" s="1075" t="s">
        <v>1044</v>
      </c>
      <c r="H360" s="1075" t="s">
        <v>1048</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583</v>
      </c>
      <c r="E361" s="1133" t="s">
        <v>440</v>
      </c>
      <c r="F361" s="1065" t="s">
        <v>1050</v>
      </c>
      <c r="G361" s="1075" t="s">
        <v>1044</v>
      </c>
      <c r="H361" s="1075" t="s">
        <v>1047</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1058</v>
      </c>
      <c r="G362" s="1075" t="s">
        <v>1059</v>
      </c>
      <c r="H362" s="1075" t="s">
        <v>1060</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topLeftCell="B1" zoomScaleNormal="100" workbookViewId="0">
      <selection activeCell="D43" sqref="D43:G48"/>
    </sheetView>
  </sheetViews>
  <sheetFormatPr defaultColWidth="5.625" defaultRowHeight="14.25" outlineLevelCol="1"/>
  <cols>
    <col min="1" max="1" width="13.75" style="379" customWidth="1"/>
    <col min="2" max="2" width="2.625" style="160" customWidth="1"/>
    <col min="3" max="3" width="2.625" style="820" customWidth="1"/>
    <col min="4" max="10" width="7.125" customWidth="1"/>
    <col min="11" max="11" width="7.875" customWidth="1"/>
    <col min="12"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7" t="s">
        <v>125</v>
      </c>
      <c r="E2" s="1177"/>
      <c r="F2" s="1177"/>
      <c r="G2" s="1177"/>
      <c r="H2" s="1177"/>
      <c r="I2" s="416"/>
      <c r="J2" s="416"/>
      <c r="K2" s="416"/>
      <c r="L2" s="1179">
        <f ca="1">TODAY()</f>
        <v>41780</v>
      </c>
      <c r="M2" s="1179"/>
      <c r="N2" s="1179"/>
      <c r="O2" s="1179"/>
      <c r="P2" s="1179"/>
      <c r="Q2" s="1179"/>
      <c r="R2" s="1179"/>
      <c r="S2" s="1179"/>
      <c r="T2" s="1179"/>
      <c r="U2" s="1179"/>
      <c r="V2" s="1179"/>
      <c r="W2" s="1179"/>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4" t="s">
        <v>419</v>
      </c>
      <c r="L3" s="1194"/>
      <c r="M3" s="1194"/>
      <c r="N3" s="1194"/>
      <c r="O3" s="1194"/>
      <c r="P3" s="1194"/>
      <c r="Q3" s="1194"/>
      <c r="R3" s="1194"/>
      <c r="S3" s="1194"/>
      <c r="T3" s="1194"/>
      <c r="U3" s="1194"/>
      <c r="V3" s="1194"/>
      <c r="W3" s="119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3" t="str">
        <f>C.2Name</f>
        <v>Oregon State Implementation Plan revision for PM2.5 National Ambient Air Quality Standards</v>
      </c>
      <c r="E4" s="1183"/>
      <c r="F4" s="1183"/>
      <c r="G4" s="1183"/>
      <c r="H4" s="1183"/>
      <c r="I4" s="1183"/>
      <c r="J4" s="1183"/>
      <c r="K4" s="1183"/>
      <c r="L4" s="1183"/>
      <c r="M4" s="1183"/>
      <c r="N4" s="1183"/>
      <c r="O4" s="1183"/>
      <c r="P4" s="1183"/>
      <c r="Q4" s="1183"/>
      <c r="R4" s="1183"/>
      <c r="S4" s="1183"/>
      <c r="T4" s="1183"/>
      <c r="U4" s="1183"/>
      <c r="V4" s="1183"/>
      <c r="W4" s="1183"/>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2" t="str">
        <f>C.4Program&amp;" - "&amp;IF(C.4Media="cross media",C.4Media,C.4Media&amp;" quality")</f>
        <v>Environmental Solutions AQ planning section - air quality</v>
      </c>
      <c r="E5" s="1182"/>
      <c r="F5" s="1182"/>
      <c r="G5" s="1182"/>
      <c r="H5" s="1182"/>
      <c r="I5" s="1182"/>
      <c r="J5" s="1182"/>
      <c r="K5" s="1182"/>
      <c r="L5" s="1182"/>
      <c r="M5" s="1182"/>
      <c r="N5" s="1182"/>
      <c r="O5" s="1182"/>
      <c r="P5" s="1182"/>
      <c r="Q5" s="1182"/>
      <c r="R5" s="1182"/>
      <c r="S5" s="1182"/>
      <c r="T5" s="1182"/>
      <c r="U5" s="1182"/>
      <c r="V5" s="1182"/>
      <c r="W5" s="1182"/>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8" t="s">
        <v>214</v>
      </c>
      <c r="E6" s="1178"/>
      <c r="F6" s="1178"/>
      <c r="G6" s="1178"/>
      <c r="H6" s="1178"/>
      <c r="I6" s="1180" t="s">
        <v>373</v>
      </c>
      <c r="J6" s="1181"/>
      <c r="K6" s="1181"/>
      <c r="L6" s="1181"/>
      <c r="M6" s="1184"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7.25" customHeight="1">
      <c r="B7" s="556"/>
      <c r="C7" s="496"/>
      <c r="D7" s="1187" t="str">
        <f>C.2Summary</f>
        <v>Oregon maintains a federally-approved State Implementation Plan to protect air quality. DEQ proposes to incorporate the annual National Ambient Air Quality Standards for PM2.5 into the SIP. The federal Clean Air Act requires DEQ to adopt new or revised NAAQS and incorporate them into the SIP within 3 years of EPA promulgation. EPA promulgated the annual NAAQS for PM2.5 on Dec. 14, 2012, which means Oregon's incorporation is due Dec. 14, 2015.</v>
      </c>
      <c r="E7" s="1187"/>
      <c r="F7" s="1187"/>
      <c r="G7" s="1187"/>
      <c r="H7" s="1187"/>
      <c r="I7" s="508">
        <v>1</v>
      </c>
      <c r="J7" s="1188" t="s">
        <v>406</v>
      </c>
      <c r="K7" s="1188"/>
      <c r="L7" s="1188"/>
      <c r="M7" s="1184"/>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7.25" customHeight="1">
      <c r="B8" s="556"/>
      <c r="C8" s="496"/>
      <c r="D8" s="1187"/>
      <c r="E8" s="1187"/>
      <c r="F8" s="1187"/>
      <c r="G8" s="1187"/>
      <c r="H8" s="1187"/>
      <c r="I8" s="508">
        <v>2</v>
      </c>
      <c r="J8" s="1186" t="s">
        <v>367</v>
      </c>
      <c r="K8" s="1186"/>
      <c r="L8" s="1186"/>
      <c r="M8" s="1185"/>
      <c r="N8" s="1189" t="s">
        <v>220</v>
      </c>
      <c r="O8" s="1189"/>
      <c r="P8" s="1189"/>
      <c r="Q8" s="1189"/>
      <c r="R8" s="1189"/>
      <c r="S8" s="1189"/>
      <c r="T8" s="1189"/>
      <c r="U8" s="1189"/>
      <c r="V8" s="1189"/>
      <c r="W8" s="1189"/>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7.25" customHeight="1">
      <c r="B9" s="556"/>
      <c r="C9" s="496"/>
      <c r="D9" s="1187"/>
      <c r="E9" s="1187"/>
      <c r="F9" s="1187"/>
      <c r="G9" s="1187"/>
      <c r="H9" s="1187"/>
      <c r="I9" s="508">
        <v>3</v>
      </c>
      <c r="J9" s="1190" t="s">
        <v>368</v>
      </c>
      <c r="K9" s="1191"/>
      <c r="L9" s="1148"/>
      <c r="M9" s="835"/>
      <c r="N9" s="1521">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7.25" customHeight="1">
      <c r="B10" s="556"/>
      <c r="C10" s="496"/>
      <c r="D10" s="1187"/>
      <c r="E10" s="1187"/>
      <c r="F10" s="1187"/>
      <c r="G10" s="1187"/>
      <c r="H10" s="1187"/>
      <c r="I10" s="508">
        <v>4</v>
      </c>
      <c r="J10" s="1149" t="s">
        <v>349</v>
      </c>
      <c r="K10" s="1148"/>
      <c r="L10" s="1148"/>
      <c r="M10" s="835">
        <f>C.4SeverityRating</f>
        <v>1</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7.25" customHeight="1">
      <c r="B11" s="556"/>
      <c r="C11" s="496"/>
      <c r="D11" s="1187"/>
      <c r="E11" s="1187"/>
      <c r="F11" s="1187"/>
      <c r="G11" s="1187"/>
      <c r="H11" s="1187"/>
      <c r="I11" s="508">
        <v>5</v>
      </c>
      <c r="J11" s="1190" t="s">
        <v>100</v>
      </c>
      <c r="K11" s="1191"/>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7.25" customHeight="1">
      <c r="B12" s="556"/>
      <c r="C12" s="496"/>
      <c r="D12" s="1187"/>
      <c r="E12" s="1187"/>
      <c r="F12" s="1187"/>
      <c r="G12" s="1187"/>
      <c r="H12" s="1187"/>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7.25" customHeight="1">
      <c r="B13" s="556"/>
      <c r="C13" s="496"/>
      <c r="D13" s="1187"/>
      <c r="E13" s="1187"/>
      <c r="F13" s="1187"/>
      <c r="G13" s="1187"/>
      <c r="H13" s="1187"/>
      <c r="I13" s="508">
        <v>7</v>
      </c>
      <c r="J13" s="1190" t="s">
        <v>298</v>
      </c>
      <c r="K13" s="1191"/>
      <c r="L13" s="1148"/>
      <c r="M13" s="835">
        <f>C.7SeverityRating</f>
        <v>1</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7.25" customHeight="1">
      <c r="B14" s="556"/>
      <c r="C14" s="496"/>
      <c r="D14" s="1187"/>
      <c r="E14" s="1187"/>
      <c r="F14" s="1187"/>
      <c r="G14" s="1187"/>
      <c r="H14" s="1187"/>
      <c r="I14" s="508">
        <v>8</v>
      </c>
      <c r="J14" s="1149" t="s">
        <v>102</v>
      </c>
      <c r="K14" s="1148"/>
      <c r="L14" s="1148"/>
      <c r="M14" s="835">
        <f>C.8SeverityRating</f>
        <v>3</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7.25" customHeight="1">
      <c r="B15" s="556"/>
      <c r="C15" s="496"/>
      <c r="D15" s="1187"/>
      <c r="E15" s="1187"/>
      <c r="F15" s="1187"/>
      <c r="G15" s="1187"/>
      <c r="H15" s="1187"/>
      <c r="I15" s="508">
        <v>9</v>
      </c>
      <c r="J15" s="1190" t="s">
        <v>327</v>
      </c>
      <c r="K15" s="1191"/>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7.25" customHeight="1">
      <c r="B16" s="556"/>
      <c r="C16" s="496"/>
      <c r="D16" s="1187"/>
      <c r="E16" s="1187"/>
      <c r="F16" s="1187"/>
      <c r="G16" s="1187"/>
      <c r="H16" s="1187"/>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7.25" customHeight="1">
      <c r="B17" s="556"/>
      <c r="C17" s="496"/>
      <c r="D17" s="1187"/>
      <c r="E17" s="1187"/>
      <c r="F17" s="1187"/>
      <c r="G17" s="1187"/>
      <c r="H17" s="1187"/>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7.25" customHeight="1">
      <c r="B18" s="556"/>
      <c r="C18" s="496"/>
      <c r="D18" s="1187"/>
      <c r="E18" s="1187"/>
      <c r="F18" s="1187"/>
      <c r="G18" s="1187"/>
      <c r="H18" s="1187"/>
      <c r="I18" s="508">
        <v>12</v>
      </c>
      <c r="J18" s="1190" t="s">
        <v>329</v>
      </c>
      <c r="K18" s="1191"/>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3" t="s">
        <v>104</v>
      </c>
      <c r="D20" s="1204"/>
      <c r="E20" s="1204"/>
      <c r="F20" s="1204"/>
      <c r="G20" s="1204"/>
      <c r="H20" s="152"/>
      <c r="I20" s="1173" t="s">
        <v>233</v>
      </c>
      <c r="J20" s="1174"/>
      <c r="K20" s="1174"/>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2" t="s">
        <v>0</v>
      </c>
      <c r="E21" s="1202"/>
      <c r="F21" s="1202"/>
      <c r="G21" s="1202"/>
      <c r="H21" s="1202"/>
      <c r="I21" s="1202"/>
      <c r="J21" s="1202"/>
      <c r="K21" s="1202"/>
      <c r="L21" s="1202"/>
      <c r="M21" s="1202"/>
      <c r="N21" s="1202"/>
      <c r="O21" s="1202"/>
      <c r="P21" s="1202"/>
      <c r="Q21" s="1202"/>
      <c r="R21" s="1202"/>
      <c r="S21" s="1202"/>
      <c r="T21" s="1202"/>
      <c r="U21" s="1202"/>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0">
        <f>C.6SStartYr</f>
        <v>2014</v>
      </c>
      <c r="E22" s="1161"/>
      <c r="F22" s="1161"/>
      <c r="G22" s="1162"/>
      <c r="H22" s="1160">
        <f>D22+1</f>
        <v>2015</v>
      </c>
      <c r="I22" s="1161"/>
      <c r="J22" s="1161"/>
      <c r="K22" s="1162"/>
      <c r="L22" s="1160">
        <f>D22+2</f>
        <v>2016</v>
      </c>
      <c r="M22" s="1161"/>
      <c r="N22" s="1161"/>
      <c r="O22" s="1161"/>
      <c r="P22" s="1161"/>
      <c r="Q22" s="1161"/>
      <c r="R22" s="1161"/>
      <c r="S22" s="1161"/>
      <c r="T22" s="1161"/>
      <c r="U22" s="1162"/>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5" t="s">
        <v>209</v>
      </c>
      <c r="O23" s="1176"/>
      <c r="P23" s="1176"/>
      <c r="Q23" s="1176"/>
      <c r="R23" s="1175" t="s">
        <v>191</v>
      </c>
      <c r="S23" s="1176"/>
      <c r="T23" s="1176"/>
      <c r="U23" s="1201"/>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v>
      </c>
      <c r="J24" s="409" t="str">
        <f>IF(I24="End&gt;","",IF(AND(C.6SStartYr=$H$22,C.6SStartQtr=3),"&lt;Start",IF(AND(C.6SEffectiveYr=$H$22,C.6SEffectiveQtr=3),"Effective&gt;",IF(OR(I24="&lt;Start",I24="---"),"---",""))))</f>
        <v>---</v>
      </c>
      <c r="K24" s="409" t="str">
        <f>IF(J24="Effective&gt;","",IF(AND(C.6SStartYr=$H$22,C.6SStartQtr=4),"&lt;Start",IF(AND(C.6SEffectiveYr=$H$22,C.6SEffectiveQtr=4),"Effective&gt;",IF(OR(J24="&lt;Start",J24="---"),"---",""))))</f>
        <v>Effective&gt;</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3" t="str">
        <f>IF(M24="Effective&gt;","",IF(AND(C.6SStartYr=$L$22,C.6SStartQtr=3),"&lt;Start",IF(AND(C.6SEffectiveYr=$L$22,C.6SEffectiveQtr=3),"Effective&gt;",IF(OR(M24="&lt;Start",M24="---"),"---",""))))</f>
        <v/>
      </c>
      <c r="O24" s="1163"/>
      <c r="P24" s="1163"/>
      <c r="Q24" s="1163"/>
      <c r="R24" s="1163" t="str">
        <f>IF(N24="Effective&gt;","",IF(AND(C.6SStartYr=$L$22,C.6SStartQtr=4),"&lt;Start",IF(AND(C.6SEffectiveYr=$L$22,C.6SEffectiveQtr=4),"Effective&gt;",IF(OR(N24="&lt;Start",N24="---"),"---",""))))</f>
        <v/>
      </c>
      <c r="S24" s="1163"/>
      <c r="T24" s="1163"/>
      <c r="U24" s="1163"/>
      <c r="V24" s="1198"/>
      <c r="W24" s="1199"/>
      <c r="X24" s="1200"/>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3" t="str">
        <f>IF(OR(M25="&lt;AdvCom&gt;",M25="End&gt;"),"",IF(AND(C.6SACStartYr=$L$22,C.6SACStartQtr=2,C.6SACEndYr=$L$22,C.7SACEndQtr=3),"&lt;AdvCom&gt;",IF(AND(C.6SACStartYr=$L$22,C.6SACStartQtr=3),"&lt;AdvCom",IF(AND(C.6SACEndYr=$L$22,C.7SACEndQtr=3),"End&gt;",IF(OR(M25="&lt;AdvCom",M25="---"),"---","")))))</f>
        <v/>
      </c>
      <c r="O25" s="1163"/>
      <c r="P25" s="1163"/>
      <c r="Q25" s="1163"/>
      <c r="R25" s="1163" t="str">
        <f>IF(OR(N25="&lt;AdvCom&gt;",N25="End&gt;"),"",IF(AND(C.6SACStartYr=$L$22,C.6SACStartQtr=4,C.6SACEndYr=$L$22,C.7SACEndQtr=4),"&lt;AdvCom&gt;",IF(AND(C.6SACStartYr=$L$22,C.6SACStartQtr=4),"&lt;AdvCom",IF(AND(C.6SACEndYr=$L$22,C.7SACEndQtr=4),"End&gt;",IF(OR(N25="&lt;AdvCom",N25="---"),"---","")))))</f>
        <v/>
      </c>
      <c r="S25" s="1163"/>
      <c r="T25" s="1163"/>
      <c r="U25" s="1164"/>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End&gt;</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3" t="str">
        <f>IF(OR(M26="&lt;Notice&gt;",M26="End&gt;"),"",IF(AND(C.6SNoticeStartYr=$L$22,C.6SNoticeStartQtr=3,C.6SNoticeEndYr=$L$22,C.6SNoticeEndQtr=3),"&lt;Notice&gt;",IF(AND(C.6SNoticeStartYr=$L$22,C.6SNoticeStartQtr=3),"&lt;Notice",IF(AND(C.6SNoticeEndYr=$L$22,C.6SNoticeEndQtr=3),"End&gt;",IF(OR(M26="&lt;Notice",M26="---"),"---","")))))</f>
        <v/>
      </c>
      <c r="O26" s="1163"/>
      <c r="P26" s="1163"/>
      <c r="Q26" s="1163"/>
      <c r="R26" s="1163" t="str">
        <f>IF(OR(N26="&lt;Notice&gt;",N26="End&gt;"),"",IF(AND(C.6SNoticeStartYr=$L$22,C.6SNoticeStartQtr=4,C.6SNoticeEndYr=$L$22,C.6SNoticeEndQtr=4),"&lt;Notice&gt;",IF(AND(C.6SNoticeStartYr=$L$22,C.6SNoticeStartQtr=4),"&lt;Notice",IF(AND(C.6SNoticeEndYr=$L$22,C.6SNoticeEndQtr=4),"End&gt;",IF(OR(N26="&lt;Notice",N26="---"),"---","")))))</f>
        <v/>
      </c>
      <c r="S26" s="1163"/>
      <c r="T26" s="1163"/>
      <c r="U26" s="1164"/>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EQC</v>
      </c>
      <c r="K27" s="409" t="str">
        <f>IF(AND(C.6SEQCYr=$H$22,C.6SEQCQtr=4),"EQC","")</f>
        <v/>
      </c>
      <c r="L27" s="156" t="str">
        <f>IF(AND(C.6SEQCYr=$L$22,C.6SEQCQtr=1),"EQC","")</f>
        <v/>
      </c>
      <c r="M27" s="1140" t="str">
        <f>IF(AND(C.6SEQCYr=$L$22,C.6SEQCQtr=2),"EQC","")</f>
        <v/>
      </c>
      <c r="N27" s="1196" t="str">
        <f>IF(AND(C.6SEQCYr=$L$22,C.6SEQCQtr=3),"EQC","")</f>
        <v/>
      </c>
      <c r="O27" s="1196"/>
      <c r="P27" s="1196"/>
      <c r="Q27" s="1196"/>
      <c r="R27" s="1196" t="str">
        <f>IF(AND(C.6SEQCYr=$L$22,C.6SEQCQtr=4),"EQC","")</f>
        <v/>
      </c>
      <c r="S27" s="1196"/>
      <c r="T27" s="1196"/>
      <c r="U27" s="1197"/>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59" t="s">
        <v>1061</v>
      </c>
      <c r="E29" s="1159"/>
      <c r="F29" s="1159"/>
      <c r="G29" s="1159"/>
      <c r="H29" s="120"/>
      <c r="I29" s="989" t="s">
        <v>130</v>
      </c>
      <c r="K29" s="783"/>
      <c r="L29" s="822">
        <f>C.2ComplianceRating</f>
        <v>0</v>
      </c>
      <c r="M29" s="1171" t="str">
        <f>'2Basics'!AA52</f>
        <v>not involved</v>
      </c>
      <c r="N29" s="1171"/>
      <c r="O29" s="1171"/>
      <c r="P29" s="1171"/>
      <c r="Q29" s="1171"/>
      <c r="R29" s="1171"/>
      <c r="S29" s="1171"/>
      <c r="T29" s="1171"/>
      <c r="U29" s="1171"/>
      <c r="V29" s="1171"/>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2" t="str">
        <f>"● "&amp;C.5EnvironmentalCorrelation</f>
        <v>● address an environmental problem indirectly.</v>
      </c>
      <c r="E30" s="1152"/>
      <c r="F30" s="1152"/>
      <c r="G30" s="1152"/>
      <c r="H30" s="1152"/>
      <c r="I30" s="990" t="s">
        <v>131</v>
      </c>
      <c r="J30" s="120"/>
      <c r="K30" s="806"/>
      <c r="L30" s="824">
        <f>C.2PenaltyRating</f>
        <v>0</v>
      </c>
      <c r="M30" s="1172" t="str">
        <f>C.2Penalties</f>
        <v>not involved</v>
      </c>
      <c r="N30" s="1172"/>
      <c r="O30" s="1172"/>
      <c r="P30" s="1172"/>
      <c r="Q30" s="1172"/>
      <c r="R30" s="1172"/>
      <c r="S30" s="1172"/>
      <c r="T30" s="1172"/>
      <c r="U30" s="1172"/>
      <c r="V30" s="1172"/>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2"/>
      <c r="E31" s="1152"/>
      <c r="F31" s="1152"/>
      <c r="G31" s="1152"/>
      <c r="H31" s="1152"/>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2" t="str">
        <f>IF(C.5EnvCorrolation=0,"","● "&amp;C.5EnvReach)</f>
        <v>● have a statewide environmental reach.</v>
      </c>
      <c r="E32" s="1152"/>
      <c r="F32" s="1152"/>
      <c r="G32" s="1152"/>
      <c r="H32" s="1134"/>
      <c r="I32" s="991" t="s">
        <v>2</v>
      </c>
      <c r="J32" s="853"/>
      <c r="K32" s="825"/>
      <c r="L32" s="824">
        <f>'7Financial'!AA19</f>
        <v>0</v>
      </c>
      <c r="M32" s="1170" t="str">
        <f>C.7Fee</f>
        <v>not involved</v>
      </c>
      <c r="N32" s="1170"/>
      <c r="O32" s="1170"/>
      <c r="P32" s="1170"/>
      <c r="Q32" s="1170"/>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2"/>
      <c r="E33" s="1152"/>
      <c r="F33" s="1152"/>
      <c r="G33" s="1152"/>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2" t="str">
        <f>IF(C.5EnvCorrolation=0,"","● "&amp;C.5epaDialog)</f>
        <v>● align with 1 action in the EPA Strategic Plan.</v>
      </c>
      <c r="E34" s="1152"/>
      <c r="F34" s="1152"/>
      <c r="G34" s="1152"/>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2"/>
      <c r="E35" s="1152"/>
      <c r="F35" s="1152"/>
      <c r="G35" s="1152"/>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2" t="str">
        <f>IF(C.5EnvCorrolation=0,"","● "&amp;C.5NaturalStepDialog)</f>
        <v>● do not have a selection for Natural Step support at this time.</v>
      </c>
      <c r="E36" s="1152"/>
      <c r="F36" s="1152"/>
      <c r="G36" s="1152"/>
      <c r="H36" s="1152" t="str">
        <f>C.5DoNothing</f>
        <v>The "do nothing" environmental consequence is: delay in public health protection.</v>
      </c>
      <c r="I36" s="1152"/>
      <c r="J36" s="1152"/>
      <c r="K36" s="1152"/>
      <c r="L36" s="1152"/>
      <c r="M36" s="1152"/>
      <c r="N36" s="1152"/>
      <c r="O36" s="1152"/>
      <c r="P36" s="1152"/>
      <c r="Q36" s="1152"/>
      <c r="R36" s="1152"/>
      <c r="S36" s="1152"/>
      <c r="T36" s="1152"/>
      <c r="U36" s="1152"/>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9" t="s">
        <v>215</v>
      </c>
      <c r="E38" s="1169"/>
      <c r="F38" s="1169"/>
      <c r="G38" s="1169"/>
      <c r="H38" s="1169" t="s">
        <v>234</v>
      </c>
      <c r="I38" s="1169"/>
      <c r="J38" s="1169"/>
      <c r="K38" s="1169"/>
      <c r="L38" s="1169" t="s">
        <v>235</v>
      </c>
      <c r="M38" s="1169"/>
      <c r="N38" s="1169"/>
      <c r="O38" s="1169"/>
      <c r="P38" s="1169"/>
      <c r="Q38" s="1169"/>
      <c r="R38" s="1169"/>
      <c r="S38" s="1169"/>
      <c r="T38" s="1169"/>
      <c r="U38" s="1169"/>
      <c r="V38" s="1169"/>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73.150000000000006" customHeight="1">
      <c r="B39" s="558"/>
      <c r="C39" s="421"/>
      <c r="D39" s="1167" t="str">
        <f>C.2Ideal</f>
        <v>We want to keep PM2.5 pollution below harmful levels and maintain a federally approved State Implementation Plan to protect air quality.</v>
      </c>
      <c r="E39" s="1167"/>
      <c r="F39" s="1167"/>
      <c r="G39" s="1167"/>
      <c r="H39" s="1166" t="str">
        <f>C.2Reality</f>
        <v xml:space="preserve">We're trying to incorporate the annual NAAQS for PM2.5 into Oregon's State Implementation Plan by Dec. 14, 2015. </v>
      </c>
      <c r="I39" s="1166"/>
      <c r="J39" s="1166"/>
      <c r="K39" s="1166"/>
      <c r="L39" s="1165" t="str">
        <f>C.2Consequences</f>
        <v xml:space="preserve">If we do nothing, DEQ's SIP would become delinquent and DEQ could be sued and lose delegation of the AQ program.   </v>
      </c>
      <c r="M39" s="1165"/>
      <c r="N39" s="1165"/>
      <c r="O39" s="1165"/>
      <c r="P39" s="1165"/>
      <c r="Q39" s="1165"/>
      <c r="R39" s="1165"/>
      <c r="S39" s="1165"/>
      <c r="T39" s="1165"/>
      <c r="U39" s="1165"/>
      <c r="V39" s="1165"/>
      <c r="W39" s="1165"/>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7" t="s">
        <v>421</v>
      </c>
      <c r="E40" s="1157"/>
      <c r="F40" s="1157"/>
      <c r="G40" s="1157"/>
      <c r="H40" s="1157" t="s">
        <v>422</v>
      </c>
      <c r="I40" s="1157"/>
      <c r="J40" s="1157"/>
      <c r="K40" s="1157"/>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158" t="str">
        <f>C.2Alternatives</f>
        <v>Because the rules are necessary to comply with the CAA, DEQ is not considering other options.</v>
      </c>
      <c r="E41" s="1158"/>
      <c r="F41" s="1158"/>
      <c r="G41" s="1158"/>
      <c r="H41" s="1195" t="str">
        <f>C.2Research</f>
        <v>We need to determine if there's an interstate transport component to this rulemaking</v>
      </c>
      <c r="I41" s="1195"/>
      <c r="J41" s="1195"/>
      <c r="K41" s="1195"/>
      <c r="L41" s="1153" t="str">
        <f>C.2Models</f>
        <v>We can use previous similar rulemakings as a model for this rulemaking.</v>
      </c>
      <c r="M41" s="1153"/>
      <c r="N41" s="1153"/>
      <c r="O41" s="1153"/>
      <c r="P41" s="1153"/>
      <c r="Q41" s="1153"/>
      <c r="R41" s="1153"/>
      <c r="S41" s="1153"/>
      <c r="T41" s="1153"/>
      <c r="U41" s="1153"/>
      <c r="V41" s="1153"/>
      <c r="W41" s="1153"/>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2.2222222222222223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59" t="str">
        <f>C.3Summary</f>
        <v>Interest in this proposal is low/medium. DEQ does not plan to appoint an advisory committee. We plan to ask the committee to provide advice.</v>
      </c>
      <c r="E43" s="1159"/>
      <c r="F43" s="1159"/>
      <c r="G43" s="1159"/>
      <c r="I43" s="854" t="str">
        <f>'3Stakeholders'!D8</f>
        <v>Business</v>
      </c>
      <c r="J43" s="855"/>
      <c r="K43" s="871">
        <f>'3Stakeholders'!AB8</f>
        <v>4</v>
      </c>
      <c r="L43" s="1154" t="str">
        <f>'3Stakeholders'!AA8</f>
        <v>affects  hundreds currently regulated</v>
      </c>
      <c r="M43" s="1155"/>
      <c r="N43" s="1155"/>
      <c r="O43" s="1155"/>
      <c r="P43" s="1155"/>
      <c r="Q43" s="1155"/>
      <c r="R43" s="1155"/>
      <c r="S43" s="1155"/>
      <c r="T43" s="1155"/>
      <c r="U43" s="1155"/>
      <c r="V43" s="1155"/>
      <c r="W43" s="1155"/>
      <c r="X43" s="1156"/>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59"/>
      <c r="E44" s="1159"/>
      <c r="F44" s="1159"/>
      <c r="G44" s="1159"/>
      <c r="I44" s="854" t="str">
        <f>'3Stakeholders'!D9</f>
        <v>Manufacturing</v>
      </c>
      <c r="J44" s="855"/>
      <c r="K44" s="871">
        <f>'3Stakeholders'!AB9</f>
        <v>3</v>
      </c>
      <c r="L44" s="858" t="str">
        <f>'3Stakeholders'!AA9</f>
        <v>affects  hundreds currently regulated</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59"/>
      <c r="E45" s="1159"/>
      <c r="F45" s="1159"/>
      <c r="G45" s="1159"/>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59"/>
      <c r="E46" s="1159"/>
      <c r="F46" s="1159"/>
      <c r="G46" s="1159"/>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59"/>
      <c r="E47" s="1159"/>
      <c r="F47" s="1159"/>
      <c r="G47" s="1159"/>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59"/>
      <c r="E48" s="1159"/>
      <c r="F48" s="1159"/>
      <c r="G48" s="1159"/>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2">
        <f ca="1">TODAY()</f>
        <v>41780</v>
      </c>
      <c r="K49" s="1192"/>
      <c r="L49" s="1192"/>
      <c r="M49" s="1192"/>
      <c r="N49" s="1192"/>
      <c r="O49" s="1192"/>
      <c r="P49" s="1192"/>
      <c r="Q49" s="1192"/>
      <c r="R49" s="1192"/>
      <c r="S49" s="1192"/>
      <c r="T49" s="1192"/>
      <c r="U49" s="1192"/>
      <c r="V49" s="1192"/>
      <c r="W49" s="1192"/>
      <c r="X49" s="119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O9:W18 N10:N18">
    <cfRule type="colorScale" priority="56">
      <colorScale>
        <cfvo type="num" val="0"/>
        <cfvo type="num" val="5"/>
        <cfvo type="num" val="10"/>
        <color rgb="FF00B050"/>
        <color rgb="FFFFFF00"/>
        <color rgb="FFFF0000"/>
      </colorScale>
    </cfRule>
  </conditionalFormatting>
  <conditionalFormatting sqref="D25:U25">
    <cfRule type="expression" dxfId="70" priority="87">
      <formula>IF(OR(D25="&lt;AdvCom",D25="&lt;AdvCom&gt;",D25="---",D25="End&gt;"),TRUE)</formula>
    </cfRule>
  </conditionalFormatting>
  <conditionalFormatting sqref="D26:U26">
    <cfRule type="expression" dxfId="69" priority="83">
      <formula>IF(OR(D26="&lt;Notice",D26="&lt;Notice&gt;",D26="---",D26="End&gt;"),TRUE)</formula>
    </cfRule>
  </conditionalFormatting>
  <conditionalFormatting sqref="D24:U24">
    <cfRule type="expression" dxfId="68" priority="82">
      <formula>IF(OR(D24="&lt;Start",D24="---",D24="Effective&gt;"),TRUE)</formula>
    </cfRule>
  </conditionalFormatting>
  <conditionalFormatting sqref="E23">
    <cfRule type="expression" dxfId="67" priority="79">
      <formula>IF(ISODD($D$22),TRUE)</formula>
    </cfRule>
  </conditionalFormatting>
  <conditionalFormatting sqref="I23">
    <cfRule type="expression" dxfId="66" priority="78">
      <formula>IF(ISODD($H$22),TRUE)</formula>
    </cfRule>
  </conditionalFormatting>
  <conditionalFormatting sqref="M23">
    <cfRule type="expression" dxfId="65" priority="77">
      <formula>IF(ISODD($L$22),TRUE)</formula>
    </cfRule>
  </conditionalFormatting>
  <conditionalFormatting sqref="W9:W18">
    <cfRule type="expression" dxfId="46" priority="40" stopIfTrue="1">
      <formula>IF($AH9&lt;10,TRUE,)</formula>
    </cfRule>
  </conditionalFormatting>
  <conditionalFormatting sqref="N10:N18">
    <cfRule type="expression" dxfId="45" priority="41" stopIfTrue="1">
      <formula>IF($AH10&lt;1,TRUE,)</formula>
    </cfRule>
  </conditionalFormatting>
  <conditionalFormatting sqref="O9:O18">
    <cfRule type="expression" dxfId="44" priority="42" stopIfTrue="1">
      <formula>IF($AH9&lt;2,TRUE,)</formula>
    </cfRule>
  </conditionalFormatting>
  <conditionalFormatting sqref="P9:P18">
    <cfRule type="expression" dxfId="43" priority="43" stopIfTrue="1">
      <formula>IF(AH9&lt;3,TRUE,)</formula>
    </cfRule>
  </conditionalFormatting>
  <conditionalFormatting sqref="Q9:Q18">
    <cfRule type="expression" dxfId="42" priority="44" stopIfTrue="1">
      <formula>IF($AH9&lt;4,TRUE,)</formula>
    </cfRule>
  </conditionalFormatting>
  <conditionalFormatting sqref="R9:R18">
    <cfRule type="expression" dxfId="41" priority="45" stopIfTrue="1">
      <formula>IF($AH9&lt;5,TRUE,)</formula>
    </cfRule>
  </conditionalFormatting>
  <conditionalFormatting sqref="S9:S18">
    <cfRule type="expression" dxfId="40" priority="46" stopIfTrue="1">
      <formula>IF($AH9&lt;6,TRUE,)</formula>
    </cfRule>
  </conditionalFormatting>
  <conditionalFormatting sqref="T9:T18">
    <cfRule type="expression" dxfId="39" priority="47" stopIfTrue="1">
      <formula>IF($AH9&lt;7,TRUE,)</formula>
    </cfRule>
  </conditionalFormatting>
  <conditionalFormatting sqref="U9:U18">
    <cfRule type="expression" dxfId="38" priority="48" stopIfTrue="1">
      <formula>IF($AH9&lt;8,TRUE,)</formula>
    </cfRule>
  </conditionalFormatting>
  <conditionalFormatting sqref="V9:V18">
    <cfRule type="expression" dxfId="37" priority="49" stopIfTrue="1">
      <formula>IF($AH9&lt;9,TRUE,)</formula>
    </cfRule>
  </conditionalFormatting>
  <conditionalFormatting sqref="K43:K48">
    <cfRule type="iconSet" priority="14">
      <iconSet iconSet="3TrafficLights2" showValue="0" reverse="1">
        <cfvo type="percent" val="0"/>
        <cfvo type="num" val="3"/>
        <cfvo type="num" val="7"/>
      </iconSet>
    </cfRule>
  </conditionalFormatting>
  <conditionalFormatting sqref="C42">
    <cfRule type="iconSet" priority="5">
      <iconSet iconSet="3TrafficLights2" showValue="0" reverse="1">
        <cfvo type="percent" val="0"/>
        <cfvo type="num" val="4"/>
        <cfvo type="num" val="7"/>
      </iconSet>
    </cfRule>
  </conditionalFormatting>
  <conditionalFormatting sqref="C28">
    <cfRule type="iconSet" priority="4">
      <iconSet iconSet="3TrafficLights2" showValue="0" reverse="1">
        <cfvo type="percent" val="0"/>
        <cfvo type="num" val="4"/>
        <cfvo type="num" val="7"/>
      </iconSet>
    </cfRule>
  </conditionalFormatting>
  <conditionalFormatting sqref="M9:M18">
    <cfRule type="iconSet" priority="3">
      <iconSet iconSet="3TrafficLights2" showValue="0" reverse="1">
        <cfvo type="percent" val="0"/>
        <cfvo type="num" val="4"/>
        <cfvo type="num" val="7"/>
      </iconSet>
    </cfRule>
  </conditionalFormatting>
  <conditionalFormatting sqref="D27:U27">
    <cfRule type="expression" dxfId="64" priority="5379">
      <formula>IF(D$27="EQC",TRUE)</formula>
    </cfRule>
  </conditionalFormatting>
  <conditionalFormatting sqref="AD32:AD36 L29:L35">
    <cfRule type="iconSet" priority="5398">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176" activePane="bottomRight" state="frozen"/>
      <selection pane="topRight" activeCell="C1" sqref="C1"/>
      <selection pane="bottomLeft" activeCell="A5" sqref="A5"/>
      <selection pane="bottomRight" activeCell="A76" sqref="A76"/>
    </sheetView>
  </sheetViews>
  <sheetFormatPr defaultColWidth="9"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5" t="s">
        <v>0</v>
      </c>
    </row>
    <row r="3" spans="1:11" s="915" customFormat="1" ht="15.75" customHeight="1">
      <c r="A3" s="965"/>
      <c r="B3" s="1036" t="str">
        <f>IF(C.4Media="air","AQ",IF(C.4Media="water","WQ",IF(C.4Media="land","LQ","CP")))</f>
        <v>AQ</v>
      </c>
      <c r="C3" s="967" t="str">
        <f>C.4Program</f>
        <v>Environmental Solutions AQ planning section</v>
      </c>
      <c r="D3" s="965"/>
      <c r="E3" s="914"/>
      <c r="F3" s="913"/>
      <c r="G3" s="913"/>
      <c r="H3" s="913"/>
      <c r="I3" s="913"/>
      <c r="J3" s="913"/>
      <c r="K3" s="1205"/>
    </row>
    <row r="4" spans="1:11" ht="19.5" customHeight="1">
      <c r="A4" s="914"/>
      <c r="B4" s="1206" t="str">
        <f>C.2Divisions</f>
        <v>202-0060(3), 200</v>
      </c>
      <c r="C4" s="1206"/>
      <c r="D4" s="966"/>
      <c r="E4" s="914"/>
      <c r="F4" s="913"/>
      <c r="G4" s="913"/>
      <c r="H4" s="913"/>
      <c r="I4" s="913"/>
      <c r="J4" s="913"/>
      <c r="K4" s="1205"/>
    </row>
    <row r="5" spans="1:11" ht="19.5" hidden="1" customHeight="1">
      <c r="A5" s="914"/>
      <c r="B5" s="1044" t="s">
        <v>0</v>
      </c>
      <c r="C5" s="968" t="str">
        <f ca="1">CELL("filename")</f>
        <v>http://deqsps/programs/rulemaking/aq/sippm25/docs/1-Planning/[CONSIDERATIONS.xlsx]Summary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Oregon maintains a federally-approved State Implementation Plan to protect air quality. DEQ proposes to incorporate the annual National Ambient Air Quality Standards for PM2.5 into the SIP. The federal Clean Air Act requires DEQ to adopt new or revised NAAQS and incorporate them into the SIP within 3 years of EPA promulgation. EPA promulgated the annual NAAQS for PM2.5 on Dec. 14, 2012, which means Oregon's incorporation is due Dec. 14, 2015.</v>
      </c>
      <c r="D7" s="898"/>
      <c r="E7" s="919"/>
    </row>
    <row r="8" spans="1:11" ht="15" customHeight="1" collapsed="1">
      <c r="A8" s="922" t="s">
        <v>449</v>
      </c>
      <c r="B8" s="1037">
        <f>AVERAGEIF(B31:B175,"&gt;0")</f>
        <v>3.2</v>
      </c>
      <c r="C8" s="923" t="str">
        <f>LOWER(C.2PermTemp)</f>
        <v>permanent</v>
      </c>
      <c r="D8" s="912"/>
      <c r="E8" s="919"/>
    </row>
    <row r="9" spans="1:11" ht="15" customHeight="1">
      <c r="A9" s="924" t="s">
        <v>451</v>
      </c>
      <c r="B9" s="1045"/>
      <c r="C9" s="926" t="str">
        <f>C.2Divisions</f>
        <v>202-0060(3), 200</v>
      </c>
      <c r="D9" s="925"/>
      <c r="E9" s="919"/>
    </row>
    <row r="10" spans="1:11" ht="15" customHeight="1">
      <c r="A10" s="924" t="s">
        <v>463</v>
      </c>
      <c r="B10" s="1045"/>
      <c r="C10" s="926"/>
      <c r="D10" s="925"/>
      <c r="E10" s="919"/>
    </row>
    <row r="11" spans="1:11" ht="15" customHeight="1">
      <c r="A11" s="918" t="s">
        <v>384</v>
      </c>
      <c r="B11" s="1046">
        <f>'2Basics'!X10</f>
        <v>0</v>
      </c>
      <c r="C11" s="926" t="str">
        <f>'2Basics'!H10</f>
        <v>does not apply</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0</v>
      </c>
      <c r="C17" s="926" t="str">
        <f>'2Basics'!H16</f>
        <v>does not apply</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We want to keep PM2.5 pollution below harmful levels and maintain a federally approved State Implementation Plan to protect air quality.</v>
      </c>
      <c r="D19" s="925"/>
      <c r="E19" s="919"/>
    </row>
    <row r="20" spans="1:5" s="915" customFormat="1" ht="15" hidden="1" customHeight="1" outlineLevel="1">
      <c r="A20" s="957" t="s">
        <v>466</v>
      </c>
      <c r="B20" s="1046"/>
      <c r="C20" s="959">
        <f>C.2IdealLong</f>
        <v>0</v>
      </c>
      <c r="D20" s="925"/>
      <c r="E20" s="919"/>
    </row>
    <row r="21" spans="1:5" s="915" customFormat="1" ht="15" hidden="1" customHeight="1" outlineLevel="1">
      <c r="A21" s="957" t="s">
        <v>471</v>
      </c>
      <c r="B21" s="1046"/>
      <c r="C21" s="959" t="str">
        <f>C.2Reality</f>
        <v xml:space="preserve">We're trying to incorporate the annual NAAQS for PM2.5 into Oregon's State Implementation Plan by Dec. 14, 2015. </v>
      </c>
      <c r="D21" s="925"/>
      <c r="E21" s="919"/>
    </row>
    <row r="22" spans="1:5" s="915" customFormat="1" ht="15" hidden="1" customHeight="1" outlineLevel="1">
      <c r="A22" s="957" t="s">
        <v>467</v>
      </c>
      <c r="B22" s="1046"/>
      <c r="C22" s="959" t="str">
        <f>C.2Reality</f>
        <v xml:space="preserve">We're trying to incorporate the annual NAAQS for PM2.5 into Oregon's State Implementation Plan by Dec. 14, 2015. </v>
      </c>
      <c r="D22" s="925"/>
      <c r="E22" s="919"/>
    </row>
    <row r="23" spans="1:5" s="915" customFormat="1" ht="15" hidden="1" customHeight="1" outlineLevel="1">
      <c r="A23" s="957" t="s">
        <v>468</v>
      </c>
      <c r="B23" s="1046"/>
      <c r="C23" s="959" t="str">
        <f>C.2Consequences</f>
        <v xml:space="preserve">If we do nothing, DEQ's SIP would become delinquent and DEQ could be sued and lose delegation of the AQ program.   </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Because the rules are necessary to comply with the CAA, DEQ is not considering other options.</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We need to determine if there's an interstate transport component to this rulemaking</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We can use previous similar rulemakings as a model for this rulemaking.</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ht="28.5">
      <c r="A40" s="931" t="s">
        <v>120</v>
      </c>
      <c r="B40" s="1037">
        <f>'3Stakeholders'!AB8</f>
        <v>4</v>
      </c>
      <c r="C40" s="932" t="str">
        <f>'3Stakeholders'!AA8</f>
        <v>affects  hundreds currently regulated</v>
      </c>
      <c r="D40" s="901"/>
      <c r="E40" s="919"/>
    </row>
    <row r="41" spans="1:10">
      <c r="A41" s="931" t="s">
        <v>108</v>
      </c>
      <c r="B41" s="1037">
        <f>'3Stakeholders'!AB9</f>
        <v>3</v>
      </c>
      <c r="C41" s="933" t="str">
        <f>'3Stakeholders'!AA9</f>
        <v>affects  hundreds currently regulated</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2</v>
      </c>
      <c r="C47" s="932" t="str">
        <f>'3Stakeholders'!Y20</f>
        <v>minor interest</v>
      </c>
      <c r="D47" s="901"/>
      <c r="E47" s="919"/>
    </row>
    <row r="48" spans="1:10" ht="15.75" customHeight="1">
      <c r="A48" s="931" t="s">
        <v>335</v>
      </c>
      <c r="B48" s="1037">
        <f>'3Stakeholders'!X21</f>
        <v>2</v>
      </c>
      <c r="C48" s="932" t="str">
        <f>'3Stakeholders'!Y21</f>
        <v>minor interest</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2</v>
      </c>
      <c r="C51" s="932" t="str">
        <f>'3Stakeholders'!Y24</f>
        <v>minor interest</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2</v>
      </c>
      <c r="C54" s="932" t="str">
        <f>'3Stakeholders'!Y27</f>
        <v>minor interest</v>
      </c>
      <c r="D54" s="901"/>
      <c r="E54" s="919"/>
    </row>
    <row r="55" spans="1:5">
      <c r="A55" s="931" t="s">
        <v>342</v>
      </c>
      <c r="B55" s="1037">
        <f>'3Stakeholders'!X28</f>
        <v>2</v>
      </c>
      <c r="C55" s="932" t="str">
        <f>'3Stakeholders'!Y28</f>
        <v>minor interest</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Portland area</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453</v>
      </c>
      <c r="B70" s="1038">
        <f>C.4SeverityRating</f>
        <v>1</v>
      </c>
      <c r="C70" s="997" t="str">
        <f>C.4SeverityStmt</f>
        <v>low</v>
      </c>
      <c r="D70" s="902"/>
      <c r="E70" s="919"/>
    </row>
    <row r="71" spans="1:5" s="915" customFormat="1" ht="15.75" customHeight="1">
      <c r="A71" s="999" t="str">
        <f>'4Program'!D9</f>
        <v>Loss of delegation</v>
      </c>
      <c r="B71" s="1038">
        <f>'4Program'!Z9</f>
        <v>7</v>
      </c>
      <c r="C71" s="997" t="str">
        <f>IF(B71=0,"does not apply","true")</f>
        <v>true</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7</v>
      </c>
      <c r="C74" s="997" t="str">
        <f t="shared" si="0"/>
        <v>true</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7</v>
      </c>
      <c r="C89" s="935" t="str">
        <f>IF('5Environmental'!X9=FALSE,"does not apply",LOWER('5Environmental'!X9))</f>
        <v>true</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5</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1</v>
      </c>
      <c r="C102" s="932" t="str">
        <f>C.6RatingBlurb</f>
        <v>definitely not complex</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2011-Q1 to 2015-Q4</v>
      </c>
      <c r="D104" s="904"/>
      <c r="E104" s="919"/>
    </row>
    <row r="105" spans="1:10" s="915" customFormat="1" ht="15" customHeight="1">
      <c r="A105" s="946" t="s">
        <v>54</v>
      </c>
      <c r="B105" s="1041">
        <f>'6Timing'!Z11</f>
        <v>0</v>
      </c>
      <c r="C105" s="988" t="str">
        <f>C.6SACStart.YrQtr</f>
        <v>2011-Q1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0</v>
      </c>
      <c r="C107" s="923" t="str">
        <f>'6Timing'!AD13</f>
        <v>2014-Q3 to 2014-Q4</v>
      </c>
      <c r="D107" s="904"/>
      <c r="E107" s="919"/>
    </row>
    <row r="108" spans="1:10" ht="15" customHeight="1">
      <c r="A108" s="946" t="s">
        <v>460</v>
      </c>
      <c r="B108" s="1041">
        <f>'6Timing'!Z14</f>
        <v>0</v>
      </c>
      <c r="C108" s="923" t="str">
        <f>C.6SEQC.YrQtr</f>
        <v>2015-Q3</v>
      </c>
      <c r="D108" s="904"/>
      <c r="E108" s="919"/>
    </row>
    <row r="109" spans="1:10">
      <c r="A109" s="946" t="s">
        <v>55</v>
      </c>
      <c r="B109" s="1041">
        <f>'6Timing'!Z15</f>
        <v>0</v>
      </c>
      <c r="C109" s="1016" t="str">
        <f>C.6SEffective.YrQtr</f>
        <v>2015-Q4</v>
      </c>
    </row>
    <row r="110" spans="1:10" ht="15.75" hidden="1" customHeight="1" outlineLevel="1">
      <c r="A110" s="943" t="s">
        <v>497</v>
      </c>
      <c r="B110" s="1045"/>
      <c r="C110" s="1014" t="str">
        <f>C.6Rational</f>
        <v xml:space="preserve"> States need to adopt federal standards within 3 years. This update is due to EPA by Dec. 14, 2015.</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453</v>
      </c>
      <c r="B113" s="1046">
        <f>C.5SeverityRating</f>
        <v>1</v>
      </c>
      <c r="C113" s="932" t="str">
        <f>'7Financial'!Y7</f>
        <v>low</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7</v>
      </c>
      <c r="C116" s="932" t="str">
        <f>IF('7Financial'!X12=FALSE,"does not apply",LOWER('7Financial'!X12))</f>
        <v>true</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 xml:space="preserve"> Timecenter: 43003  Rulemaking: AQ Infrastructure SIP - PM2.5 - Mgr 15</v>
      </c>
      <c r="D122" s="904"/>
      <c r="E122" s="919"/>
    </row>
    <row r="123" spans="1:5" ht="15.75" customHeight="1">
      <c r="A123" s="947" t="s">
        <v>329</v>
      </c>
      <c r="B123" s="1041"/>
      <c r="C123" s="942" t="str">
        <f>'7Financial'!E6</f>
        <v>Contingent on any effects to PSD, permitting or LRAPA</v>
      </c>
      <c r="D123" s="904"/>
      <c r="E123" s="919"/>
    </row>
    <row r="124" spans="1:5" ht="15.75" customHeight="1">
      <c r="A124" s="934" t="s">
        <v>113</v>
      </c>
      <c r="B124" s="1051">
        <f>C.7FiscalImpactRating</f>
        <v>6</v>
      </c>
      <c r="C124" s="935" t="s">
        <v>518</v>
      </c>
      <c r="D124" s="904"/>
      <c r="E124" s="919"/>
    </row>
    <row r="125" spans="1:5" ht="15.75" customHeight="1">
      <c r="A125" s="947" t="s">
        <v>334</v>
      </c>
      <c r="B125" s="1051">
        <f>'7Financial'!X25</f>
        <v>6</v>
      </c>
      <c r="C125" s="1056" t="str">
        <f>'7Financial'!Y25</f>
        <v>unknown at this time</v>
      </c>
      <c r="D125" s="950"/>
      <c r="E125" s="919"/>
    </row>
    <row r="126" spans="1:5" ht="15.75" customHeight="1">
      <c r="A126" s="947" t="s">
        <v>346</v>
      </c>
      <c r="B126" s="1051">
        <f>'7Financial'!X26</f>
        <v>6</v>
      </c>
      <c r="C126" s="1056" t="str">
        <f>'7Financial'!Y26</f>
        <v>unknown at this time</v>
      </c>
      <c r="D126" s="950"/>
      <c r="E126" s="919"/>
    </row>
    <row r="127" spans="1:5" ht="15.75" customHeight="1">
      <c r="A127" s="947" t="s">
        <v>335</v>
      </c>
      <c r="B127" s="1051">
        <f>'7Financial'!X27</f>
        <v>6</v>
      </c>
      <c r="C127" s="1056" t="str">
        <f>'7Financial'!Y27</f>
        <v>unknown at this time</v>
      </c>
      <c r="D127" s="950"/>
      <c r="E127" s="919"/>
    </row>
    <row r="128" spans="1:5" ht="15.75" customHeight="1">
      <c r="A128" s="947" t="s">
        <v>341</v>
      </c>
      <c r="B128" s="1051">
        <f>'7Financial'!X28</f>
        <v>6</v>
      </c>
      <c r="C128" s="1056" t="str">
        <f>'7Financial'!Y28</f>
        <v>unknown at this time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453</v>
      </c>
      <c r="B146" s="1051">
        <f>C.8SeverityRating</f>
        <v>3</v>
      </c>
      <c r="C146" s="942" t="str">
        <f>'8Legal'!Y14</f>
        <v>low to medium</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ORS 468 and 468A</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CAA 110</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NA</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1</v>
      </c>
      <c r="C162" s="932" t="str">
        <f>C.9RatingBlurb</f>
        <v>definitely not complex</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Prevent DEQ from being listed as delinquent</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Contingent on any effects to PSD, permitting or LRAPA</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8"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529</v>
      </c>
      <c r="B198" s="1040" t="str">
        <f>C.4Proposal</f>
        <v xml:space="preserve"> </v>
      </c>
      <c r="C198" s="902"/>
      <c r="D198" s="898"/>
      <c r="E198" s="919"/>
    </row>
    <row r="199" spans="1:5" s="915" customFormat="1" hidden="1" outlineLevel="1">
      <c r="A199" s="1059" t="s">
        <v>530</v>
      </c>
      <c r="B199" s="1040" t="str">
        <f>C.5Proposal</f>
        <v xml:space="preserve"> </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6" sqref="D6"/>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1" t="s">
        <v>404</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0"/>
      <c r="E4" s="1210"/>
      <c r="F4" s="1210"/>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96</v>
      </c>
      <c r="E6" s="838" t="s">
        <v>68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7" t="s">
        <v>489</v>
      </c>
      <c r="E15" s="1217"/>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7"/>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5">
        <f ca="1">TODAY()</f>
        <v>41780</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B1" zoomScaleNormal="100" workbookViewId="0">
      <selection activeCell="D6" sqref="D6"/>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71" t="s">
        <v>1075</v>
      </c>
      <c r="G2" s="1271"/>
      <c r="H2" s="1271"/>
      <c r="I2" s="1271"/>
      <c r="J2" s="1271"/>
      <c r="K2" s="1271"/>
      <c r="L2" s="1271"/>
      <c r="M2" s="1271"/>
      <c r="N2" s="1271"/>
      <c r="O2" s="1271"/>
      <c r="P2" s="1271"/>
      <c r="Q2" s="1271"/>
      <c r="R2" s="1271"/>
      <c r="S2" s="1271"/>
      <c r="T2" s="1271"/>
      <c r="U2" s="200"/>
      <c r="V2" s="559"/>
      <c r="W2" s="1239"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39"/>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70" t="s">
        <v>1026</v>
      </c>
      <c r="B4" s="559"/>
      <c r="C4" s="388" t="s">
        <v>0</v>
      </c>
      <c r="D4" s="1265" t="s">
        <v>214</v>
      </c>
      <c r="E4" s="1265"/>
      <c r="F4" s="1265"/>
      <c r="G4" s="1265"/>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70"/>
      <c r="B5" s="559"/>
      <c r="C5" s="279"/>
      <c r="D5" s="1257" t="s">
        <v>1081</v>
      </c>
      <c r="E5" s="1258"/>
      <c r="F5" s="1258"/>
      <c r="G5" s="1258"/>
      <c r="H5" s="1258"/>
      <c r="I5" s="1258"/>
      <c r="J5" s="1258"/>
      <c r="K5" s="1258"/>
      <c r="L5" s="1258"/>
      <c r="M5" s="1258"/>
      <c r="N5" s="1258"/>
      <c r="O5" s="1258"/>
      <c r="P5" s="1258"/>
      <c r="Q5" s="1258"/>
      <c r="R5" s="1258"/>
      <c r="S5" s="1258"/>
      <c r="T5" s="1259"/>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70"/>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2" t="s">
        <v>375</v>
      </c>
      <c r="G7" s="1243"/>
      <c r="H7" s="1249" t="s">
        <v>210</v>
      </c>
      <c r="I7" s="1250"/>
      <c r="J7" s="1251"/>
      <c r="K7" s="1267" t="s">
        <v>1067</v>
      </c>
      <c r="L7" s="1268"/>
      <c r="M7" s="1268"/>
      <c r="N7" s="1268"/>
      <c r="O7" s="1268"/>
      <c r="P7" s="1268"/>
      <c r="Q7" s="1268"/>
      <c r="R7" s="1268"/>
      <c r="S7" s="1268"/>
      <c r="T7" s="1269"/>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48" t="s">
        <v>423</v>
      </c>
      <c r="E8" s="1248"/>
      <c r="F8" s="1248"/>
      <c r="G8" s="1248"/>
      <c r="H8" s="1248"/>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6" t="s">
        <v>371</v>
      </c>
      <c r="F9" s="1266"/>
      <c r="G9" s="1266"/>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2" t="s">
        <v>384</v>
      </c>
      <c r="F10" s="1252"/>
      <c r="G10" s="1253"/>
      <c r="H10" s="1245" t="s">
        <v>4</v>
      </c>
      <c r="I10" s="1245"/>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4" t="s">
        <v>385</v>
      </c>
      <c r="F11" s="1254"/>
      <c r="G11" s="1255"/>
      <c r="H11" s="1244" t="s">
        <v>4</v>
      </c>
      <c r="I11" s="1244"/>
      <c r="J11" s="225"/>
      <c r="K11" s="438">
        <v>1</v>
      </c>
      <c r="L11" s="439">
        <v>2</v>
      </c>
      <c r="M11" s="440">
        <v>3</v>
      </c>
      <c r="N11" s="441">
        <v>4</v>
      </c>
      <c r="O11" s="442">
        <v>5</v>
      </c>
      <c r="P11" s="443">
        <v>6</v>
      </c>
      <c r="Q11" s="444">
        <v>7</v>
      </c>
      <c r="R11" s="445">
        <v>8</v>
      </c>
      <c r="S11" s="446">
        <v>9</v>
      </c>
      <c r="T11" s="447">
        <v>10</v>
      </c>
      <c r="U11" s="292"/>
      <c r="V11" s="559"/>
      <c r="W11" s="313" t="s">
        <v>644</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4" t="s">
        <v>386</v>
      </c>
      <c r="F12" s="1254"/>
      <c r="G12" s="1255"/>
      <c r="H12" s="1244" t="s">
        <v>4</v>
      </c>
      <c r="I12" s="1244"/>
      <c r="J12" s="225"/>
      <c r="K12" s="448">
        <v>1</v>
      </c>
      <c r="L12" s="449">
        <v>2</v>
      </c>
      <c r="M12" s="450">
        <v>3</v>
      </c>
      <c r="N12" s="451">
        <v>4</v>
      </c>
      <c r="O12" s="452">
        <v>5</v>
      </c>
      <c r="P12" s="453">
        <v>6</v>
      </c>
      <c r="Q12" s="454">
        <v>7</v>
      </c>
      <c r="R12" s="455">
        <v>8</v>
      </c>
      <c r="S12" s="456">
        <v>9</v>
      </c>
      <c r="T12" s="457">
        <v>10</v>
      </c>
      <c r="U12" s="292"/>
      <c r="V12" s="559"/>
      <c r="W12" s="313" t="s">
        <v>644</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4" t="s">
        <v>390</v>
      </c>
      <c r="F13" s="1254"/>
      <c r="G13" s="1255"/>
      <c r="H13" s="1244" t="s">
        <v>4</v>
      </c>
      <c r="I13" s="1244"/>
      <c r="J13" s="225"/>
      <c r="K13" s="438">
        <v>1</v>
      </c>
      <c r="L13" s="439">
        <v>2</v>
      </c>
      <c r="M13" s="440">
        <v>3</v>
      </c>
      <c r="N13" s="441">
        <v>4</v>
      </c>
      <c r="O13" s="442">
        <v>5</v>
      </c>
      <c r="P13" s="443">
        <v>6</v>
      </c>
      <c r="Q13" s="444">
        <v>7</v>
      </c>
      <c r="R13" s="445">
        <v>8</v>
      </c>
      <c r="S13" s="446">
        <v>9</v>
      </c>
      <c r="T13" s="447">
        <v>10</v>
      </c>
      <c r="U13" s="292"/>
      <c r="V13" s="559"/>
      <c r="W13" s="313" t="s">
        <v>644</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4" t="s">
        <v>389</v>
      </c>
      <c r="F14" s="1254"/>
      <c r="G14" s="1255"/>
      <c r="H14" s="1244" t="s">
        <v>8</v>
      </c>
      <c r="I14" s="1244"/>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4" t="s">
        <v>388</v>
      </c>
      <c r="F15" s="1254"/>
      <c r="G15" s="1255"/>
      <c r="H15" s="1244" t="s">
        <v>8</v>
      </c>
      <c r="I15" s="1244"/>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4" t="s">
        <v>387</v>
      </c>
      <c r="F16" s="1254"/>
      <c r="G16" s="1255"/>
      <c r="H16" s="1244" t="s">
        <v>4</v>
      </c>
      <c r="I16" s="1244"/>
      <c r="J16" s="225"/>
      <c r="K16" s="438">
        <v>1</v>
      </c>
      <c r="L16" s="439">
        <v>2</v>
      </c>
      <c r="M16" s="440">
        <v>3</v>
      </c>
      <c r="N16" s="441">
        <v>4</v>
      </c>
      <c r="O16" s="442">
        <v>5</v>
      </c>
      <c r="P16" s="443">
        <v>6</v>
      </c>
      <c r="Q16" s="444">
        <v>7</v>
      </c>
      <c r="R16" s="445">
        <v>8</v>
      </c>
      <c r="S16" s="446">
        <v>9</v>
      </c>
      <c r="T16" s="447">
        <v>10</v>
      </c>
      <c r="U16" s="292"/>
      <c r="V16" s="559"/>
      <c r="W16" s="313" t="s">
        <v>644</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4" t="s">
        <v>452</v>
      </c>
      <c r="F17" s="1254"/>
      <c r="G17" s="1255"/>
      <c r="H17" s="1244" t="s">
        <v>4</v>
      </c>
      <c r="I17" s="1244"/>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40" t="s">
        <v>107</v>
      </c>
      <c r="H20" s="1240"/>
      <c r="I20" s="1240"/>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1" t="s">
        <v>376</v>
      </c>
      <c r="E21" s="1221"/>
      <c r="F21" s="1221"/>
      <c r="G21" s="1221"/>
      <c r="H21" s="1221"/>
      <c r="I21" s="1221"/>
      <c r="J21" s="1221"/>
      <c r="K21" s="1221"/>
      <c r="L21" s="1221"/>
      <c r="M21" s="1221"/>
      <c r="N21" s="1221"/>
      <c r="O21" s="1221"/>
      <c r="P21" s="1221"/>
      <c r="Q21" s="1221"/>
      <c r="R21" s="1221"/>
      <c r="S21" s="1221"/>
      <c r="T21" s="1221"/>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22" t="s">
        <v>1076</v>
      </c>
      <c r="F22" s="1223"/>
      <c r="G22" s="1223"/>
      <c r="H22" s="1223"/>
      <c r="I22" s="1223"/>
      <c r="J22" s="1223"/>
      <c r="K22" s="1223"/>
      <c r="L22" s="1223"/>
      <c r="M22" s="1223"/>
      <c r="N22" s="1223"/>
      <c r="O22" s="1223"/>
      <c r="P22" s="1223"/>
      <c r="Q22" s="1223"/>
      <c r="R22" s="1223"/>
      <c r="S22" s="1223"/>
      <c r="T22" s="1224"/>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22"/>
      <c r="F23" s="1223"/>
      <c r="G23" s="1223"/>
      <c r="H23" s="1223"/>
      <c r="I23" s="1223"/>
      <c r="J23" s="1223"/>
      <c r="K23" s="1223"/>
      <c r="L23" s="1223"/>
      <c r="M23" s="1223"/>
      <c r="N23" s="1223"/>
      <c r="O23" s="1223"/>
      <c r="P23" s="1223"/>
      <c r="Q23" s="1223"/>
      <c r="R23" s="1223"/>
      <c r="S23" s="1223"/>
      <c r="T23" s="1224"/>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1" t="s">
        <v>377</v>
      </c>
      <c r="E24" s="1221"/>
      <c r="F24" s="1221"/>
      <c r="G24" s="1221"/>
      <c r="H24" s="1221"/>
      <c r="I24" s="1221"/>
      <c r="J24" s="1221"/>
      <c r="K24" s="1221"/>
      <c r="L24" s="1221"/>
      <c r="M24" s="1221"/>
      <c r="N24" s="1221"/>
      <c r="O24" s="1221"/>
      <c r="P24" s="1221"/>
      <c r="Q24" s="1221"/>
      <c r="R24" s="1221"/>
      <c r="S24" s="1221"/>
      <c r="T24" s="1221"/>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60" t="s">
        <v>1077</v>
      </c>
      <c r="F25" s="1261"/>
      <c r="G25" s="1261"/>
      <c r="H25" s="1261"/>
      <c r="I25" s="1261"/>
      <c r="J25" s="1261"/>
      <c r="K25" s="1261"/>
      <c r="L25" s="1261"/>
      <c r="M25" s="1261"/>
      <c r="N25" s="1261"/>
      <c r="O25" s="1261"/>
      <c r="P25" s="1261"/>
      <c r="Q25" s="1261"/>
      <c r="R25" s="1261"/>
      <c r="S25" s="1261"/>
      <c r="T25" s="1262"/>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60"/>
      <c r="F26" s="1261"/>
      <c r="G26" s="1261"/>
      <c r="H26" s="1261"/>
      <c r="I26" s="1261"/>
      <c r="J26" s="1261"/>
      <c r="K26" s="1261"/>
      <c r="L26" s="1261"/>
      <c r="M26" s="1261"/>
      <c r="N26" s="1261"/>
      <c r="O26" s="1261"/>
      <c r="P26" s="1261"/>
      <c r="Q26" s="1261"/>
      <c r="R26" s="1261"/>
      <c r="S26" s="1261"/>
      <c r="T26" s="1262"/>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1" t="s">
        <v>378</v>
      </c>
      <c r="E27" s="1221"/>
      <c r="F27" s="1221"/>
      <c r="G27" s="1221"/>
      <c r="H27" s="1221"/>
      <c r="I27" s="1221"/>
      <c r="J27" s="1221"/>
      <c r="K27" s="1221"/>
      <c r="L27" s="1221"/>
      <c r="M27" s="1221"/>
      <c r="N27" s="1221"/>
      <c r="O27" s="1221"/>
      <c r="P27" s="1221"/>
      <c r="Q27" s="1221"/>
      <c r="R27" s="1221"/>
      <c r="S27" s="1221"/>
      <c r="T27" s="1221"/>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60" t="s">
        <v>1078</v>
      </c>
      <c r="F28" s="1261"/>
      <c r="G28" s="1261"/>
      <c r="H28" s="1261"/>
      <c r="I28" s="1261"/>
      <c r="J28" s="1261"/>
      <c r="K28" s="1261"/>
      <c r="L28" s="1261"/>
      <c r="M28" s="1261"/>
      <c r="N28" s="1261"/>
      <c r="O28" s="1261"/>
      <c r="P28" s="1261"/>
      <c r="Q28" s="1261"/>
      <c r="R28" s="1261"/>
      <c r="S28" s="1261"/>
      <c r="T28" s="1262"/>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60" t="s">
        <v>470</v>
      </c>
      <c r="F29" s="1261"/>
      <c r="G29" s="1261"/>
      <c r="H29" s="1261"/>
      <c r="I29" s="1261"/>
      <c r="J29" s="1261"/>
      <c r="K29" s="1261"/>
      <c r="L29" s="1261"/>
      <c r="M29" s="1261"/>
      <c r="N29" s="1261"/>
      <c r="O29" s="1261"/>
      <c r="P29" s="1261"/>
      <c r="Q29" s="1261"/>
      <c r="R29" s="1261"/>
      <c r="S29" s="1261"/>
      <c r="T29" s="1262"/>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1" t="s">
        <v>392</v>
      </c>
      <c r="E30" s="1221"/>
      <c r="F30" s="1221"/>
      <c r="G30" s="1221"/>
      <c r="H30" s="1221"/>
      <c r="I30" s="1221"/>
      <c r="J30" s="1221"/>
      <c r="K30" s="1221"/>
      <c r="L30" s="1221"/>
      <c r="M30" s="1221"/>
      <c r="N30" s="1221"/>
      <c r="O30" s="1221"/>
      <c r="P30" s="1221"/>
      <c r="Q30" s="1221"/>
      <c r="R30" s="1221"/>
      <c r="S30" s="1221"/>
      <c r="T30" s="1221"/>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2" t="s">
        <v>1073</v>
      </c>
      <c r="F31" s="1223"/>
      <c r="G31" s="1223"/>
      <c r="H31" s="1223"/>
      <c r="I31" s="1223"/>
      <c r="J31" s="1223"/>
      <c r="K31" s="1223"/>
      <c r="L31" s="1223"/>
      <c r="M31" s="1223"/>
      <c r="N31" s="1223"/>
      <c r="O31" s="1223"/>
      <c r="P31" s="1223"/>
      <c r="Q31" s="1223"/>
      <c r="R31" s="1223"/>
      <c r="S31" s="1223"/>
      <c r="T31" s="1224"/>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22" t="s">
        <v>470</v>
      </c>
      <c r="F32" s="1223"/>
      <c r="G32" s="1223"/>
      <c r="H32" s="1223"/>
      <c r="I32" s="1223"/>
      <c r="J32" s="1223"/>
      <c r="K32" s="1223"/>
      <c r="L32" s="1223"/>
      <c r="M32" s="1223"/>
      <c r="N32" s="1223"/>
      <c r="O32" s="1223"/>
      <c r="P32" s="1223"/>
      <c r="Q32" s="1223"/>
      <c r="R32" s="1223"/>
      <c r="S32" s="1223"/>
      <c r="T32" s="1224"/>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1" t="s">
        <v>393</v>
      </c>
      <c r="E33" s="1221"/>
      <c r="F33" s="1221"/>
      <c r="G33" s="1221"/>
      <c r="H33" s="1221"/>
      <c r="I33" s="1221"/>
      <c r="J33" s="1221"/>
      <c r="K33" s="1221"/>
      <c r="L33" s="1221"/>
      <c r="M33" s="1221"/>
      <c r="N33" s="1221"/>
      <c r="O33" s="1221"/>
      <c r="P33" s="1221"/>
      <c r="Q33" s="1221"/>
      <c r="R33" s="1221"/>
      <c r="S33" s="1221"/>
      <c r="T33" s="1221"/>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6" t="s">
        <v>1079</v>
      </c>
      <c r="F34" s="1227"/>
      <c r="G34" s="1227"/>
      <c r="H34" s="1227"/>
      <c r="I34" s="1227"/>
      <c r="J34" s="1227"/>
      <c r="K34" s="1227"/>
      <c r="L34" s="1227"/>
      <c r="M34" s="1227"/>
      <c r="N34" s="1227"/>
      <c r="O34" s="1227"/>
      <c r="P34" s="1227"/>
      <c r="Q34" s="1227"/>
      <c r="R34" s="1227"/>
      <c r="S34" s="1227"/>
      <c r="T34" s="1228"/>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26" t="s">
        <v>470</v>
      </c>
      <c r="F35" s="1227"/>
      <c r="G35" s="1227"/>
      <c r="H35" s="1227"/>
      <c r="I35" s="1227"/>
      <c r="J35" s="1227"/>
      <c r="K35" s="1227"/>
      <c r="L35" s="1227"/>
      <c r="M35" s="1227"/>
      <c r="N35" s="1227"/>
      <c r="O35" s="1227"/>
      <c r="P35" s="1227"/>
      <c r="Q35" s="1227"/>
      <c r="R35" s="1227"/>
      <c r="S35" s="1227"/>
      <c r="T35" s="1228"/>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5" t="s">
        <v>411</v>
      </c>
      <c r="E36" s="1225"/>
      <c r="F36" s="1225"/>
      <c r="G36" s="1225"/>
      <c r="H36" s="1225"/>
      <c r="I36" s="1225"/>
      <c r="J36" s="1225"/>
      <c r="K36" s="1225"/>
      <c r="L36" s="1225"/>
      <c r="M36" s="1225"/>
      <c r="N36" s="1225"/>
      <c r="O36" s="1225"/>
      <c r="P36" s="1225"/>
      <c r="Q36" s="1225"/>
      <c r="R36" s="1225"/>
      <c r="S36" s="1225"/>
      <c r="T36" s="1225"/>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26" t="s">
        <v>1080</v>
      </c>
      <c r="F37" s="1227"/>
      <c r="G37" s="1227"/>
      <c r="H37" s="1227"/>
      <c r="I37" s="1227"/>
      <c r="J37" s="1227"/>
      <c r="K37" s="1227"/>
      <c r="L37" s="1227"/>
      <c r="M37" s="1227"/>
      <c r="N37" s="1227"/>
      <c r="O37" s="1227"/>
      <c r="P37" s="1227"/>
      <c r="Q37" s="1227"/>
      <c r="R37" s="1227"/>
      <c r="S37" s="1227"/>
      <c r="T37" s="1228"/>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6" t="s">
        <v>470</v>
      </c>
      <c r="F38" s="1227"/>
      <c r="G38" s="1227"/>
      <c r="H38" s="1227"/>
      <c r="I38" s="1227"/>
      <c r="J38" s="1227"/>
      <c r="K38" s="1227"/>
      <c r="L38" s="1227"/>
      <c r="M38" s="1227"/>
      <c r="N38" s="1227"/>
      <c r="O38" s="1227"/>
      <c r="P38" s="1227"/>
      <c r="Q38" s="1227"/>
      <c r="R38" s="1227"/>
      <c r="S38" s="1227"/>
      <c r="T38" s="1228"/>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4" t="s">
        <v>397</v>
      </c>
      <c r="H39" s="1274"/>
      <c r="I39" s="1274"/>
      <c r="J39" s="1274"/>
      <c r="K39" s="1274"/>
      <c r="L39" s="1274"/>
      <c r="M39" s="1274"/>
      <c r="N39" s="1274"/>
      <c r="O39" s="1274"/>
      <c r="P39" s="1274"/>
      <c r="Q39" s="1274"/>
      <c r="R39" s="1274"/>
      <c r="S39" s="1274"/>
      <c r="T39" s="1274"/>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1" t="s">
        <v>226</v>
      </c>
      <c r="E43" s="1241"/>
      <c r="F43" s="1241"/>
      <c r="G43" s="1241"/>
      <c r="H43" s="1241"/>
      <c r="I43" s="1241"/>
      <c r="J43" s="1241"/>
      <c r="K43" s="1241"/>
      <c r="L43" s="1241"/>
      <c r="M43" s="1241"/>
      <c r="N43" s="1241"/>
      <c r="O43" s="1241"/>
      <c r="P43" s="1241"/>
      <c r="Q43" s="1241"/>
      <c r="R43" s="1241"/>
      <c r="S43" s="1241"/>
      <c r="T43" s="1241"/>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6" t="s">
        <v>118</v>
      </c>
      <c r="E44" s="1246"/>
      <c r="F44" s="1246"/>
      <c r="G44" s="472"/>
      <c r="H44" s="1247" t="s">
        <v>119</v>
      </c>
      <c r="I44" s="1247"/>
      <c r="J44" s="1247"/>
      <c r="K44" s="1247"/>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5" t="s">
        <v>0</v>
      </c>
      <c r="E45" s="1235"/>
      <c r="F45" s="1235"/>
      <c r="G45" s="1235"/>
      <c r="H45" s="1235" t="s">
        <v>0</v>
      </c>
      <c r="I45" s="1235"/>
      <c r="J45" s="1235"/>
      <c r="K45" s="1235"/>
      <c r="L45" s="1235"/>
      <c r="M45" s="1235"/>
      <c r="N45" s="1235"/>
      <c r="O45" s="1235"/>
      <c r="P45" s="1235"/>
      <c r="Q45" s="1235"/>
      <c r="R45" s="1235"/>
      <c r="S45" s="1235"/>
      <c r="T45" s="1235"/>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5" t="s">
        <v>0</v>
      </c>
      <c r="E46" s="1235"/>
      <c r="F46" s="1235"/>
      <c r="G46" s="1235"/>
      <c r="H46" s="1235" t="s">
        <v>0</v>
      </c>
      <c r="I46" s="1235"/>
      <c r="J46" s="1235"/>
      <c r="K46" s="1235"/>
      <c r="L46" s="1235"/>
      <c r="M46" s="1235"/>
      <c r="N46" s="1235"/>
      <c r="O46" s="1235"/>
      <c r="P46" s="1235"/>
      <c r="Q46" s="1235"/>
      <c r="R46" s="1235"/>
      <c r="S46" s="1235"/>
      <c r="T46" s="1235"/>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5" t="s">
        <v>0</v>
      </c>
      <c r="E47" s="1235"/>
      <c r="F47" s="1235"/>
      <c r="G47" s="1235"/>
      <c r="H47" s="1235" t="s">
        <v>0</v>
      </c>
      <c r="I47" s="1235"/>
      <c r="J47" s="1235"/>
      <c r="K47" s="1235"/>
      <c r="L47" s="1235"/>
      <c r="M47" s="1235"/>
      <c r="N47" s="1235"/>
      <c r="O47" s="1235"/>
      <c r="P47" s="1235"/>
      <c r="Q47" s="1235"/>
      <c r="R47" s="1235"/>
      <c r="S47" s="1235"/>
      <c r="T47" s="1235"/>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29" t="s">
        <v>374</v>
      </c>
      <c r="E49" s="1229"/>
      <c r="F49" s="1229"/>
      <c r="G49" s="1229"/>
      <c r="H49" s="1229"/>
      <c r="I49" s="1229"/>
      <c r="J49" s="1229"/>
      <c r="K49" s="1229"/>
      <c r="L49" s="1229"/>
      <c r="M49" s="1229"/>
      <c r="N49" s="1229"/>
      <c r="O49" s="1229"/>
      <c r="P49" s="1229"/>
      <c r="Q49" s="1229"/>
      <c r="R49" s="1229"/>
      <c r="S49" s="1229"/>
      <c r="T49" s="1229"/>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4" t="s">
        <v>396</v>
      </c>
      <c r="G50" s="1264"/>
      <c r="H50" s="1264"/>
      <c r="I50" s="1264"/>
      <c r="J50" s="1264"/>
      <c r="K50" s="1264"/>
      <c r="L50" s="1264"/>
      <c r="M50" s="1264"/>
      <c r="N50" s="1264"/>
      <c r="O50" s="1264"/>
      <c r="P50" s="1264"/>
      <c r="Q50" s="1264"/>
      <c r="R50" s="1264"/>
      <c r="S50" s="1264"/>
      <c r="T50" s="1264"/>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63" t="s">
        <v>130</v>
      </c>
      <c r="E52" s="1263"/>
      <c r="F52" s="1232"/>
      <c r="G52" s="1232"/>
      <c r="H52" s="1233"/>
      <c r="I52" s="1233"/>
      <c r="J52" s="1234"/>
      <c r="K52" s="1234"/>
      <c r="L52" s="1234"/>
      <c r="M52" s="1234"/>
      <c r="N52" s="1234"/>
      <c r="O52" s="1234"/>
      <c r="P52" s="1234"/>
      <c r="Q52" s="1234"/>
      <c r="R52" s="1234"/>
      <c r="S52" s="1234"/>
      <c r="T52" s="1234"/>
      <c r="U52" s="362"/>
      <c r="V52" s="559" t="s">
        <v>0</v>
      </c>
      <c r="W52" s="501"/>
      <c r="X52" s="551">
        <v>1</v>
      </c>
      <c r="Y52" s="889" t="s">
        <v>394</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63" t="s">
        <v>131</v>
      </c>
      <c r="E53" s="1263"/>
      <c r="F53" s="1232"/>
      <c r="G53" s="1232"/>
      <c r="H53" s="1233"/>
      <c r="I53" s="1233"/>
      <c r="J53" s="1234"/>
      <c r="K53" s="1234"/>
      <c r="L53" s="1234"/>
      <c r="M53" s="1234"/>
      <c r="N53" s="1234"/>
      <c r="O53" s="1234"/>
      <c r="P53" s="1234"/>
      <c r="Q53" s="1234"/>
      <c r="R53" s="1234"/>
      <c r="S53" s="1234"/>
      <c r="T53" s="1234"/>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36" t="s">
        <v>126</v>
      </c>
      <c r="E55" s="1237"/>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8" t="str">
        <f>Y57</f>
        <v>Asbestos License</v>
      </c>
      <c r="E57" s="1238"/>
      <c r="F57" s="1232"/>
      <c r="G57" s="1232"/>
      <c r="H57" s="1233"/>
      <c r="I57" s="1233"/>
      <c r="J57" s="1234"/>
      <c r="K57" s="1234"/>
      <c r="L57" s="1234"/>
      <c r="M57" s="1234"/>
      <c r="N57" s="1234"/>
      <c r="O57" s="1234"/>
      <c r="P57" s="1234"/>
      <c r="Q57" s="1234"/>
      <c r="R57" s="1234"/>
      <c r="S57" s="1234"/>
      <c r="T57" s="1234"/>
      <c r="U57" s="362"/>
      <c r="V57" s="559" t="s">
        <v>0</v>
      </c>
      <c r="W57" s="501"/>
      <c r="X57" s="551">
        <v>1</v>
      </c>
      <c r="Y57" s="550" t="str">
        <f>IF($D$55=C.PermitType0,"",IF($D$55=C.PermitType1,DDLs!C66,IF($D$55=C.PermitType2,DDLs!D66,IF($D$55=C.PermitType3,DDLs!E66,DDLs!F66))))</f>
        <v>Asbestos License</v>
      </c>
      <c r="Z57" s="1218"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8" t="str">
        <f t="shared" ref="D58:D63" si="1">Y58</f>
        <v>Air Contaminant Discharge Permit</v>
      </c>
      <c r="E58" s="1238"/>
      <c r="F58" s="1232"/>
      <c r="G58" s="1232"/>
      <c r="H58" s="1233"/>
      <c r="I58" s="1233"/>
      <c r="J58" s="1234"/>
      <c r="K58" s="1234"/>
      <c r="L58" s="1234"/>
      <c r="M58" s="1234"/>
      <c r="N58" s="1234"/>
      <c r="O58" s="1234"/>
      <c r="P58" s="1234"/>
      <c r="Q58" s="1234"/>
      <c r="R58" s="1234"/>
      <c r="S58" s="1234"/>
      <c r="T58" s="1234"/>
      <c r="U58" s="362"/>
      <c r="V58" s="559" t="s">
        <v>0</v>
      </c>
      <c r="W58" s="501"/>
      <c r="X58" s="551">
        <v>1</v>
      </c>
      <c r="Y58" s="550" t="str">
        <f>IF($D$55=C.PermitType0,"",IF($D$55=C.PermitType1,DDLs!C67,IF($D$55=C.PermitType2,DDLs!D67,IF($D$55=C.PermitType3,DDLs!E67,DDLs!F67))))</f>
        <v>Air Contaminant Discharge Permit</v>
      </c>
      <c r="Z58" s="1219"/>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8" t="str">
        <f t="shared" si="1"/>
        <v>Air Quality Registrations</v>
      </c>
      <c r="E59" s="1238"/>
      <c r="F59" s="1232"/>
      <c r="G59" s="1232"/>
      <c r="H59" s="1233"/>
      <c r="I59" s="1233"/>
      <c r="J59" s="1234"/>
      <c r="K59" s="1234"/>
      <c r="L59" s="1234"/>
      <c r="M59" s="1234"/>
      <c r="N59" s="1234"/>
      <c r="O59" s="1234"/>
      <c r="P59" s="1234"/>
      <c r="Q59" s="1234"/>
      <c r="R59" s="1234"/>
      <c r="S59" s="1234"/>
      <c r="T59" s="1234"/>
      <c r="U59" s="362"/>
      <c r="V59" s="559"/>
      <c r="W59" s="501"/>
      <c r="X59" s="551">
        <v>1</v>
      </c>
      <c r="Y59" s="550" t="str">
        <f>IF($D$55=C.PermitType0,"",IF($D$55=C.PermitType1,DDLs!C68,IF($D$55=C.PermitType2,DDLs!D68,IF($D$55=C.PermitType3,DDLs!E68,DDLs!F68))))</f>
        <v>Air Quality Registrations</v>
      </c>
      <c r="Z59" s="1219"/>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8" t="str">
        <f t="shared" si="1"/>
        <v>Open Burning Letter Permit</v>
      </c>
      <c r="E60" s="1238"/>
      <c r="F60" s="1232"/>
      <c r="G60" s="1232"/>
      <c r="H60" s="1233"/>
      <c r="I60" s="1233"/>
      <c r="J60" s="1234"/>
      <c r="K60" s="1234"/>
      <c r="L60" s="1234"/>
      <c r="M60" s="1234"/>
      <c r="N60" s="1234"/>
      <c r="O60" s="1234"/>
      <c r="P60" s="1234"/>
      <c r="Q60" s="1234"/>
      <c r="R60" s="1234"/>
      <c r="S60" s="1234"/>
      <c r="T60" s="1234"/>
      <c r="U60" s="362"/>
      <c r="V60" s="559" t="s">
        <v>0</v>
      </c>
      <c r="W60" s="501"/>
      <c r="X60" s="551">
        <v>1</v>
      </c>
      <c r="Y60" s="550" t="str">
        <f>IF($D$55=C.PermitType0,"",IF($D$55=C.PermitType1,DDLs!C69,IF($D$55=C.PermitType2,DDLs!D69,IF($D$55=C.PermitType3,DDLs!E69,DDLs!F69))))</f>
        <v>Open Burning Letter Permit</v>
      </c>
      <c r="Z60" s="1219"/>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8" t="str">
        <f t="shared" si="1"/>
        <v>Tanker Certification</v>
      </c>
      <c r="E61" s="1238"/>
      <c r="F61" s="1232"/>
      <c r="G61" s="1232"/>
      <c r="H61" s="1233"/>
      <c r="I61" s="1233"/>
      <c r="J61" s="1234"/>
      <c r="K61" s="1234"/>
      <c r="L61" s="1234"/>
      <c r="M61" s="1234"/>
      <c r="N61" s="1234"/>
      <c r="O61" s="1234"/>
      <c r="P61" s="1234"/>
      <c r="Q61" s="1234"/>
      <c r="R61" s="1234"/>
      <c r="S61" s="1234"/>
      <c r="T61" s="1234"/>
      <c r="U61" s="362"/>
      <c r="V61" s="559" t="s">
        <v>0</v>
      </c>
      <c r="W61" s="501"/>
      <c r="X61" s="551">
        <v>1</v>
      </c>
      <c r="Y61" s="550" t="str">
        <f>IF($D$55=C.PermitType0,"",IF($D$55=C.PermitType1,DDLs!C70,IF($D$55=C.PermitType2,DDLs!D70,IF($D$55=C.PermitType3,DDLs!E70,DDLs!F70))))</f>
        <v>Tanker Certification</v>
      </c>
      <c r="Z61" s="1219"/>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8" t="str">
        <f t="shared" si="1"/>
        <v>Title V permit</v>
      </c>
      <c r="E62" s="1238"/>
      <c r="F62" s="1232"/>
      <c r="G62" s="1232"/>
      <c r="H62" s="1233"/>
      <c r="I62" s="1233"/>
      <c r="J62" s="1234"/>
      <c r="K62" s="1234"/>
      <c r="L62" s="1234"/>
      <c r="M62" s="1234"/>
      <c r="N62" s="1234"/>
      <c r="O62" s="1234"/>
      <c r="P62" s="1234"/>
      <c r="Q62" s="1234"/>
      <c r="R62" s="1234"/>
      <c r="S62" s="1234"/>
      <c r="T62" s="1234"/>
      <c r="U62" s="362"/>
      <c r="V62" s="559"/>
      <c r="W62" s="501"/>
      <c r="X62" s="551">
        <v>1</v>
      </c>
      <c r="Y62" s="550" t="str">
        <f>IF($D$55=C.PermitType0,"",IF($D$55=C.PermitType1,DDLs!C71,IF($D$55=C.PermitType2,DDLs!D71,IF($D$55=C.PermitType3,DDLs!E71,DDLs!F71))))</f>
        <v>Title V permit</v>
      </c>
      <c r="Z62" s="1219"/>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8" t="str">
        <f t="shared" si="1"/>
        <v>Vehicle Emissions Certification</v>
      </c>
      <c r="E63" s="1238"/>
      <c r="F63" s="1232"/>
      <c r="G63" s="1232"/>
      <c r="H63" s="1233"/>
      <c r="I63" s="1233"/>
      <c r="J63" s="1234"/>
      <c r="K63" s="1234"/>
      <c r="L63" s="1234"/>
      <c r="M63" s="1234"/>
      <c r="N63" s="1234"/>
      <c r="O63" s="1234"/>
      <c r="P63" s="1234"/>
      <c r="Q63" s="1234"/>
      <c r="R63" s="1234"/>
      <c r="S63" s="1234"/>
      <c r="T63" s="1234"/>
      <c r="U63" s="362"/>
      <c r="V63" s="559" t="s">
        <v>0</v>
      </c>
      <c r="W63" s="501"/>
      <c r="X63" s="551">
        <v>1</v>
      </c>
      <c r="Y63" s="550" t="str">
        <f>IF($D$55=C.PermitType0,"",IF($D$55=C.PermitType1,DDLs!C72,IF($D$55=C.PermitType2,DDLs!D72,IF($D$55=C.PermitType3,DDLs!E72,DDLs!F72))))</f>
        <v>Vehicle Emissions Certification</v>
      </c>
      <c r="Z63" s="1219"/>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30" t="s">
        <v>448</v>
      </c>
      <c r="E64" s="1230"/>
      <c r="F64" s="1232"/>
      <c r="G64" s="1232"/>
      <c r="H64" s="1233"/>
      <c r="I64" s="1233"/>
      <c r="J64" s="1234"/>
      <c r="K64" s="1234"/>
      <c r="L64" s="1234"/>
      <c r="M64" s="1234"/>
      <c r="N64" s="1234"/>
      <c r="O64" s="1234"/>
      <c r="P64" s="1234"/>
      <c r="Q64" s="1234"/>
      <c r="R64" s="1234"/>
      <c r="S64" s="1234"/>
      <c r="T64" s="1234"/>
      <c r="U64" s="362"/>
      <c r="V64" s="559" t="s">
        <v>0</v>
      </c>
      <c r="W64" s="501"/>
      <c r="X64" s="551">
        <v>1</v>
      </c>
      <c r="Y64" s="550" t="str">
        <f>IF($D$55=C.PermitType0,"",IF($D$55=C.PermitType1,DDLs!C73,IF($D$55=C.PermitType2,DDLs!D73,IF($D$55=C.PermitType3,DDLs!E73,DDLs!F73))))</f>
        <v>NESHAP</v>
      </c>
      <c r="Z64" s="1219"/>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30" t="s">
        <v>448</v>
      </c>
      <c r="E65" s="1230"/>
      <c r="F65" s="1232"/>
      <c r="G65" s="1232"/>
      <c r="H65" s="1233"/>
      <c r="I65" s="1233"/>
      <c r="J65" s="1234"/>
      <c r="K65" s="1234"/>
      <c r="L65" s="1234"/>
      <c r="M65" s="1234"/>
      <c r="N65" s="1234"/>
      <c r="O65" s="1234"/>
      <c r="P65" s="1234"/>
      <c r="Q65" s="1234"/>
      <c r="R65" s="1234"/>
      <c r="S65" s="1234"/>
      <c r="T65" s="1234"/>
      <c r="U65" s="362"/>
      <c r="V65" s="559"/>
      <c r="W65" s="501"/>
      <c r="X65" s="551">
        <v>1</v>
      </c>
      <c r="Y65" s="550" t="str">
        <f>IF($D$55=C.PermitType0,"",IF($D$55=C.PermitType1,DDLs!C74,IF($D$55=C.PermitType2,DDLs!D74,IF($D$55=C.PermitType3,DDLs!E74,DDLs!F74))))</f>
        <v>NSPS</v>
      </c>
      <c r="Z65" s="1219"/>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1" t="s">
        <v>448</v>
      </c>
      <c r="E66" s="1231"/>
      <c r="F66" s="1232"/>
      <c r="G66" s="1232"/>
      <c r="H66" s="1233"/>
      <c r="I66" s="1233"/>
      <c r="J66" s="1234"/>
      <c r="K66" s="1234"/>
      <c r="L66" s="1234"/>
      <c r="M66" s="1234"/>
      <c r="N66" s="1234"/>
      <c r="O66" s="1234"/>
      <c r="P66" s="1234"/>
      <c r="Q66" s="1234"/>
      <c r="R66" s="1234"/>
      <c r="S66" s="1234"/>
      <c r="T66" s="1234"/>
      <c r="U66" s="362"/>
      <c r="V66" s="559" t="s">
        <v>0</v>
      </c>
      <c r="W66" s="501"/>
      <c r="X66" s="551">
        <v>1</v>
      </c>
      <c r="Y66" s="550" t="str">
        <f>IF($D$55=C.PermitType0,"",IF($D$55=C.PermitType1,DDLs!C75,IF($D$55=C.PermitType2,DDLs!D75,IF($D$55=C.PermitType3,DDLs!E75,DDLs!F75))))</f>
        <v>Custom entry</v>
      </c>
      <c r="Z66" s="1220"/>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6" t="s">
        <v>198</v>
      </c>
      <c r="E68" s="1256"/>
      <c r="F68" s="1256"/>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7" t="s">
        <v>0</v>
      </c>
      <c r="E69" s="1258"/>
      <c r="F69" s="1258"/>
      <c r="G69" s="1258"/>
      <c r="H69" s="1258"/>
      <c r="I69" s="1258"/>
      <c r="J69" s="1258"/>
      <c r="K69" s="1258"/>
      <c r="L69" s="1258"/>
      <c r="M69" s="1258"/>
      <c r="N69" s="1258"/>
      <c r="O69" s="1258"/>
      <c r="P69" s="1258"/>
      <c r="Q69" s="1258"/>
      <c r="R69" s="1258"/>
      <c r="S69" s="1258"/>
      <c r="T69" s="1259"/>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6" t="s">
        <v>22</v>
      </c>
      <c r="E70" s="1256"/>
      <c r="F70" s="1256"/>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2"/>
      <c r="E71" s="1213"/>
      <c r="F71" s="1213"/>
      <c r="G71" s="1213"/>
      <c r="H71" s="1213"/>
      <c r="I71" s="1213"/>
      <c r="J71" s="1213"/>
      <c r="K71" s="1213"/>
      <c r="L71" s="1213"/>
      <c r="M71" s="1213"/>
      <c r="N71" s="1213"/>
      <c r="O71" s="1213"/>
      <c r="P71" s="1213"/>
      <c r="Q71" s="1213"/>
      <c r="R71" s="1213"/>
      <c r="S71" s="1213"/>
      <c r="T71" s="1214"/>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72">
        <f ca="1">TODAY()</f>
        <v>41780</v>
      </c>
      <c r="I72" s="1272"/>
      <c r="J72" s="1272"/>
      <c r="K72" s="1272"/>
      <c r="L72" s="1272"/>
      <c r="M72" s="1272"/>
      <c r="N72" s="1272"/>
      <c r="O72" s="1272"/>
      <c r="P72" s="1272"/>
      <c r="Q72" s="1272"/>
      <c r="R72" s="1272"/>
      <c r="S72" s="1272"/>
      <c r="T72" s="1272"/>
      <c r="U72" s="1273"/>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418" priority="27" stopIfTrue="1">
      <formula>IF($X10&lt;10,TRUE,)</formula>
    </cfRule>
  </conditionalFormatting>
  <conditionalFormatting sqref="K10:K20">
    <cfRule type="expression" dxfId="417" priority="31" stopIfTrue="1">
      <formula>IF($X10&lt;1,TRUE,)</formula>
    </cfRule>
  </conditionalFormatting>
  <conditionalFormatting sqref="T27">
    <cfRule type="expression" dxfId="416" priority="10" stopIfTrue="1">
      <formula>IF(AND(#REF!="H",$Y27&lt;10),TRUE,)</formula>
    </cfRule>
  </conditionalFormatting>
  <conditionalFormatting sqref="K27">
    <cfRule type="expression" dxfId="415" priority="9" stopIfTrue="1">
      <formula>IF(AND(#REF!="H",$Y27&lt;1),TRUE,)</formula>
    </cfRule>
  </conditionalFormatting>
  <conditionalFormatting sqref="L27">
    <cfRule type="expression" dxfId="414" priority="8" stopIfTrue="1">
      <formula>IF(AND(#REF!="H",$Y27&lt;2),TRUE,)</formula>
    </cfRule>
  </conditionalFormatting>
  <conditionalFormatting sqref="N27">
    <cfRule type="expression" dxfId="413" priority="7" stopIfTrue="1">
      <formula>IF(AND(#REF!="H",$Y27&lt;4),TRUE,)</formula>
    </cfRule>
  </conditionalFormatting>
  <conditionalFormatting sqref="O27">
    <cfRule type="expression" dxfId="412" priority="6" stopIfTrue="1">
      <formula>IF(AND(#REF!="H",$Y27&lt;5),TRUE,)</formula>
    </cfRule>
  </conditionalFormatting>
  <conditionalFormatting sqref="P27">
    <cfRule type="expression" dxfId="411" priority="5" stopIfTrue="1">
      <formula>IF(AND(#REF!="H",$Y27&lt;6),TRUE,)</formula>
    </cfRule>
  </conditionalFormatting>
  <conditionalFormatting sqref="Q27">
    <cfRule type="expression" dxfId="410" priority="4" stopIfTrue="1">
      <formula>IF(AND(#REF!="H",$Y27&lt;7),TRUE,)</formula>
    </cfRule>
  </conditionalFormatting>
  <conditionalFormatting sqref="R27">
    <cfRule type="expression" dxfId="409" priority="3" stopIfTrue="1">
      <formula>IF(AND(#REF!="H",$Y27&lt;8),TRUE,)</formula>
    </cfRule>
  </conditionalFormatting>
  <conditionalFormatting sqref="S27">
    <cfRule type="expression" dxfId="408" priority="2" stopIfTrue="1">
      <formula>IF(AND(#REF!="H",$Y27&lt;9),TRUE,)</formula>
    </cfRule>
  </conditionalFormatting>
  <conditionalFormatting sqref="M27">
    <cfRule type="expression" dxfId="407" priority="1" stopIfTrue="1">
      <formula>IF(AND(#REF!="H",$Y27&lt;3),TRUE,)</formula>
    </cfRule>
  </conditionalFormatting>
  <conditionalFormatting sqref="L10:L20">
    <cfRule type="expression" dxfId="406" priority="34" stopIfTrue="1">
      <formula>IF($X10&lt;2,TRUE,)</formula>
    </cfRule>
  </conditionalFormatting>
  <conditionalFormatting sqref="M10:M20">
    <cfRule type="expression" dxfId="405" priority="37" stopIfTrue="1">
      <formula>IF(X10&lt;3,TRUE,)</formula>
    </cfRule>
  </conditionalFormatting>
  <conditionalFormatting sqref="N10:N20">
    <cfRule type="expression" dxfId="404" priority="40" stopIfTrue="1">
      <formula>IF($X10&lt;4,TRUE,)</formula>
    </cfRule>
  </conditionalFormatting>
  <conditionalFormatting sqref="O10:O20">
    <cfRule type="expression" dxfId="403" priority="43" stopIfTrue="1">
      <formula>IF($X10&lt;5,TRUE,)</formula>
    </cfRule>
  </conditionalFormatting>
  <conditionalFormatting sqref="P10:P20">
    <cfRule type="expression" dxfId="402" priority="46" stopIfTrue="1">
      <formula>IF($X10&lt;6,TRUE,)</formula>
    </cfRule>
  </conditionalFormatting>
  <conditionalFormatting sqref="Q10:Q20">
    <cfRule type="expression" dxfId="401" priority="49" stopIfTrue="1">
      <formula>IF($X10&lt;7,TRUE,)</formula>
    </cfRule>
  </conditionalFormatting>
  <conditionalFormatting sqref="R10:R20">
    <cfRule type="expression" dxfId="400" priority="52" stopIfTrue="1">
      <formula>IF($X10&lt;8,TRUE,)</formula>
    </cfRule>
  </conditionalFormatting>
  <conditionalFormatting sqref="S10:S20">
    <cfRule type="expression" dxfId="399"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zoomScaleNormal="100" workbookViewId="0">
      <selection activeCell="G8" sqref="G8"/>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1" t="s">
        <v>229</v>
      </c>
      <c r="E2" s="1211"/>
      <c r="F2" s="1211"/>
      <c r="G2" s="1325" t="str">
        <f>C.2Name</f>
        <v>Oregon State Implementation Plan revision for PM2.5 National Ambient Air Quality Standards</v>
      </c>
      <c r="H2" s="1325"/>
      <c r="I2" s="1325"/>
      <c r="J2" s="1325"/>
      <c r="K2" s="1325"/>
      <c r="L2" s="1325"/>
      <c r="M2" s="1325"/>
      <c r="N2" s="1325"/>
      <c r="O2" s="1325"/>
      <c r="P2" s="1325"/>
      <c r="Q2" s="1325"/>
      <c r="R2" s="1325"/>
      <c r="S2" s="200"/>
      <c r="T2" s="563"/>
      <c r="U2" s="1239"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39"/>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81" t="s">
        <v>699</v>
      </c>
      <c r="E4" s="1281"/>
      <c r="F4" s="1281"/>
      <c r="G4" s="1281"/>
      <c r="H4" s="1281"/>
      <c r="I4" s="1281"/>
      <c r="J4" s="1281"/>
      <c r="K4" s="1281"/>
      <c r="L4" s="1281"/>
      <c r="M4" s="1281"/>
      <c r="N4" s="1281"/>
      <c r="O4" s="1281"/>
      <c r="P4" s="1281"/>
      <c r="Q4" s="1281"/>
      <c r="R4" s="1281"/>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82" t="s">
        <v>228</v>
      </c>
      <c r="E5" s="1282"/>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93" t="s">
        <v>310</v>
      </c>
      <c r="J6" s="1293"/>
      <c r="K6" s="1293"/>
      <c r="L6" s="1293"/>
      <c r="M6" s="1293"/>
      <c r="N6" s="1293"/>
      <c r="O6" s="1293"/>
      <c r="P6" s="1293"/>
      <c r="Q6" s="1293"/>
      <c r="R6" s="114"/>
      <c r="S6" s="362"/>
      <c r="T6" s="563"/>
      <c r="U6" s="552" t="s">
        <v>0</v>
      </c>
      <c r="V6" s="161"/>
      <c r="W6" s="161"/>
      <c r="X6" s="50"/>
      <c r="Y6" s="50"/>
      <c r="Z6" s="52">
        <f>COUNTIF($I$8:$I$13,"X")</f>
        <v>1</v>
      </c>
      <c r="AA6" s="52">
        <f>COUNTIF($L$8:$L$13,"X")</f>
        <v>2</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286" t="s">
        <v>312</v>
      </c>
      <c r="J7" s="1286"/>
      <c r="K7" s="1286"/>
      <c r="L7" s="1291" t="s">
        <v>311</v>
      </c>
      <c r="M7" s="1291"/>
      <c r="N7" s="1291"/>
      <c r="O7" s="1286" t="s">
        <v>313</v>
      </c>
      <c r="P7" s="1286"/>
      <c r="Q7" s="1286"/>
      <c r="R7" s="114"/>
      <c r="S7" s="47"/>
      <c r="T7" s="563" t="s">
        <v>0</v>
      </c>
      <c r="U7" s="161"/>
      <c r="V7" s="161"/>
      <c r="W7" s="161"/>
      <c r="X7" s="63" t="str">
        <f>IF(MAX(X8:X13)=3,"involves "&amp;Z7&amp;"previously unregulated parties",IF(MAX(X8:X13)=2,"involves "&amp;Z7&amp;"current regulated parties","not involved"))</f>
        <v>involves hundreds of current regulated parties</v>
      </c>
      <c r="Y7" s="63"/>
      <c r="Z7" s="1307" t="str">
        <f>IF(AB6&gt;0,"thousands of ",IF(AA6&gt;0,"hundreds of ", IF(Z6&gt;0,"under one hundred ","")))</f>
        <v xml:space="preserve">hundreds of </v>
      </c>
      <c r="AA7" s="1307"/>
      <c r="AB7" s="1307"/>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7"/>
      <c r="J8" s="1287"/>
      <c r="K8" s="1287"/>
      <c r="L8" s="1288" t="s">
        <v>1068</v>
      </c>
      <c r="M8" s="1289"/>
      <c r="N8" s="1290"/>
      <c r="O8" s="1292"/>
      <c r="P8" s="1292"/>
      <c r="Q8" s="1292"/>
      <c r="R8" s="114"/>
      <c r="S8" s="205"/>
      <c r="T8" s="563"/>
      <c r="U8" s="313" t="s">
        <v>316</v>
      </c>
      <c r="V8" s="313"/>
      <c r="W8" s="167"/>
      <c r="X8" s="665">
        <v>2</v>
      </c>
      <c r="Y8" s="470">
        <f>IF($O8="X",3,IF($L8="X",2,IF($I8="X",1,"0")))</f>
        <v>2</v>
      </c>
      <c r="Z8" s="470" t="str">
        <f>IF($O8="X"," thousands",IF($L8="X"," hundreds",IF($I8="X"," under 100","")))</f>
        <v xml:space="preserve"> hundreds</v>
      </c>
      <c r="AA8" s="637" t="str">
        <f>IF(X8=1,"not affected ",IF(X8=2,"affects "&amp;Z8&amp;" currently regulated","affects "&amp;Z8&amp;" previously unregulated"))</f>
        <v>affects  hundreds currently regulated</v>
      </c>
      <c r="AB8" s="638">
        <f>IF(X8=1,0,IF(X8=3,5,X8+Y8))</f>
        <v>4</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7"/>
      <c r="J9" s="1287"/>
      <c r="K9" s="1287"/>
      <c r="L9" s="1288" t="s">
        <v>1068</v>
      </c>
      <c r="M9" s="1289"/>
      <c r="N9" s="1290"/>
      <c r="O9" s="1292"/>
      <c r="P9" s="1292"/>
      <c r="Q9" s="1292"/>
      <c r="R9" s="350"/>
      <c r="S9" s="205"/>
      <c r="T9" s="563"/>
      <c r="U9" s="313" t="s">
        <v>316</v>
      </c>
      <c r="V9" s="167"/>
      <c r="W9" s="167"/>
      <c r="X9" s="665">
        <v>2</v>
      </c>
      <c r="Y9" s="470">
        <f t="shared" ref="Y9:Y13" si="0">IF($O9="X",2,IF($L9="X",1,IF($I9="X",1,"0")))</f>
        <v>1</v>
      </c>
      <c r="Z9" s="470" t="str">
        <f t="shared" ref="Z9:Z13" si="1">IF($O9="X"," thousands",IF($L9="X"," hundreds",IF($I9="X"," under 100","")))</f>
        <v xml:space="preserve"> hundreds</v>
      </c>
      <c r="AA9" s="637" t="str">
        <f t="shared" ref="AA9:AA13" si="2">IF(X9=1,"not affected ",IF(X9=2,"affects "&amp;Z9&amp;" currently regulated","affects "&amp;Z9&amp;" previously unregulated"))</f>
        <v>affects  hundreds currently regulated</v>
      </c>
      <c r="AB9" s="638">
        <f t="shared" ref="AB9:AB13" si="3">IF(X9=1,0,IF(X9=3,5,X9+Y9))</f>
        <v>3</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7" t="s">
        <v>1068</v>
      </c>
      <c r="J10" s="1287"/>
      <c r="K10" s="1287"/>
      <c r="L10" s="1288"/>
      <c r="M10" s="1289"/>
      <c r="N10" s="1290"/>
      <c r="O10" s="1292"/>
      <c r="P10" s="1292"/>
      <c r="Q10" s="1292"/>
      <c r="R10" s="350"/>
      <c r="S10" s="205"/>
      <c r="T10" s="563"/>
      <c r="U10" s="313" t="s">
        <v>316</v>
      </c>
      <c r="V10" s="167"/>
      <c r="W10" s="167"/>
      <c r="X10" s="665">
        <v>1</v>
      </c>
      <c r="Y10" s="470">
        <f t="shared" si="0"/>
        <v>1</v>
      </c>
      <c r="Z10" s="470" t="str">
        <f t="shared" si="1"/>
        <v xml:space="preserve"> under 100</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7"/>
      <c r="J11" s="1287"/>
      <c r="K11" s="1287"/>
      <c r="L11" s="1288"/>
      <c r="M11" s="1289"/>
      <c r="N11" s="1290"/>
      <c r="O11" s="1292"/>
      <c r="P11" s="1292"/>
      <c r="Q11" s="1292"/>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7"/>
      <c r="J12" s="1287"/>
      <c r="K12" s="1287"/>
      <c r="L12" s="1288"/>
      <c r="M12" s="1289"/>
      <c r="N12" s="1290"/>
      <c r="O12" s="1292"/>
      <c r="P12" s="1292"/>
      <c r="Q12" s="1292"/>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7"/>
      <c r="J13" s="1287"/>
      <c r="K13" s="1287"/>
      <c r="L13" s="1288"/>
      <c r="M13" s="1289"/>
      <c r="N13" s="1290"/>
      <c r="O13" s="1292"/>
      <c r="P13" s="1292"/>
      <c r="Q13" s="1292"/>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11" t="s">
        <v>238</v>
      </c>
      <c r="E14" s="1311"/>
      <c r="F14" s="1311"/>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83" t="s">
        <v>217</v>
      </c>
      <c r="E16" s="1284"/>
      <c r="F16" s="1285"/>
      <c r="G16" s="1285"/>
      <c r="H16" s="1308"/>
      <c r="I16" s="1308"/>
      <c r="J16" s="1308"/>
      <c r="K16" s="1308"/>
      <c r="L16" s="1308"/>
      <c r="M16" s="1308"/>
      <c r="N16" s="1308"/>
      <c r="O16" s="1308"/>
      <c r="P16" s="1308"/>
      <c r="Q16" s="1308"/>
      <c r="R16" s="1308"/>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0" t="s">
        <v>343</v>
      </c>
      <c r="E18" s="1300"/>
      <c r="F18" s="1300"/>
      <c r="G18" s="1300"/>
      <c r="H18" s="1300"/>
      <c r="I18" s="1300"/>
      <c r="J18" s="1300"/>
      <c r="K18" s="1300"/>
      <c r="L18" s="1300"/>
      <c r="M18" s="1300"/>
      <c r="N18" s="1300"/>
      <c r="O18" s="1300"/>
      <c r="P18" s="1300"/>
      <c r="Q18" s="1300"/>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6" t="s">
        <v>194</v>
      </c>
      <c r="G19" s="1306"/>
      <c r="H19" s="1302" t="s">
        <v>7</v>
      </c>
      <c r="I19" s="1302"/>
      <c r="J19" s="1302"/>
      <c r="K19" s="1302"/>
      <c r="L19" s="1302"/>
      <c r="M19" s="1302"/>
      <c r="N19" s="1302"/>
      <c r="O19" s="1302"/>
      <c r="P19" s="1302"/>
      <c r="Q19" s="1302"/>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7" t="s">
        <v>334</v>
      </c>
      <c r="E20" s="1278"/>
      <c r="F20" s="1301" t="s">
        <v>200</v>
      </c>
      <c r="G20" s="1301"/>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2</v>
      </c>
      <c r="Y20" s="888" t="str">
        <f>F20</f>
        <v>minor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7" t="s">
        <v>335</v>
      </c>
      <c r="E21" s="1278"/>
      <c r="F21" s="1301" t="s">
        <v>200</v>
      </c>
      <c r="G21" s="1301"/>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2</v>
      </c>
      <c r="Y21" s="888" t="str">
        <f t="shared" ref="Y21:Y30" si="5">F21</f>
        <v>minor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7" t="s">
        <v>336</v>
      </c>
      <c r="E22" s="1278"/>
      <c r="F22" s="1301" t="s">
        <v>200</v>
      </c>
      <c r="G22" s="1301"/>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7" t="s">
        <v>337</v>
      </c>
      <c r="E23" s="1278"/>
      <c r="F23" s="1301" t="s">
        <v>200</v>
      </c>
      <c r="G23" s="1301"/>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7" t="s">
        <v>338</v>
      </c>
      <c r="E24" s="1278"/>
      <c r="F24" s="1301" t="s">
        <v>200</v>
      </c>
      <c r="G24" s="1301"/>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2</v>
      </c>
      <c r="Y24" s="888" t="str">
        <f t="shared" si="5"/>
        <v>minor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7" t="s">
        <v>339</v>
      </c>
      <c r="E25" s="1278"/>
      <c r="F25" s="1301" t="s">
        <v>202</v>
      </c>
      <c r="G25" s="1301"/>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7" t="s">
        <v>340</v>
      </c>
      <c r="E26" s="1278"/>
      <c r="F26" s="1301" t="s">
        <v>200</v>
      </c>
      <c r="G26" s="1301"/>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7" t="s">
        <v>341</v>
      </c>
      <c r="E27" s="1278"/>
      <c r="F27" s="1301" t="s">
        <v>200</v>
      </c>
      <c r="G27" s="1301"/>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2</v>
      </c>
      <c r="Y27" s="888" t="str">
        <f t="shared" si="5"/>
        <v>minor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7" t="s">
        <v>342</v>
      </c>
      <c r="E28" s="1278"/>
      <c r="F28" s="1301" t="s">
        <v>200</v>
      </c>
      <c r="G28" s="1301"/>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2</v>
      </c>
      <c r="Y28" s="888" t="str">
        <f t="shared" si="5"/>
        <v>minor interest</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5" t="s">
        <v>213</v>
      </c>
      <c r="E29" s="1276"/>
      <c r="F29" s="1301" t="s">
        <v>4</v>
      </c>
      <c r="G29" s="1301"/>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5" t="s">
        <v>213</v>
      </c>
      <c r="E30" s="1276"/>
      <c r="F30" s="1301" t="s">
        <v>4</v>
      </c>
      <c r="G30" s="1301"/>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2.2222222222222223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12" t="s">
        <v>0</v>
      </c>
      <c r="E35" s="1313"/>
      <c r="F35" s="1313"/>
      <c r="G35" s="1313"/>
      <c r="H35" s="1313"/>
      <c r="I35" s="1313"/>
      <c r="J35" s="1313"/>
      <c r="K35" s="1313"/>
      <c r="L35" s="1313"/>
      <c r="M35" s="1313"/>
      <c r="N35" s="1313"/>
      <c r="O35" s="1313"/>
      <c r="P35" s="1313"/>
      <c r="Q35" s="1313"/>
      <c r="R35" s="1314"/>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310" t="s">
        <v>437</v>
      </c>
      <c r="G36" s="1310"/>
      <c r="H36" s="1310"/>
      <c r="I36" s="1310"/>
      <c r="J36" s="1310"/>
      <c r="K36" s="1310"/>
      <c r="L36" s="1310"/>
      <c r="M36" s="1310"/>
      <c r="N36" s="1310"/>
      <c r="O36" s="1310"/>
      <c r="P36" s="1310"/>
      <c r="Q36" s="1310"/>
      <c r="R36" s="1310"/>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6" t="s">
        <v>441</v>
      </c>
      <c r="K37" s="1326"/>
      <c r="L37" s="1326"/>
      <c r="M37" s="1326"/>
      <c r="N37" s="1326"/>
      <c r="O37" s="1326"/>
      <c r="P37" s="1326"/>
      <c r="Q37" s="1326"/>
      <c r="R37" s="1326"/>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6" t="s">
        <v>328</v>
      </c>
      <c r="K38" s="1326"/>
      <c r="L38" s="1326"/>
      <c r="M38" s="1326"/>
      <c r="N38" s="1326"/>
      <c r="O38" s="1326"/>
      <c r="P38" s="1326"/>
      <c r="Q38" s="1326"/>
      <c r="R38" s="1326"/>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7" t="s">
        <v>442</v>
      </c>
      <c r="K39" s="1327"/>
      <c r="L39" s="1327"/>
      <c r="M39" s="1327"/>
      <c r="N39" s="1327"/>
      <c r="O39" s="1327"/>
      <c r="P39" s="1327"/>
      <c r="Q39" s="1327"/>
      <c r="R39" s="1327"/>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09" t="s">
        <v>213</v>
      </c>
      <c r="K40" s="1309"/>
      <c r="L40" s="1309"/>
      <c r="M40" s="1309"/>
      <c r="N40" s="1309"/>
      <c r="O40" s="1309"/>
      <c r="P40" s="1309"/>
      <c r="Q40" s="1309"/>
      <c r="R40" s="1309"/>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3" t="str">
        <f>" We plan to ask the committee to provide"&amp;AA37&amp;AB37&amp;AA38&amp;AB38&amp;AA39&amp;AB39&amp;AA40&amp;AB40&amp;"advice."</f>
        <v xml:space="preserve"> We plan to ask the committee to provide advice.</v>
      </c>
      <c r="AA41" s="1304"/>
      <c r="AB41" s="1305"/>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7" t="s">
        <v>0</v>
      </c>
      <c r="E44" s="1298"/>
      <c r="F44" s="1298"/>
      <c r="G44" s="1298"/>
      <c r="H44" s="1298"/>
      <c r="I44" s="1298"/>
      <c r="J44" s="1298"/>
      <c r="K44" s="1298"/>
      <c r="L44" s="1298"/>
      <c r="M44" s="1298"/>
      <c r="N44" s="1298"/>
      <c r="O44" s="1298"/>
      <c r="P44" s="1298"/>
      <c r="Q44" s="1298"/>
      <c r="R44" s="1299"/>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7" t="s">
        <v>0</v>
      </c>
      <c r="E46" s="1298"/>
      <c r="F46" s="1298"/>
      <c r="G46" s="1298"/>
      <c r="H46" s="1298"/>
      <c r="I46" s="1298"/>
      <c r="J46" s="1298"/>
      <c r="K46" s="1298"/>
      <c r="L46" s="1298"/>
      <c r="M46" s="1298"/>
      <c r="N46" s="1298"/>
      <c r="O46" s="1298"/>
      <c r="P46" s="1298"/>
      <c r="Q46" s="1298"/>
      <c r="R46" s="1299"/>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294"/>
      <c r="Y48" s="1295"/>
      <c r="Z48" s="1295"/>
      <c r="AA48" s="1295"/>
      <c r="AB48" s="1296"/>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23" t="s">
        <v>413</v>
      </c>
      <c r="E50" s="1323"/>
      <c r="F50" s="1323"/>
      <c r="G50" s="1280" t="s">
        <v>237</v>
      </c>
      <c r="H50" s="1280"/>
      <c r="I50" s="1280"/>
      <c r="J50" s="1280"/>
      <c r="K50" s="1280"/>
      <c r="L50" s="1280"/>
      <c r="M50" s="1280"/>
      <c r="N50" s="1280"/>
      <c r="O50" s="1280"/>
      <c r="P50" s="1280"/>
      <c r="Q50" s="1280"/>
      <c r="R50" s="1280"/>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1</v>
      </c>
      <c r="Y51" s="987" t="str">
        <f>IF(AND(X51=TRUE,X52=TRUE),"Regions &amp; Portland area",IF(X51=TRUE,"Portland area",IF(X52=TRUE,"Regional","none")))</f>
        <v>Portland area</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315" t="s">
        <v>323</v>
      </c>
      <c r="H54" s="1315"/>
      <c r="I54" s="1315"/>
      <c r="J54" s="1315"/>
      <c r="K54" s="1315"/>
      <c r="L54" s="1315"/>
      <c r="M54" s="1315"/>
      <c r="N54" s="1315"/>
      <c r="O54" s="1315"/>
      <c r="P54" s="1315"/>
      <c r="Q54" s="1315"/>
      <c r="R54" s="1315"/>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6"/>
      <c r="H55" s="1316"/>
      <c r="I55" s="1316"/>
      <c r="J55" s="1316"/>
      <c r="K55" s="1316"/>
      <c r="L55" s="1316"/>
      <c r="M55" s="1316"/>
      <c r="N55" s="1316"/>
      <c r="O55" s="1316"/>
      <c r="P55" s="1316"/>
      <c r="Q55" s="1316"/>
      <c r="R55" s="1316"/>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4"/>
      <c r="E56" s="1324"/>
      <c r="F56" s="1324"/>
      <c r="G56" s="1324"/>
      <c r="H56" s="1324"/>
      <c r="I56" s="1324"/>
      <c r="J56" s="1324"/>
      <c r="K56" s="1324"/>
      <c r="L56" s="1324"/>
      <c r="M56" s="1324"/>
      <c r="N56" s="1324"/>
      <c r="O56" s="1324"/>
      <c r="P56" s="1324"/>
      <c r="Q56" s="1324"/>
      <c r="R56" s="1324"/>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6" t="s">
        <v>198</v>
      </c>
      <c r="E57" s="1256"/>
      <c r="F57" s="1256"/>
      <c r="G57" s="1256"/>
      <c r="H57" s="1256"/>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20"/>
      <c r="E58" s="1321"/>
      <c r="F58" s="1321"/>
      <c r="G58" s="1321"/>
      <c r="H58" s="1321"/>
      <c r="I58" s="1321"/>
      <c r="J58" s="1321"/>
      <c r="K58" s="1321"/>
      <c r="L58" s="1321"/>
      <c r="M58" s="1321"/>
      <c r="N58" s="1321"/>
      <c r="O58" s="1321"/>
      <c r="P58" s="1321"/>
      <c r="Q58" s="1321"/>
      <c r="R58" s="1322"/>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7" t="s">
        <v>1062</v>
      </c>
      <c r="E60" s="1318"/>
      <c r="F60" s="1318"/>
      <c r="G60" s="1318"/>
      <c r="H60" s="1318"/>
      <c r="I60" s="1318"/>
      <c r="J60" s="1318"/>
      <c r="K60" s="1318"/>
      <c r="L60" s="1318"/>
      <c r="M60" s="1318"/>
      <c r="N60" s="1318"/>
      <c r="O60" s="1318"/>
      <c r="P60" s="1318"/>
      <c r="Q60" s="1318"/>
      <c r="R60" s="1319"/>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79">
        <f ca="1">TODAY()</f>
        <v>41780</v>
      </c>
      <c r="G61" s="1279"/>
      <c r="H61" s="1279"/>
      <c r="I61" s="1279"/>
      <c r="J61" s="1279"/>
      <c r="K61" s="1279"/>
      <c r="L61" s="1279"/>
      <c r="M61" s="1279"/>
      <c r="N61" s="1279"/>
      <c r="O61" s="1279"/>
      <c r="P61" s="1279"/>
      <c r="Q61" s="1279"/>
      <c r="R61" s="1279"/>
      <c r="S61" s="1279"/>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sheet="1" scenarios="1"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98" priority="90" stopIfTrue="1">
      <formula>IF($X20&lt;10,TRUE,)</formula>
    </cfRule>
  </conditionalFormatting>
  <conditionalFormatting sqref="Q58 Q60">
    <cfRule type="expression" dxfId="397" priority="5041" stopIfTrue="1">
      <formula>IF(AND(#REF!="H",$X57&lt;10),TRUE,)</formula>
    </cfRule>
  </conditionalFormatting>
  <conditionalFormatting sqref="H58 H60">
    <cfRule type="expression" dxfId="396" priority="5042" stopIfTrue="1">
      <formula>IF(AND(#REF!="H",$X57&lt;1),TRUE,)</formula>
    </cfRule>
  </conditionalFormatting>
  <conditionalFormatting sqref="I58 I60">
    <cfRule type="expression" dxfId="395" priority="5043" stopIfTrue="1">
      <formula>IF(AND(#REF!="H",$X57&lt;2),TRUE,)</formula>
    </cfRule>
  </conditionalFormatting>
  <conditionalFormatting sqref="K58 K60">
    <cfRule type="expression" dxfId="394" priority="5044" stopIfTrue="1">
      <formula>IF(AND(#REF!="H",$X57&lt;4),TRUE,)</formula>
    </cfRule>
  </conditionalFormatting>
  <conditionalFormatting sqref="L58 L60">
    <cfRule type="expression" dxfId="393" priority="5045" stopIfTrue="1">
      <formula>IF(AND(#REF!="H",$X57&lt;5),TRUE,)</formula>
    </cfRule>
  </conditionalFormatting>
  <conditionalFormatting sqref="M58 M60">
    <cfRule type="expression" dxfId="392" priority="5046" stopIfTrue="1">
      <formula>IF(AND(#REF!="H",$X57&lt;6),TRUE,)</formula>
    </cfRule>
  </conditionalFormatting>
  <conditionalFormatting sqref="N58 N60">
    <cfRule type="expression" dxfId="391" priority="5047" stopIfTrue="1">
      <formula>IF(AND(#REF!="H",$X57&lt;7),TRUE,)</formula>
    </cfRule>
  </conditionalFormatting>
  <conditionalFormatting sqref="O58 O60">
    <cfRule type="expression" dxfId="390" priority="5048" stopIfTrue="1">
      <formula>IF(AND(#REF!="H",$X57&lt;8),TRUE,)</formula>
    </cfRule>
  </conditionalFormatting>
  <conditionalFormatting sqref="P58 P60">
    <cfRule type="expression" dxfId="389" priority="5049" stopIfTrue="1">
      <formula>IF(AND(#REF!="H",$X57&lt;9),TRUE,)</formula>
    </cfRule>
  </conditionalFormatting>
  <conditionalFormatting sqref="J58 J60">
    <cfRule type="expression" dxfId="388" priority="5050" stopIfTrue="1">
      <formula>IF(AND(#REF!="H",$X57&lt;3),TRUE,)</formula>
    </cfRule>
  </conditionalFormatting>
  <conditionalFormatting sqref="H20:H26 H29:H33">
    <cfRule type="expression" dxfId="387" priority="4960" stopIfTrue="1">
      <formula>IF($X20&lt;1,TRUE,)</formula>
    </cfRule>
  </conditionalFormatting>
  <conditionalFormatting sqref="I20:I26 I29:I33">
    <cfRule type="expression" dxfId="386" priority="4964" stopIfTrue="1">
      <formula>IF($X20&lt;2,TRUE,)</formula>
    </cfRule>
  </conditionalFormatting>
  <conditionalFormatting sqref="J20:J26 J29:J33">
    <cfRule type="expression" dxfId="385" priority="4967" stopIfTrue="1">
      <formula>IF($X20&lt;3,TRUE,)</formula>
    </cfRule>
  </conditionalFormatting>
  <conditionalFormatting sqref="K20:K26 K29:K33">
    <cfRule type="expression" dxfId="384" priority="4970" stopIfTrue="1">
      <formula>IF($X20&lt;4,TRUE,)</formula>
    </cfRule>
  </conditionalFormatting>
  <conditionalFormatting sqref="L20:L26 L29:L33">
    <cfRule type="expression" dxfId="383" priority="4973" stopIfTrue="1">
      <formula>IF($X20&lt;5,TRUE,)</formula>
    </cfRule>
  </conditionalFormatting>
  <conditionalFormatting sqref="M29:S33 AD20:LR33 M20:S26">
    <cfRule type="expression" dxfId="382" priority="4976" stopIfTrue="1">
      <formula>IF($X20&lt;6,TRUE,)</formula>
    </cfRule>
  </conditionalFormatting>
  <conditionalFormatting sqref="N20:N26 N29:N33">
    <cfRule type="expression" dxfId="381" priority="4980" stopIfTrue="1">
      <formula>IF($X20&lt;7,TRUE,)</formula>
    </cfRule>
  </conditionalFormatting>
  <conditionalFormatting sqref="O20:O26 O29:O33">
    <cfRule type="expression" dxfId="380" priority="4984" stopIfTrue="1">
      <formula>IF($X20&lt;8,TRUE,)</formula>
    </cfRule>
  </conditionalFormatting>
  <conditionalFormatting sqref="P20:P26 P29:P33">
    <cfRule type="expression" dxfId="379" priority="4987" stopIfTrue="1">
      <formula>IF($X20&lt;9,TRUE,)</formula>
    </cfRule>
  </conditionalFormatting>
  <conditionalFormatting sqref="Q57">
    <cfRule type="expression" dxfId="378" priority="5109" stopIfTrue="1">
      <formula>IF(AND(#REF!="H",$X50&lt;10),TRUE,)</formula>
    </cfRule>
  </conditionalFormatting>
  <conditionalFormatting sqref="I57">
    <cfRule type="expression" dxfId="377" priority="5111" stopIfTrue="1">
      <formula>IF(AND(#REF!="H",$X50&lt;2),TRUE,)</formula>
    </cfRule>
  </conditionalFormatting>
  <conditionalFormatting sqref="K57">
    <cfRule type="expression" dxfId="376" priority="5112" stopIfTrue="1">
      <formula>IF(AND(#REF!="H",$X50&lt;4),TRUE,)</formula>
    </cfRule>
  </conditionalFormatting>
  <conditionalFormatting sqref="L57">
    <cfRule type="expression" dxfId="375" priority="5113" stopIfTrue="1">
      <formula>IF(AND(#REF!="H",$X50&lt;5),TRUE,)</formula>
    </cfRule>
  </conditionalFormatting>
  <conditionalFormatting sqref="M57">
    <cfRule type="expression" dxfId="374" priority="5114" stopIfTrue="1">
      <formula>IF(AND(#REF!="H",$X50&lt;6),TRUE,)</formula>
    </cfRule>
  </conditionalFormatting>
  <conditionalFormatting sqref="N57">
    <cfRule type="expression" dxfId="373" priority="5115" stopIfTrue="1">
      <formula>IF(AND(#REF!="H",$X50&lt;7),TRUE,)</formula>
    </cfRule>
  </conditionalFormatting>
  <conditionalFormatting sqref="O57">
    <cfRule type="expression" dxfId="372" priority="5116" stopIfTrue="1">
      <formula>IF(AND(#REF!="H",$X50&lt;8),TRUE,)</formula>
    </cfRule>
  </conditionalFormatting>
  <conditionalFormatting sqref="P57">
    <cfRule type="expression" dxfId="371" priority="5117" stopIfTrue="1">
      <formula>IF(AND(#REF!="H",$X50&lt;9),TRUE,)</formula>
    </cfRule>
  </conditionalFormatting>
  <conditionalFormatting sqref="J57">
    <cfRule type="expression" dxfId="370" priority="5118" stopIfTrue="1">
      <formula>IF(AND(#REF!="H",$X50&lt;3),TRUE,)</formula>
    </cfRule>
  </conditionalFormatting>
  <conditionalFormatting sqref="Q59">
    <cfRule type="expression" dxfId="369" priority="5121" stopIfTrue="1">
      <formula>IF(AND(#REF!="H",#REF!&lt;10),TRUE,)</formula>
    </cfRule>
  </conditionalFormatting>
  <conditionalFormatting sqref="H59">
    <cfRule type="expression" dxfId="368" priority="5124" stopIfTrue="1">
      <formula>IF(AND(#REF!="H",#REF!&lt;1),TRUE,)</formula>
    </cfRule>
  </conditionalFormatting>
  <conditionalFormatting sqref="I59">
    <cfRule type="expression" dxfId="367" priority="5127" stopIfTrue="1">
      <formula>IF(AND(#REF!="H",#REF!&lt;2),TRUE,)</formula>
    </cfRule>
  </conditionalFormatting>
  <conditionalFormatting sqref="K59">
    <cfRule type="expression" dxfId="366" priority="5130" stopIfTrue="1">
      <formula>IF(AND(#REF!="H",#REF!&lt;4),TRUE,)</formula>
    </cfRule>
  </conditionalFormatting>
  <conditionalFormatting sqref="L59">
    <cfRule type="expression" dxfId="365" priority="5133" stopIfTrue="1">
      <formula>IF(AND(#REF!="H",#REF!&lt;5),TRUE,)</formula>
    </cfRule>
  </conditionalFormatting>
  <conditionalFormatting sqref="M59">
    <cfRule type="expression" dxfId="364" priority="5136" stopIfTrue="1">
      <formula>IF(AND(#REF!="H",#REF!&lt;6),TRUE,)</formula>
    </cfRule>
  </conditionalFormatting>
  <conditionalFormatting sqref="N59">
    <cfRule type="expression" dxfId="363" priority="5139" stopIfTrue="1">
      <formula>IF(AND(#REF!="H",#REF!&lt;7),TRUE,)</formula>
    </cfRule>
  </conditionalFormatting>
  <conditionalFormatting sqref="O59">
    <cfRule type="expression" dxfId="362" priority="5142" stopIfTrue="1">
      <formula>IF(AND(#REF!="H",#REF!&lt;8),TRUE,)</formula>
    </cfRule>
  </conditionalFormatting>
  <conditionalFormatting sqref="P59">
    <cfRule type="expression" dxfId="361" priority="5145" stopIfTrue="1">
      <formula>IF(AND(#REF!="H",#REF!&lt;9),TRUE,)</formula>
    </cfRule>
  </conditionalFormatting>
  <conditionalFormatting sqref="J59">
    <cfRule type="expression" dxfId="360" priority="5148" stopIfTrue="1">
      <formula>IF(AND(#REF!="H",#REF!&lt;3),TRUE,)</formula>
    </cfRule>
  </conditionalFormatting>
  <conditionalFormatting sqref="Q28">
    <cfRule type="expression" dxfId="359" priority="34" stopIfTrue="1">
      <formula>IF($X28&lt;10,TRUE,)</formula>
    </cfRule>
  </conditionalFormatting>
  <conditionalFormatting sqref="H28">
    <cfRule type="expression" dxfId="358" priority="35" stopIfTrue="1">
      <formula>IF($X28&lt;1,TRUE,)</formula>
    </cfRule>
  </conditionalFormatting>
  <conditionalFormatting sqref="I28">
    <cfRule type="expression" dxfId="357" priority="36" stopIfTrue="1">
      <formula>IF($X28&lt;2,TRUE,)</formula>
    </cfRule>
  </conditionalFormatting>
  <conditionalFormatting sqref="J28">
    <cfRule type="expression" dxfId="356" priority="37" stopIfTrue="1">
      <formula>IF($X28&lt;3,TRUE,)</formula>
    </cfRule>
  </conditionalFormatting>
  <conditionalFormatting sqref="K28">
    <cfRule type="expression" dxfId="355" priority="38" stopIfTrue="1">
      <formula>IF($X28&lt;4,TRUE,)</formula>
    </cfRule>
  </conditionalFormatting>
  <conditionalFormatting sqref="L28">
    <cfRule type="expression" dxfId="354" priority="39" stopIfTrue="1">
      <formula>IF($X28&lt;5,TRUE,)</formula>
    </cfRule>
  </conditionalFormatting>
  <conditionalFormatting sqref="M28:S28">
    <cfRule type="expression" dxfId="353" priority="40" stopIfTrue="1">
      <formula>IF($X28&lt;6,TRUE,)</formula>
    </cfRule>
  </conditionalFormatting>
  <conditionalFormatting sqref="N28">
    <cfRule type="expression" dxfId="352" priority="41" stopIfTrue="1">
      <formula>IF($X28&lt;7,TRUE,)</formula>
    </cfRule>
  </conditionalFormatting>
  <conditionalFormatting sqref="O28">
    <cfRule type="expression" dxfId="351" priority="42" stopIfTrue="1">
      <formula>IF($X28&lt;8,TRUE,)</formula>
    </cfRule>
  </conditionalFormatting>
  <conditionalFormatting sqref="P28">
    <cfRule type="expression" dxfId="350" priority="43" stopIfTrue="1">
      <formula>IF($X28&lt;9,TRUE,)</formula>
    </cfRule>
  </conditionalFormatting>
  <conditionalFormatting sqref="Q27">
    <cfRule type="expression" dxfId="349" priority="23" stopIfTrue="1">
      <formula>IF($X27&lt;10,TRUE,)</formula>
    </cfRule>
  </conditionalFormatting>
  <conditionalFormatting sqref="H27">
    <cfRule type="expression" dxfId="348" priority="24" stopIfTrue="1">
      <formula>IF($X27&lt;1,TRUE,)</formula>
    </cfRule>
  </conditionalFormatting>
  <conditionalFormatting sqref="I27">
    <cfRule type="expression" dxfId="347" priority="25" stopIfTrue="1">
      <formula>IF($X27&lt;2,TRUE,)</formula>
    </cfRule>
  </conditionalFormatting>
  <conditionalFormatting sqref="J27">
    <cfRule type="expression" dxfId="346" priority="26" stopIfTrue="1">
      <formula>IF($X27&lt;3,TRUE,)</formula>
    </cfRule>
  </conditionalFormatting>
  <conditionalFormatting sqref="K27">
    <cfRule type="expression" dxfId="345" priority="27" stopIfTrue="1">
      <formula>IF($X27&lt;4,TRUE,)</formula>
    </cfRule>
  </conditionalFormatting>
  <conditionalFormatting sqref="L27">
    <cfRule type="expression" dxfId="344" priority="28" stopIfTrue="1">
      <formula>IF($X27&lt;5,TRUE,)</formula>
    </cfRule>
  </conditionalFormatting>
  <conditionalFormatting sqref="M27:S27">
    <cfRule type="expression" dxfId="343" priority="29" stopIfTrue="1">
      <formula>IF($X27&lt;6,TRUE,)</formula>
    </cfRule>
  </conditionalFormatting>
  <conditionalFormatting sqref="N27">
    <cfRule type="expression" dxfId="342" priority="30" stopIfTrue="1">
      <formula>IF($X27&lt;7,TRUE,)</formula>
    </cfRule>
  </conditionalFormatting>
  <conditionalFormatting sqref="O27">
    <cfRule type="expression" dxfId="341" priority="31" stopIfTrue="1">
      <formula>IF($X27&lt;8,TRUE,)</formula>
    </cfRule>
  </conditionalFormatting>
  <conditionalFormatting sqref="P27">
    <cfRule type="expression" dxfId="340" priority="32" stopIfTrue="1">
      <formula>IF($X27&lt;9,TRUE,)</formula>
    </cfRule>
  </conditionalFormatting>
  <conditionalFormatting sqref="I8:Q13">
    <cfRule type="expression" dxfId="339" priority="22">
      <formula>IF($X$8=1,TRUE)</formula>
    </cfRule>
  </conditionalFormatting>
  <conditionalFormatting sqref="Q60">
    <cfRule type="expression" dxfId="338" priority="10" stopIfTrue="1">
      <formula>IF(AND(#REF!="H",$X59&lt;10),TRUE,)</formula>
    </cfRule>
  </conditionalFormatting>
  <conditionalFormatting sqref="H60">
    <cfRule type="expression" dxfId="337" priority="9" stopIfTrue="1">
      <formula>IF(AND(#REF!="H",$X59&lt;1),TRUE,)</formula>
    </cfRule>
  </conditionalFormatting>
  <conditionalFormatting sqref="I60">
    <cfRule type="expression" dxfId="336" priority="8" stopIfTrue="1">
      <formula>IF(AND(#REF!="H",$X59&lt;2),TRUE,)</formula>
    </cfRule>
  </conditionalFormatting>
  <conditionalFormatting sqref="K60">
    <cfRule type="expression" dxfId="335" priority="7" stopIfTrue="1">
      <formula>IF(AND(#REF!="H",$X59&lt;4),TRUE,)</formula>
    </cfRule>
  </conditionalFormatting>
  <conditionalFormatting sqref="L60">
    <cfRule type="expression" dxfId="334" priority="6" stopIfTrue="1">
      <formula>IF(AND(#REF!="H",$X59&lt;5),TRUE,)</formula>
    </cfRule>
  </conditionalFormatting>
  <conditionalFormatting sqref="M60">
    <cfRule type="expression" dxfId="333" priority="5" stopIfTrue="1">
      <formula>IF(AND(#REF!="H",$X59&lt;6),TRUE,)</formula>
    </cfRule>
  </conditionalFormatting>
  <conditionalFormatting sqref="N60">
    <cfRule type="expression" dxfId="332" priority="4" stopIfTrue="1">
      <formula>IF(AND(#REF!="H",$X59&lt;7),TRUE,)</formula>
    </cfRule>
  </conditionalFormatting>
  <conditionalFormatting sqref="O60">
    <cfRule type="expression" dxfId="331" priority="3" stopIfTrue="1">
      <formula>IF(AND(#REF!="H",$X59&lt;8),TRUE,)</formula>
    </cfRule>
  </conditionalFormatting>
  <conditionalFormatting sqref="P60">
    <cfRule type="expression" dxfId="330" priority="2" stopIfTrue="1">
      <formula>IF(AND(#REF!="H",$X59&lt;9),TRUE,)</formula>
    </cfRule>
  </conditionalFormatting>
  <conditionalFormatting sqref="J60">
    <cfRule type="expression" dxfId="329"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19" zoomScaleNormal="100" workbookViewId="0">
      <selection activeCell="J27" sqref="J27:S27"/>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1" t="s">
        <v>349</v>
      </c>
      <c r="E2" s="1211"/>
      <c r="F2" s="1211"/>
      <c r="G2" s="1328" t="str">
        <f>C.2Name</f>
        <v>Oregon State Implementation Plan revision for PM2.5 National Ambient Air Quality Standards</v>
      </c>
      <c r="H2" s="1328"/>
      <c r="I2" s="1328"/>
      <c r="J2" s="1328"/>
      <c r="K2" s="1328"/>
      <c r="L2" s="1328"/>
      <c r="M2" s="1328"/>
      <c r="N2" s="1328"/>
      <c r="O2" s="1328"/>
      <c r="P2" s="1328"/>
      <c r="Q2" s="1328"/>
      <c r="R2" s="1328"/>
      <c r="S2" s="1328"/>
      <c r="T2" s="200"/>
      <c r="U2" s="563"/>
      <c r="V2" s="572" t="s">
        <v>0</v>
      </c>
      <c r="W2" s="159"/>
      <c r="X2" s="68"/>
      <c r="Y2" s="147"/>
      <c r="Z2" s="147"/>
    </row>
    <row r="3" spans="1:58" s="66" customFormat="1" ht="12.75" customHeight="1" thickTop="1">
      <c r="A3" s="601"/>
      <c r="B3" s="563"/>
      <c r="C3" s="1334"/>
      <c r="D3" s="1335"/>
      <c r="E3" s="1335"/>
      <c r="F3" s="1335"/>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6" t="s">
        <v>1072</v>
      </c>
      <c r="F4" s="1347"/>
      <c r="G4" s="1347"/>
      <c r="H4" s="1347"/>
      <c r="I4" s="1347"/>
      <c r="J4" s="1347"/>
      <c r="K4" s="1347"/>
      <c r="L4" s="1347"/>
      <c r="M4" s="1347"/>
      <c r="N4" s="1347"/>
      <c r="O4" s="1347"/>
      <c r="P4" s="1347"/>
      <c r="Q4" s="1347"/>
      <c r="R4" s="1348"/>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4" t="s">
        <v>186</v>
      </c>
      <c r="F6" s="1345"/>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29" t="s">
        <v>264</v>
      </c>
      <c r="E7" s="1329"/>
      <c r="F7" s="1329"/>
      <c r="G7" s="1329"/>
      <c r="H7" s="502"/>
      <c r="I7" s="1341" t="s">
        <v>282</v>
      </c>
      <c r="J7" s="1342"/>
      <c r="K7" s="1342"/>
      <c r="L7" s="1342"/>
      <c r="M7" s="1342"/>
      <c r="N7" s="1342"/>
      <c r="O7" s="1342"/>
      <c r="P7" s="1342"/>
      <c r="Q7" s="1342"/>
      <c r="R7" s="1343"/>
      <c r="S7" s="502"/>
      <c r="T7" s="309"/>
      <c r="U7" s="563"/>
      <c r="V7" s="313" t="s">
        <v>741</v>
      </c>
      <c r="W7" s="270"/>
      <c r="X7" s="998">
        <f>VLOOKUP(I7,C.VL_SeverityRating,2,FALSE)</f>
        <v>1</v>
      </c>
      <c r="Y7" s="986" t="str">
        <f>I7</f>
        <v>low</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4" t="s">
        <v>280</v>
      </c>
      <c r="H8" s="1355"/>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9" t="s">
        <v>136</v>
      </c>
      <c r="E9" s="1349"/>
      <c r="F9" s="1349"/>
      <c r="G9" s="1349"/>
      <c r="H9" s="974" t="s">
        <v>0</v>
      </c>
      <c r="I9" s="974"/>
      <c r="J9" s="120"/>
      <c r="K9" s="120"/>
      <c r="L9" s="120"/>
      <c r="M9" s="120"/>
      <c r="N9" s="120"/>
      <c r="O9" s="120"/>
      <c r="P9" s="120"/>
      <c r="Q9" s="120"/>
      <c r="R9" s="120"/>
      <c r="S9" s="114"/>
      <c r="T9" s="206"/>
      <c r="U9" s="563"/>
      <c r="V9" s="575" t="s">
        <v>0</v>
      </c>
      <c r="W9" s="273"/>
      <c r="X9" s="284" t="b">
        <v>1</v>
      </c>
      <c r="Y9" s="1000" t="str">
        <f>IF($X9=FALSE,"",IF(COUNTIF($X10:$X$16,TRUE)=0,LOWER($D9),IF(COUNTIF($X10:$X$16,TRUE)=1,LOWER($D9)&amp;" and ",LOWER($D9)&amp;", ")))</f>
        <v xml:space="preserve">loss of delegation, </v>
      </c>
      <c r="Z9" s="1001">
        <f>IF(X9=TRUE,7,0)</f>
        <v>7</v>
      </c>
      <c r="AB9" s="273"/>
      <c r="AC9" s="273"/>
    </row>
    <row r="10" spans="1:58" s="66" customFormat="1" ht="21" customHeight="1">
      <c r="A10" s="601"/>
      <c r="B10" s="563"/>
      <c r="C10" s="202"/>
      <c r="D10" s="1349" t="s">
        <v>137</v>
      </c>
      <c r="E10" s="1349"/>
      <c r="F10" s="1349"/>
      <c r="G10" s="1350"/>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39" t="s">
        <v>190</v>
      </c>
      <c r="E11" s="1339"/>
      <c r="F11" s="1339"/>
      <c r="G11" s="1340"/>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39" t="s">
        <v>140</v>
      </c>
      <c r="E12" s="1339"/>
      <c r="F12" s="1339"/>
      <c r="G12" s="1340"/>
      <c r="H12" s="114"/>
      <c r="I12" s="114"/>
      <c r="J12" s="114"/>
      <c r="K12" s="114"/>
      <c r="L12" s="114"/>
      <c r="M12" s="114"/>
      <c r="N12" s="114"/>
      <c r="O12" s="114"/>
      <c r="P12" s="114"/>
      <c r="Q12" s="114"/>
      <c r="R12" s="114"/>
      <c r="S12" s="114"/>
      <c r="T12" s="206"/>
      <c r="U12" s="563"/>
      <c r="V12" s="575"/>
      <c r="W12" s="273"/>
      <c r="X12" s="284" t="b">
        <v>1</v>
      </c>
      <c r="Y12" s="1000" t="str">
        <f>IF($X12=FALSE,"",IF(COUNTIF($X13:$X$16,TRUE)=0,LOWER($D12),IF(COUNTIF($X13:$X$16,TRUE)=1,LOWER($D12)&amp;" and ",LOWER($D12)&amp;", ")))</f>
        <v xml:space="preserve">increased difficulty doing business and </v>
      </c>
      <c r="Z12" s="1001">
        <f t="shared" si="0"/>
        <v>7</v>
      </c>
      <c r="AB12" s="273"/>
      <c r="AC12" s="273"/>
    </row>
    <row r="13" spans="1:58" s="66" customFormat="1" ht="21" customHeight="1">
      <c r="A13" s="601"/>
      <c r="B13" s="563"/>
      <c r="C13" s="202"/>
      <c r="D13" s="1339" t="s">
        <v>265</v>
      </c>
      <c r="E13" s="1339"/>
      <c r="F13" s="1339"/>
      <c r="G13" s="1340"/>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39" t="s">
        <v>143</v>
      </c>
      <c r="E14" s="1339"/>
      <c r="F14" s="1339"/>
      <c r="G14" s="1340"/>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37" t="s">
        <v>370</v>
      </c>
      <c r="E15" s="1337"/>
      <c r="F15" s="1337"/>
      <c r="G15" s="1337"/>
      <c r="H15" s="1337"/>
      <c r="I15" s="1337"/>
      <c r="J15" s="1337"/>
      <c r="K15" s="1337"/>
      <c r="L15" s="1337"/>
      <c r="M15" s="1337"/>
      <c r="N15" s="1337"/>
      <c r="O15" s="1337"/>
      <c r="P15" s="1337"/>
      <c r="Q15" s="1337"/>
      <c r="R15" s="1337"/>
      <c r="S15" s="1337"/>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8" t="s">
        <v>370</v>
      </c>
      <c r="E16" s="1338"/>
      <c r="F16" s="1338"/>
      <c r="G16" s="1338"/>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1" t="s">
        <v>399</v>
      </c>
      <c r="E17" s="1351"/>
      <c r="F17" s="1351"/>
      <c r="G17" s="1351"/>
      <c r="H17" s="302"/>
      <c r="I17" s="302"/>
      <c r="J17" s="302"/>
      <c r="K17" s="302"/>
      <c r="L17" s="302"/>
      <c r="M17" s="302"/>
      <c r="N17" s="302"/>
      <c r="O17" s="302"/>
      <c r="P17" s="302"/>
      <c r="Q17" s="302"/>
      <c r="R17" s="302"/>
      <c r="S17" s="303"/>
      <c r="T17" s="206"/>
      <c r="U17" s="563"/>
      <c r="V17" s="576" t="s">
        <v>0</v>
      </c>
      <c r="W17" s="161"/>
      <c r="X17" s="1352" t="str">
        <f>IF(COUNTIF(X9:X16,TRUE),"If DEQ does not address this in rules, the program risks "&amp;Y9&amp;Y10&amp;Y11&amp;Y12&amp;Y13&amp;Y14&amp;Y15&amp;Y16&amp;".","")</f>
        <v>If DEQ does not address this in rules, the program risks loss of delegation, 0increased difficulty doing business and loss of reputation.</v>
      </c>
      <c r="Y17" s="1352"/>
      <c r="Z17" s="1353"/>
      <c r="AA17"/>
    </row>
    <row r="18" spans="1:27" s="6" customFormat="1" ht="15.75" customHeight="1">
      <c r="A18" s="601"/>
      <c r="B18" s="563"/>
      <c r="C18" s="202"/>
      <c r="D18" s="1260" t="s">
        <v>0</v>
      </c>
      <c r="E18" s="1261"/>
      <c r="F18" s="1261"/>
      <c r="G18" s="1261"/>
      <c r="H18" s="1261"/>
      <c r="I18" s="1261"/>
      <c r="J18" s="1261"/>
      <c r="K18" s="1261"/>
      <c r="L18" s="1261"/>
      <c r="M18" s="1261"/>
      <c r="N18" s="1261"/>
      <c r="O18" s="1261"/>
      <c r="P18" s="1261"/>
      <c r="Q18" s="1261"/>
      <c r="R18" s="1261"/>
      <c r="S18" s="1262"/>
      <c r="T18" s="206"/>
      <c r="U18" s="563"/>
      <c r="V18" s="576"/>
      <c r="W18" s="161"/>
      <c r="X18" s="1353"/>
      <c r="Y18" s="1353"/>
      <c r="Z18" s="1353"/>
    </row>
    <row r="19" spans="1:27" s="66" customFormat="1" ht="21.75" customHeight="1">
      <c r="A19" s="601"/>
      <c r="B19" s="563"/>
      <c r="C19" s="202"/>
      <c r="D19" s="1363" t="s">
        <v>400</v>
      </c>
      <c r="E19" s="1363"/>
      <c r="F19" s="1363"/>
      <c r="G19" s="1363"/>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60" t="s">
        <v>0</v>
      </c>
      <c r="E20" s="1261"/>
      <c r="F20" s="1261"/>
      <c r="G20" s="1261"/>
      <c r="H20" s="1261"/>
      <c r="I20" s="1261"/>
      <c r="J20" s="1261"/>
      <c r="K20" s="1261"/>
      <c r="L20" s="1261"/>
      <c r="M20" s="1261"/>
      <c r="N20" s="1261"/>
      <c r="O20" s="1261"/>
      <c r="P20" s="1261"/>
      <c r="Q20" s="1261"/>
      <c r="R20" s="1261"/>
      <c r="S20" s="1262"/>
      <c r="T20" s="207"/>
      <c r="U20" s="563"/>
      <c r="V20" s="572" t="s">
        <v>0</v>
      </c>
      <c r="W20" s="161"/>
      <c r="X20" s="38"/>
      <c r="Y20" s="38"/>
      <c r="Z20" s="35"/>
    </row>
    <row r="21" spans="1:27" s="2" customFormat="1" ht="27" customHeight="1">
      <c r="A21" s="601"/>
      <c r="B21" s="563" t="s">
        <v>0</v>
      </c>
      <c r="C21" s="208"/>
      <c r="D21" s="1329" t="s">
        <v>192</v>
      </c>
      <c r="E21" s="1329"/>
      <c r="F21" s="1329"/>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6"/>
      <c r="K22" s="1336"/>
      <c r="L22" s="1336"/>
      <c r="M22" s="1336"/>
      <c r="N22" s="1336"/>
      <c r="O22" s="1336"/>
      <c r="P22" s="1336"/>
      <c r="Q22" s="1336"/>
      <c r="R22" s="1336"/>
      <c r="S22" s="1336"/>
      <c r="T22" s="209"/>
      <c r="U22" s="563"/>
      <c r="V22" s="577" t="s">
        <v>0</v>
      </c>
      <c r="W22" s="174"/>
      <c r="X22" s="115" t="s">
        <v>0</v>
      </c>
      <c r="Y22" s="115"/>
      <c r="Z22" s="115" t="s">
        <v>0</v>
      </c>
    </row>
    <row r="23" spans="1:27" s="2" customFormat="1" ht="29.25" customHeight="1">
      <c r="A23" s="601"/>
      <c r="B23" s="563"/>
      <c r="C23" s="211"/>
      <c r="D23" s="1330" t="s">
        <v>217</v>
      </c>
      <c r="E23" s="1331"/>
      <c r="F23" s="1331"/>
      <c r="G23" s="1332"/>
      <c r="H23" s="1332"/>
      <c r="I23" s="1332"/>
      <c r="J23" s="1333"/>
      <c r="K23" s="1333"/>
      <c r="L23" s="1333"/>
      <c r="M23" s="1333"/>
      <c r="N23" s="1333"/>
      <c r="O23" s="1333"/>
      <c r="P23" s="1333"/>
      <c r="Q23" s="1333"/>
      <c r="R23" s="1333"/>
      <c r="S23" s="1333"/>
      <c r="T23" s="212"/>
      <c r="U23" s="563"/>
      <c r="V23" s="578"/>
      <c r="W23" s="159"/>
      <c r="X23" s="144">
        <v>1</v>
      </c>
      <c r="Y23" s="75" t="s">
        <v>230</v>
      </c>
      <c r="Z23" s="75"/>
    </row>
    <row r="24" spans="1:27" s="843" customFormat="1" ht="17.25" customHeight="1">
      <c r="A24" s="852"/>
      <c r="B24" s="851"/>
      <c r="C24" s="973"/>
      <c r="D24" s="1367" t="s">
        <v>493</v>
      </c>
      <c r="E24" s="1367"/>
      <c r="F24" s="1367"/>
      <c r="G24" s="1367"/>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4" t="s">
        <v>0</v>
      </c>
      <c r="E25" s="1365"/>
      <c r="F25" s="1365"/>
      <c r="G25" s="1365"/>
      <c r="H25" s="1365"/>
      <c r="I25" s="1365"/>
      <c r="J25" s="1365"/>
      <c r="K25" s="1365"/>
      <c r="L25" s="1365"/>
      <c r="M25" s="1365"/>
      <c r="N25" s="1365"/>
      <c r="O25" s="1365"/>
      <c r="P25" s="1365"/>
      <c r="Q25" s="1365"/>
      <c r="R25" s="1365"/>
      <c r="S25" s="1366"/>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62" t="s">
        <v>401</v>
      </c>
      <c r="E27" s="1362"/>
      <c r="F27" s="1362"/>
      <c r="G27" s="1359" t="s">
        <v>0</v>
      </c>
      <c r="H27" s="1359"/>
      <c r="I27" s="1359"/>
      <c r="J27" s="1341" t="s">
        <v>37</v>
      </c>
      <c r="K27" s="1342"/>
      <c r="L27" s="1342"/>
      <c r="M27" s="1342"/>
      <c r="N27" s="1342"/>
      <c r="O27" s="1342"/>
      <c r="P27" s="1342"/>
      <c r="Q27" s="1342"/>
      <c r="R27" s="1342"/>
      <c r="S27" s="1343"/>
      <c r="T27" s="201"/>
      <c r="U27" s="563"/>
      <c r="V27" s="313" t="s">
        <v>760</v>
      </c>
      <c r="W27" s="161"/>
      <c r="X27" s="1002"/>
      <c r="Y27" s="147"/>
      <c r="Z27" s="147"/>
    </row>
    <row r="28" spans="1:27" s="66" customFormat="1" ht="15.75" customHeight="1">
      <c r="A28" s="601"/>
      <c r="B28" s="563"/>
      <c r="C28" s="202"/>
      <c r="D28" s="1362"/>
      <c r="E28" s="1362"/>
      <c r="F28" s="1362"/>
      <c r="G28" s="1360" t="s">
        <v>247</v>
      </c>
      <c r="H28" s="1360"/>
      <c r="I28" s="1361"/>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60" t="s">
        <v>0</v>
      </c>
      <c r="E33" s="1261"/>
      <c r="F33" s="1261"/>
      <c r="G33" s="1261"/>
      <c r="H33" s="1261"/>
      <c r="I33" s="1261"/>
      <c r="J33" s="1261"/>
      <c r="K33" s="1261"/>
      <c r="L33" s="1261"/>
      <c r="M33" s="1261"/>
      <c r="N33" s="1261"/>
      <c r="O33" s="1261"/>
      <c r="P33" s="1261"/>
      <c r="Q33" s="1261"/>
      <c r="R33" s="1261"/>
      <c r="S33" s="1262"/>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56" t="s">
        <v>0</v>
      </c>
      <c r="E35" s="1357"/>
      <c r="F35" s="1357"/>
      <c r="G35" s="1357"/>
      <c r="H35" s="1357"/>
      <c r="I35" s="1357"/>
      <c r="J35" s="1357"/>
      <c r="K35" s="1357"/>
      <c r="L35" s="1357"/>
      <c r="M35" s="1357"/>
      <c r="N35" s="1357"/>
      <c r="O35" s="1357"/>
      <c r="P35" s="1357"/>
      <c r="Q35" s="1357"/>
      <c r="R35" s="1357"/>
      <c r="S35" s="1358"/>
      <c r="T35" s="201"/>
      <c r="U35" s="563"/>
      <c r="V35" s="582"/>
      <c r="W35" s="161"/>
      <c r="X35" s="122"/>
      <c r="Y35" s="147"/>
      <c r="Z35" s="147"/>
    </row>
    <row r="36" spans="1:26">
      <c r="B36" s="563"/>
      <c r="C36" s="293"/>
      <c r="D36" s="294"/>
      <c r="E36" s="294"/>
      <c r="F36" s="294"/>
      <c r="G36" s="1272">
        <f ca="1">TODAY()</f>
        <v>41780</v>
      </c>
      <c r="H36" s="1272"/>
      <c r="I36" s="1272"/>
      <c r="J36" s="1272"/>
      <c r="K36" s="1272"/>
      <c r="L36" s="1272"/>
      <c r="M36" s="1272"/>
      <c r="N36" s="1272"/>
      <c r="O36" s="1272"/>
      <c r="P36" s="1272"/>
      <c r="Q36" s="1272"/>
      <c r="R36" s="1272"/>
      <c r="S36" s="1272"/>
      <c r="T36" s="1273"/>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328" priority="55" stopIfTrue="1">
      <formula>IF($X$28&lt;10,TRUE,)</formula>
    </cfRule>
  </conditionalFormatting>
  <conditionalFormatting sqref="J28">
    <cfRule type="expression" dxfId="327" priority="4521" stopIfTrue="1">
      <formula>IF($X$28&lt;1,TRUE,)</formula>
    </cfRule>
  </conditionalFormatting>
  <conditionalFormatting sqref="K28">
    <cfRule type="expression" dxfId="326" priority="4523" stopIfTrue="1">
      <formula>IF($X$28&lt;2,TRUE,)</formula>
    </cfRule>
  </conditionalFormatting>
  <conditionalFormatting sqref="M28">
    <cfRule type="expression" dxfId="325" priority="4527" stopIfTrue="1">
      <formula>IF($X28&lt;4,TRUE,)</formula>
    </cfRule>
  </conditionalFormatting>
  <conditionalFormatting sqref="N28">
    <cfRule type="expression" dxfId="324" priority="4529" stopIfTrue="1">
      <formula>IF($X$28&lt;5,TRUE,)</formula>
    </cfRule>
  </conditionalFormatting>
  <conditionalFormatting sqref="O28">
    <cfRule type="expression" dxfId="323" priority="4531" stopIfTrue="1">
      <formula>IF($X$28&lt;6,TRUE,)</formula>
    </cfRule>
  </conditionalFormatting>
  <conditionalFormatting sqref="P28">
    <cfRule type="expression" dxfId="322" priority="4533" stopIfTrue="1">
      <formula>IF($X$28&lt;7,TRUE,)</formula>
    </cfRule>
  </conditionalFormatting>
  <conditionalFormatting sqref="Q28">
    <cfRule type="expression" dxfId="321" priority="4535" stopIfTrue="1">
      <formula>IF($X$28&lt;8,TRUE,)</formula>
    </cfRule>
  </conditionalFormatting>
  <conditionalFormatting sqref="R28">
    <cfRule type="expression" dxfId="320" priority="4537" stopIfTrue="1">
      <formula>IF($X$28&lt;9,TRUE,)</formula>
    </cfRule>
  </conditionalFormatting>
  <conditionalFormatting sqref="L2:L3 L23 L32 L18:L20">
    <cfRule type="expression" dxfId="319" priority="4539" stopIfTrue="1">
      <formula>IF(AND(#REF!="H",$X2&lt;3),TRUE,)</formula>
    </cfRule>
  </conditionalFormatting>
  <conditionalFormatting sqref="L28">
    <cfRule type="expression" dxfId="318" priority="4525" stopIfTrue="1">
      <formula>IF($X$28&lt;3,TRUE,)</formula>
    </cfRule>
  </conditionalFormatting>
  <conditionalFormatting sqref="L34">
    <cfRule type="expression" dxfId="317" priority="17" stopIfTrue="1">
      <formula>IF(AND(#REF!="H",$X34&lt;3),TRUE,)</formula>
    </cfRule>
  </conditionalFormatting>
  <conditionalFormatting sqref="R8">
    <cfRule type="expression" dxfId="316" priority="1" stopIfTrue="1">
      <formula>IF($X$7&lt;10,TRUE,)</formula>
    </cfRule>
  </conditionalFormatting>
  <conditionalFormatting sqref="I8">
    <cfRule type="expression" dxfId="315" priority="2" stopIfTrue="1">
      <formula>IF($X$7&lt;1,TRUE,)</formula>
    </cfRule>
  </conditionalFormatting>
  <conditionalFormatting sqref="J8">
    <cfRule type="expression" dxfId="314" priority="3" stopIfTrue="1">
      <formula>IF($X$7&lt;2,TRUE,)</formula>
    </cfRule>
  </conditionalFormatting>
  <conditionalFormatting sqref="L8">
    <cfRule type="expression" dxfId="313" priority="5" stopIfTrue="1">
      <formula>IF($X$7&lt;4,TRUE,)</formula>
    </cfRule>
  </conditionalFormatting>
  <conditionalFormatting sqref="M8">
    <cfRule type="expression" dxfId="312" priority="6" stopIfTrue="1">
      <formula>IF($X$7&lt;5,TRUE,)</formula>
    </cfRule>
  </conditionalFormatting>
  <conditionalFormatting sqref="N8">
    <cfRule type="expression" dxfId="311" priority="7" stopIfTrue="1">
      <formula>IF($X$7&lt;6,TRUE,)</formula>
    </cfRule>
  </conditionalFormatting>
  <conditionalFormatting sqref="O8">
    <cfRule type="expression" dxfId="310" priority="8" stopIfTrue="1">
      <formula>IF($X$7&lt;7,TRUE,)</formula>
    </cfRule>
  </conditionalFormatting>
  <conditionalFormatting sqref="P8">
    <cfRule type="expression" dxfId="309" priority="9" stopIfTrue="1">
      <formula>IF($X$7&lt;8,TRUE,)</formula>
    </cfRule>
  </conditionalFormatting>
  <conditionalFormatting sqref="Q8">
    <cfRule type="expression" dxfId="308" priority="10" stopIfTrue="1">
      <formula>IF($X$7&lt;9,TRUE,)</formula>
    </cfRule>
  </conditionalFormatting>
  <conditionalFormatting sqref="K8">
    <cfRule type="expression" dxfId="307"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28" workbookViewId="0">
      <selection activeCell="J39" sqref="J39:S39"/>
    </sheetView>
  </sheetViews>
  <sheetFormatPr defaultColWidth="9"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3" t="s">
        <v>100</v>
      </c>
      <c r="E2" s="1393"/>
      <c r="F2" s="1393"/>
      <c r="G2" s="1380" t="str">
        <f>C.2Name</f>
        <v>Oregon State Implementation Plan revision for PM2.5 National Ambient Air Quality Standards</v>
      </c>
      <c r="H2" s="1380"/>
      <c r="I2" s="1380"/>
      <c r="J2" s="1380"/>
      <c r="K2" s="1380"/>
      <c r="L2" s="1380"/>
      <c r="M2" s="1380"/>
      <c r="N2" s="1380"/>
      <c r="O2" s="1380"/>
      <c r="P2" s="1380"/>
      <c r="Q2" s="1380"/>
      <c r="R2" s="1380"/>
      <c r="S2" s="1380"/>
      <c r="T2" s="1102"/>
      <c r="U2" s="563" t="s">
        <v>0</v>
      </c>
      <c r="V2" s="180" t="s">
        <v>0</v>
      </c>
      <c r="W2" s="159"/>
      <c r="X2" s="68"/>
      <c r="Y2" s="147"/>
      <c r="Z2" s="1135" t="s">
        <v>0</v>
      </c>
    </row>
    <row r="3" spans="1:58" s="66" customFormat="1" ht="12.75" customHeight="1" thickTop="1">
      <c r="A3" s="602"/>
      <c r="B3" s="563"/>
      <c r="C3" s="1381"/>
      <c r="D3" s="1382"/>
      <c r="E3" s="1382"/>
      <c r="F3" s="1382"/>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74" t="s">
        <v>426</v>
      </c>
      <c r="F4" s="1375"/>
      <c r="G4" s="1375"/>
      <c r="H4" s="1376"/>
      <c r="I4" s="1391" t="s">
        <v>0</v>
      </c>
      <c r="J4" s="1392"/>
      <c r="K4" s="1392"/>
      <c r="L4" s="1392"/>
      <c r="M4" s="1392"/>
      <c r="N4" s="1392"/>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96" t="str">
        <f>X5</f>
        <v/>
      </c>
      <c r="E5" s="1396"/>
      <c r="F5" s="1396"/>
      <c r="G5" s="1396"/>
      <c r="H5" s="1396"/>
      <c r="I5" s="1396"/>
      <c r="J5" s="1396"/>
      <c r="K5" s="1396"/>
      <c r="L5" s="1396"/>
      <c r="M5" s="1396"/>
      <c r="N5" s="1396"/>
      <c r="O5" s="1396"/>
      <c r="P5" s="1396"/>
      <c r="Q5" s="1396"/>
      <c r="R5" s="1396"/>
      <c r="S5" s="1396"/>
      <c r="T5" s="630"/>
      <c r="U5" s="563"/>
      <c r="V5" s="248"/>
      <c r="W5" s="248"/>
      <c r="X5" s="1394" t="str">
        <f>IF(E4="have no direct correlation to the environment.","The team does not need to complete this worksheet.","")</f>
        <v/>
      </c>
      <c r="Y5" s="1395"/>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5" t="s">
        <v>282</v>
      </c>
      <c r="J6" s="1386"/>
      <c r="K6" s="1386"/>
      <c r="L6" s="1386"/>
      <c r="M6" s="1386"/>
      <c r="N6" s="1386"/>
      <c r="O6" s="1386"/>
      <c r="P6" s="1386"/>
      <c r="Q6" s="1386"/>
      <c r="R6" s="1387"/>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60" t="s">
        <v>280</v>
      </c>
      <c r="H7" s="1361"/>
      <c r="I7" s="199">
        <v>1</v>
      </c>
      <c r="J7" s="184">
        <v>2</v>
      </c>
      <c r="K7" s="185">
        <v>3</v>
      </c>
      <c r="L7" s="186">
        <v>4</v>
      </c>
      <c r="M7" s="187">
        <v>5</v>
      </c>
      <c r="N7" s="188">
        <v>6</v>
      </c>
      <c r="O7" s="189">
        <v>7</v>
      </c>
      <c r="P7" s="190">
        <v>8</v>
      </c>
      <c r="Q7" s="191">
        <v>9</v>
      </c>
      <c r="R7" s="192">
        <v>10</v>
      </c>
      <c r="S7" s="120"/>
      <c r="T7" s="309"/>
      <c r="U7" s="563"/>
      <c r="V7" s="385" t="s">
        <v>767</v>
      </c>
      <c r="W7" s="288"/>
      <c r="X7" s="1398" t="str">
        <f>IF(C.5EnvCorrolation=0,"",IF(COUNTIF(X8:X13,TRUE)=1,"The ""do nothing"" environmental consequence is: "&amp;Y8&amp;Y9&amp;Y10&amp;Y11&amp;Y12&amp;Y13&amp;".",IF(COUNTIF(X8:X13,TRUE),"The ""do nothing"" environmental consequences are: "&amp;Y8&amp;Y9&amp;Y10&amp;Y11&amp;Y12&amp;Y13&amp;".","")))</f>
        <v>The "do nothing" environmental consequence is: delay in public health protection.</v>
      </c>
      <c r="Y7" s="1399"/>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9" t="s">
        <v>138</v>
      </c>
      <c r="E8" s="1349"/>
      <c r="F8" s="1349"/>
      <c r="G8" s="1349"/>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9" t="s">
        <v>139</v>
      </c>
      <c r="E9" s="1349"/>
      <c r="F9" s="1349"/>
      <c r="G9" s="1349"/>
      <c r="H9" s="677"/>
      <c r="I9" s="677"/>
      <c r="J9" s="677"/>
      <c r="K9" s="677"/>
      <c r="L9" s="677"/>
      <c r="M9" s="677"/>
      <c r="N9" s="677"/>
      <c r="O9" s="677"/>
      <c r="P9" s="677"/>
      <c r="Q9" s="677"/>
      <c r="R9" s="677"/>
      <c r="S9" s="677"/>
      <c r="T9" s="206"/>
      <c r="U9" s="563"/>
      <c r="V9" s="484" t="s">
        <v>0</v>
      </c>
      <c r="W9" s="285"/>
      <c r="X9" s="284" t="b">
        <v>1</v>
      </c>
      <c r="Y9" s="427" t="str">
        <f>IF($X9=FALSE,"",IF(COUNTIF($X10:$X$13,TRUE)=0,LOWER($D9),IF(COUNTIF($X10:$X$13,TRUE)=1,LOWER($D9)&amp;" and ",LOWER($D9)&amp;", ")))</f>
        <v>delay in public health protection</v>
      </c>
      <c r="Z9" s="495">
        <f t="shared" ref="Z9:Z13" si="0">IF(X9=TRUE,7,0)</f>
        <v>7</v>
      </c>
      <c r="AA9" s="285"/>
      <c r="AB9" s="285"/>
    </row>
    <row r="10" spans="1:58" s="66" customFormat="1" ht="21" customHeight="1">
      <c r="A10" s="602"/>
      <c r="B10" s="563"/>
      <c r="C10" s="202"/>
      <c r="D10" s="1339" t="s">
        <v>262</v>
      </c>
      <c r="E10" s="1339"/>
      <c r="F10" s="1339"/>
      <c r="G10" s="1339"/>
      <c r="H10" s="481"/>
      <c r="I10" s="481"/>
      <c r="J10" s="481"/>
      <c r="K10" s="481"/>
      <c r="L10" s="481"/>
      <c r="M10" s="481"/>
      <c r="N10" s="481"/>
      <c r="O10" s="481"/>
      <c r="P10" s="481"/>
      <c r="Q10" s="481"/>
      <c r="R10" s="687"/>
      <c r="S10" s="687"/>
      <c r="T10" s="206"/>
      <c r="U10" s="563"/>
      <c r="V10" s="1377"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39" t="s">
        <v>261</v>
      </c>
      <c r="E11" s="1339"/>
      <c r="F11" s="1339"/>
      <c r="G11" s="1339"/>
      <c r="H11" s="1339"/>
      <c r="I11" s="481"/>
      <c r="J11" s="678"/>
      <c r="K11" s="553"/>
      <c r="L11" s="553"/>
      <c r="M11" s="553"/>
      <c r="N11" s="553"/>
      <c r="O11" s="553"/>
      <c r="P11" s="481"/>
      <c r="Q11" s="481"/>
      <c r="R11" s="481"/>
      <c r="S11" s="481"/>
      <c r="T11" s="206"/>
      <c r="U11" s="563"/>
      <c r="V11" s="1377"/>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8" t="s">
        <v>289</v>
      </c>
      <c r="E12" s="1338"/>
      <c r="F12" s="1338"/>
      <c r="G12" s="1338"/>
      <c r="H12" s="677"/>
      <c r="I12" s="677"/>
      <c r="J12" s="677"/>
      <c r="K12" s="677"/>
      <c r="L12" s="677"/>
      <c r="M12" s="677"/>
      <c r="N12" s="677"/>
      <c r="O12" s="677"/>
      <c r="P12" s="677"/>
      <c r="Q12" s="677"/>
      <c r="R12" s="677"/>
      <c r="S12" s="677"/>
      <c r="T12" s="206"/>
      <c r="U12" s="563"/>
      <c r="V12" s="1377"/>
      <c r="W12" s="285"/>
      <c r="X12" s="284" t="b">
        <v>0</v>
      </c>
      <c r="Y12" s="1023" t="str">
        <f>IF($X12=FALSE,"",IF($X$13=FALSE,LOWER($D12),LOWER($D12)&amp;" and "))</f>
        <v/>
      </c>
      <c r="Z12" s="495">
        <f t="shared" si="0"/>
        <v>0</v>
      </c>
      <c r="AA12" s="285" t="s">
        <v>0</v>
      </c>
      <c r="AB12" s="285"/>
    </row>
    <row r="13" spans="1:58" s="66" customFormat="1" ht="21" customHeight="1">
      <c r="A13" s="602"/>
      <c r="B13" s="563"/>
      <c r="C13" s="202"/>
      <c r="D13" s="1338" t="s">
        <v>289</v>
      </c>
      <c r="E13" s="1338"/>
      <c r="F13" s="1338"/>
      <c r="G13" s="1338"/>
      <c r="H13" s="677"/>
      <c r="I13" s="677"/>
      <c r="J13" s="677"/>
      <c r="K13" s="677"/>
      <c r="L13" s="677"/>
      <c r="M13" s="677"/>
      <c r="N13" s="677"/>
      <c r="O13" s="677"/>
      <c r="P13" s="677"/>
      <c r="Q13" s="677"/>
      <c r="R13" s="677"/>
      <c r="S13" s="677"/>
      <c r="T13" s="206"/>
      <c r="U13" s="563"/>
      <c r="V13" s="1377"/>
      <c r="W13" s="285"/>
      <c r="X13" s="284" t="b">
        <v>0</v>
      </c>
      <c r="Y13" s="1025" t="str">
        <f>IF($X13=FALSE,"",LOWER($D13))</f>
        <v/>
      </c>
      <c r="Z13" s="495">
        <f t="shared" si="0"/>
        <v>0</v>
      </c>
      <c r="AA13" s="285" t="s">
        <v>0</v>
      </c>
      <c r="AB13" s="285"/>
    </row>
    <row r="14" spans="1:58" s="66" customFormat="1" ht="30" customHeight="1">
      <c r="A14" s="602"/>
      <c r="B14" s="563"/>
      <c r="C14" s="590"/>
      <c r="D14" s="1388" t="s">
        <v>290</v>
      </c>
      <c r="E14" s="1388"/>
      <c r="F14" s="1388"/>
      <c r="G14" s="1388"/>
      <c r="H14" s="1388"/>
      <c r="I14" s="302"/>
      <c r="J14" s="302"/>
      <c r="K14" s="302"/>
      <c r="L14" s="302"/>
      <c r="M14" s="302"/>
      <c r="N14" s="302"/>
      <c r="O14" s="302"/>
      <c r="P14" s="302"/>
      <c r="Q14" s="302"/>
      <c r="R14" s="302"/>
      <c r="S14" s="303"/>
      <c r="T14" s="304"/>
      <c r="U14" s="563"/>
      <c r="V14" s="1377"/>
      <c r="W14" s="161"/>
      <c r="X14" s="1139" t="s">
        <v>0</v>
      </c>
      <c r="Y14" s="798" t="str">
        <f>Y9&amp;Y10&amp;Y11&amp;Y12&amp;Y13</f>
        <v>delay in public health protection</v>
      </c>
      <c r="Z14" s="1008"/>
    </row>
    <row r="15" spans="1:58" s="66" customFormat="1" ht="15.75" customHeight="1">
      <c r="A15" s="602"/>
      <c r="B15" s="563"/>
      <c r="C15" s="202"/>
      <c r="D15" s="1257" t="s">
        <v>0</v>
      </c>
      <c r="E15" s="1258"/>
      <c r="F15" s="1258"/>
      <c r="G15" s="1258"/>
      <c r="H15" s="1258"/>
      <c r="I15" s="1258"/>
      <c r="J15" s="1258"/>
      <c r="K15" s="1258"/>
      <c r="L15" s="1258"/>
      <c r="M15" s="1258"/>
      <c r="N15" s="1258"/>
      <c r="O15" s="1258"/>
      <c r="P15" s="1258"/>
      <c r="Q15" s="1258"/>
      <c r="R15" s="1258"/>
      <c r="S15" s="1259"/>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7"/>
      <c r="Z16" s="627"/>
    </row>
    <row r="17" spans="1:66" s="9" customFormat="1" ht="24.75" customHeight="1">
      <c r="A17" s="601"/>
      <c r="B17" s="563"/>
      <c r="C17" s="203"/>
      <c r="D17" s="1379" t="s">
        <v>252</v>
      </c>
      <c r="E17" s="1379"/>
      <c r="F17" s="1379"/>
      <c r="G17" s="1379"/>
      <c r="H17" s="1379"/>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8" t="s">
        <v>0</v>
      </c>
      <c r="F18" s="1378"/>
      <c r="G18" s="570" t="s">
        <v>0</v>
      </c>
      <c r="H18" s="334" t="s">
        <v>0</v>
      </c>
      <c r="I18" s="1389" t="s">
        <v>0</v>
      </c>
      <c r="J18" s="1389"/>
      <c r="K18" s="1389"/>
      <c r="L18" s="1389"/>
      <c r="M18" s="1389"/>
      <c r="N18" s="1389"/>
      <c r="O18" s="1389"/>
      <c r="P18" s="335" t="s">
        <v>0</v>
      </c>
      <c r="Q18" s="335"/>
      <c r="R18" s="335"/>
      <c r="S18" s="336"/>
      <c r="T18" s="282"/>
      <c r="U18" s="563"/>
      <c r="V18" s="332"/>
      <c r="W18" s="332"/>
      <c r="X18" s="629">
        <v>3</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90" t="s">
        <v>256</v>
      </c>
      <c r="E21" s="1390"/>
      <c r="F21" s="1390"/>
      <c r="G21" s="1390"/>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71" t="s">
        <v>258</v>
      </c>
      <c r="E22" s="1371"/>
      <c r="F22" s="1371"/>
      <c r="G22" s="1371"/>
      <c r="H22" s="1371"/>
      <c r="I22" s="1371"/>
      <c r="J22" s="1371"/>
      <c r="K22" s="1371"/>
      <c r="L22" s="1371"/>
      <c r="M22" s="1371"/>
      <c r="N22" s="1371"/>
      <c r="O22" s="1371"/>
      <c r="P22" s="1371"/>
      <c r="Q22" s="1371"/>
      <c r="R22" s="1371"/>
      <c r="S22" s="1371"/>
      <c r="T22" s="304"/>
      <c r="U22" s="563"/>
      <c r="V22" s="180"/>
      <c r="W22" s="161"/>
      <c r="X22" s="1146" t="str">
        <f>IF(X28=0,"No","Yes")</f>
        <v>Yes</v>
      </c>
      <c r="Y22" s="55"/>
      <c r="Z22" s="55"/>
      <c r="AA22"/>
    </row>
    <row r="23" spans="1:66" s="66" customFormat="1" ht="21" customHeight="1">
      <c r="A23" s="602"/>
      <c r="B23" s="563"/>
      <c r="C23" s="202"/>
      <c r="D23" s="1339" t="s">
        <v>223</v>
      </c>
      <c r="E23" s="1339"/>
      <c r="F23" s="1339"/>
      <c r="G23" s="1339"/>
      <c r="H23" s="1339"/>
      <c r="I23" s="1339"/>
      <c r="J23" s="1339"/>
      <c r="K23" s="1339"/>
      <c r="L23" s="1339"/>
      <c r="M23" s="1339"/>
      <c r="N23" s="1339"/>
      <c r="O23" s="1339"/>
      <c r="P23" s="1339"/>
      <c r="Q23" s="1339"/>
      <c r="R23" s="687"/>
      <c r="S23" s="687"/>
      <c r="T23" s="304"/>
      <c r="U23" s="563"/>
      <c r="V23" s="180"/>
      <c r="W23" s="161"/>
      <c r="X23" s="284" t="b">
        <v>1</v>
      </c>
      <c r="Y23" s="55"/>
      <c r="Z23" s="55"/>
      <c r="AA23"/>
      <c r="AB23"/>
    </row>
    <row r="24" spans="1:66" s="66" customFormat="1" ht="21" customHeight="1">
      <c r="A24" s="602"/>
      <c r="B24" s="563"/>
      <c r="C24" s="202"/>
      <c r="D24" s="1339" t="s">
        <v>221</v>
      </c>
      <c r="E24" s="1339"/>
      <c r="F24" s="1339"/>
      <c r="G24" s="1339"/>
      <c r="H24" s="1339"/>
      <c r="I24" s="1339"/>
      <c r="J24" s="1339"/>
      <c r="K24" s="1339"/>
      <c r="L24" s="1339"/>
      <c r="M24" s="1339"/>
      <c r="N24" s="1339"/>
      <c r="O24" s="1339"/>
      <c r="P24" s="1339"/>
      <c r="Q24" s="1339"/>
      <c r="R24" s="1339"/>
      <c r="S24" s="1339"/>
      <c r="T24" s="304"/>
      <c r="U24" s="563"/>
      <c r="V24" s="180"/>
      <c r="W24" s="161"/>
      <c r="X24" s="284" t="b">
        <v>0</v>
      </c>
      <c r="Y24" s="55"/>
      <c r="Z24" s="55"/>
      <c r="AA24"/>
      <c r="AB24"/>
    </row>
    <row r="25" spans="1:66" s="66" customFormat="1" ht="21" customHeight="1">
      <c r="A25" s="602"/>
      <c r="B25" s="563"/>
      <c r="C25" s="202"/>
      <c r="D25" s="1349" t="s">
        <v>224</v>
      </c>
      <c r="E25" s="1349"/>
      <c r="F25" s="1349"/>
      <c r="G25" s="1349"/>
      <c r="H25" s="1349"/>
      <c r="I25" s="1349"/>
      <c r="J25" s="1349"/>
      <c r="K25" s="1349"/>
      <c r="L25" s="1349"/>
      <c r="M25" s="1349"/>
      <c r="N25" s="1349"/>
      <c r="O25" s="1349"/>
      <c r="P25" s="1349"/>
      <c r="Q25" s="1349"/>
      <c r="R25" s="1349"/>
      <c r="S25" s="1349"/>
      <c r="T25" s="304"/>
      <c r="U25" s="563"/>
      <c r="V25" s="180"/>
      <c r="W25" s="161"/>
      <c r="X25" s="284" t="b">
        <v>0</v>
      </c>
      <c r="Y25" s="38"/>
      <c r="Z25" s="55"/>
      <c r="AA25"/>
      <c r="AB25"/>
    </row>
    <row r="26" spans="1:66" s="66" customFormat="1" ht="21" customHeight="1">
      <c r="A26" s="602"/>
      <c r="B26" s="563"/>
      <c r="C26" s="202"/>
      <c r="D26" s="1349" t="s">
        <v>222</v>
      </c>
      <c r="E26" s="1349"/>
      <c r="F26" s="1349"/>
      <c r="G26" s="1349"/>
      <c r="H26" s="1349"/>
      <c r="I26" s="1349"/>
      <c r="J26" s="1349"/>
      <c r="K26" s="1349"/>
      <c r="L26" s="1349"/>
      <c r="M26" s="1349"/>
      <c r="N26" s="1349"/>
      <c r="O26" s="1349"/>
      <c r="P26" s="1349"/>
      <c r="Q26" s="1349"/>
      <c r="R26" s="1349"/>
      <c r="S26" s="1349"/>
      <c r="T26" s="304"/>
      <c r="U26" s="563"/>
      <c r="V26" s="180"/>
      <c r="W26" s="161"/>
      <c r="X26" s="284" t="b">
        <v>0</v>
      </c>
      <c r="Y26" s="324"/>
      <c r="Z26" s="55"/>
      <c r="AA26"/>
      <c r="AB26"/>
    </row>
    <row r="27" spans="1:66" s="66" customFormat="1" ht="21" customHeight="1">
      <c r="A27" s="602"/>
      <c r="B27" s="563"/>
      <c r="C27" s="202"/>
      <c r="D27" s="1349" t="s">
        <v>225</v>
      </c>
      <c r="E27" s="1349"/>
      <c r="F27" s="1349"/>
      <c r="G27" s="1349"/>
      <c r="H27" s="1349"/>
      <c r="I27" s="1349"/>
      <c r="J27" s="1349"/>
      <c r="K27" s="1349"/>
      <c r="L27" s="1349"/>
      <c r="M27" s="1349"/>
      <c r="N27" s="1349"/>
      <c r="O27" s="1349"/>
      <c r="P27" s="1349"/>
      <c r="Q27" s="1349"/>
      <c r="R27" s="1349"/>
      <c r="S27" s="1349"/>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8"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8"/>
      <c r="AA28"/>
      <c r="AB28"/>
    </row>
    <row r="29" spans="1:66" s="66" customFormat="1" ht="24.75" customHeight="1">
      <c r="A29" s="602"/>
      <c r="B29" s="563"/>
      <c r="C29" s="202"/>
      <c r="D29" s="1390" t="s">
        <v>295</v>
      </c>
      <c r="E29" s="1390"/>
      <c r="F29" s="1390"/>
      <c r="G29" s="1390"/>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71" t="s">
        <v>257</v>
      </c>
      <c r="E30" s="1371"/>
      <c r="F30" s="1371"/>
      <c r="G30" s="1371"/>
      <c r="H30" s="1371"/>
      <c r="I30" s="1371"/>
      <c r="J30" s="1371"/>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69" t="s">
        <v>292</v>
      </c>
      <c r="E31" s="1369"/>
      <c r="F31" s="1369"/>
      <c r="G31" s="1369"/>
      <c r="H31" s="1369"/>
      <c r="I31" s="1369"/>
      <c r="J31" s="1369"/>
      <c r="K31" s="1369"/>
      <c r="L31" s="1369"/>
      <c r="M31" s="1369"/>
      <c r="N31" s="1369"/>
      <c r="O31" s="1369"/>
      <c r="P31" s="1369"/>
      <c r="Q31" s="1369"/>
      <c r="R31" s="1369"/>
      <c r="S31" s="1369"/>
      <c r="T31" s="709"/>
      <c r="U31" s="563"/>
      <c r="V31" s="317"/>
      <c r="W31" s="315"/>
      <c r="X31" s="322" t="b">
        <v>0</v>
      </c>
      <c r="Y31" s="318"/>
      <c r="Z31" s="318"/>
      <c r="AA31" s="319"/>
      <c r="AB31" s="319"/>
    </row>
    <row r="32" spans="1:66" s="66" customFormat="1" ht="35.1" customHeight="1">
      <c r="A32" s="602"/>
      <c r="B32" s="563"/>
      <c r="C32" s="202"/>
      <c r="D32" s="1369" t="s">
        <v>293</v>
      </c>
      <c r="E32" s="1369"/>
      <c r="F32" s="1369"/>
      <c r="G32" s="1369"/>
      <c r="H32" s="1369"/>
      <c r="I32" s="1369"/>
      <c r="J32" s="1369"/>
      <c r="K32" s="1369"/>
      <c r="L32" s="1369"/>
      <c r="M32" s="1369"/>
      <c r="N32" s="1369"/>
      <c r="O32" s="1369"/>
      <c r="P32" s="1369"/>
      <c r="Q32" s="1369"/>
      <c r="R32" s="1369"/>
      <c r="S32" s="1369"/>
      <c r="T32" s="304"/>
      <c r="U32" s="563"/>
      <c r="V32" s="233"/>
      <c r="W32" s="161"/>
      <c r="X32" s="323" t="b">
        <v>0</v>
      </c>
      <c r="Y32" s="1372"/>
      <c r="Z32" s="55"/>
      <c r="AA32"/>
    </row>
    <row r="33" spans="1:27" s="66" customFormat="1" ht="38.25" customHeight="1">
      <c r="A33" s="602"/>
      <c r="B33" s="563"/>
      <c r="C33" s="202"/>
      <c r="D33" s="1370" t="s">
        <v>294</v>
      </c>
      <c r="E33" s="1370"/>
      <c r="F33" s="1370"/>
      <c r="G33" s="1370"/>
      <c r="H33" s="1370"/>
      <c r="I33" s="1370"/>
      <c r="J33" s="1370"/>
      <c r="K33" s="1370"/>
      <c r="L33" s="1370"/>
      <c r="M33" s="1370"/>
      <c r="N33" s="1370"/>
      <c r="O33" s="1370"/>
      <c r="P33" s="1370"/>
      <c r="Q33" s="1370"/>
      <c r="R33" s="1370"/>
      <c r="S33" s="1370"/>
      <c r="T33" s="304"/>
      <c r="U33" s="563"/>
      <c r="V33" s="233"/>
      <c r="W33" s="161"/>
      <c r="X33" s="323" t="b">
        <v>0</v>
      </c>
      <c r="Y33" s="1372"/>
      <c r="Z33" s="55"/>
      <c r="AA33"/>
    </row>
    <row r="34" spans="1:27" s="66" customFormat="1" ht="39.75" customHeight="1">
      <c r="A34" s="602"/>
      <c r="B34" s="563"/>
      <c r="C34" s="202"/>
      <c r="D34" s="1370" t="s">
        <v>291</v>
      </c>
      <c r="E34" s="1370"/>
      <c r="F34" s="1370"/>
      <c r="G34" s="1370"/>
      <c r="H34" s="1370"/>
      <c r="I34" s="1370"/>
      <c r="J34" s="1370"/>
      <c r="K34" s="1370"/>
      <c r="L34" s="1370"/>
      <c r="M34" s="1370"/>
      <c r="N34" s="1370"/>
      <c r="O34" s="1370"/>
      <c r="P34" s="1370"/>
      <c r="Q34" s="1370"/>
      <c r="R34" s="1370"/>
      <c r="S34" s="1370"/>
      <c r="T34" s="304"/>
      <c r="U34" s="563"/>
      <c r="V34" s="233"/>
      <c r="W34" s="161"/>
      <c r="X34" s="323" t="b">
        <v>0</v>
      </c>
      <c r="Y34" s="1373"/>
      <c r="Z34" s="147"/>
    </row>
    <row r="35" spans="1:27" s="2" customFormat="1" ht="30" customHeight="1">
      <c r="A35" s="600"/>
      <c r="B35" s="563" t="s">
        <v>0</v>
      </c>
      <c r="C35" s="211"/>
      <c r="D35" s="1384" t="s">
        <v>259</v>
      </c>
      <c r="E35" s="1384"/>
      <c r="F35" s="1384"/>
      <c r="G35" s="296"/>
      <c r="H35" s="296"/>
      <c r="I35" s="296"/>
      <c r="J35" s="296"/>
      <c r="K35" s="297"/>
      <c r="L35" s="298"/>
      <c r="M35" s="298"/>
      <c r="N35" s="298"/>
      <c r="O35" s="298"/>
      <c r="P35" s="298"/>
      <c r="Q35" s="298"/>
      <c r="R35" s="298"/>
      <c r="S35" s="298"/>
      <c r="T35" s="212"/>
      <c r="U35" s="563"/>
      <c r="V35"/>
      <c r="W35"/>
      <c r="X35" s="1147">
        <f>COUNTIF(X31:X34,TRUE)</f>
        <v>0</v>
      </c>
      <c r="Y35" s="1368" t="str">
        <f>IF(C.5EnvCorrolation=0,"",IF(X35=0,"do not have a selection for Natural Step support at this time.",IF(X35=1,"supports "&amp;X35&amp;" Natural Step action.","supports "&amp;X35&amp;" Natural Step actions.")))</f>
        <v>do not have a selection for Natural Step support at this time.</v>
      </c>
      <c r="Z35" s="1368"/>
    </row>
    <row r="36" spans="1:27" s="2" customFormat="1" ht="110.25" customHeight="1">
      <c r="A36" s="600"/>
      <c r="B36" s="563"/>
      <c r="C36" s="211"/>
      <c r="D36" s="299" t="s">
        <v>0</v>
      </c>
      <c r="E36" s="299"/>
      <c r="F36" s="1404" t="s">
        <v>0</v>
      </c>
      <c r="G36" s="1404"/>
      <c r="H36" s="300"/>
      <c r="I36" s="301"/>
      <c r="J36" s="1400" t="s">
        <v>0</v>
      </c>
      <c r="K36" s="1400"/>
      <c r="L36" s="1400"/>
      <c r="M36" s="1400"/>
      <c r="N36" s="1400"/>
      <c r="O36" s="1400"/>
      <c r="P36" s="1400"/>
      <c r="Q36" s="1400"/>
      <c r="R36" s="1400"/>
      <c r="S36" s="1400"/>
      <c r="T36" s="212"/>
      <c r="U36" s="563"/>
      <c r="V36" s="1403" t="s">
        <v>0</v>
      </c>
      <c r="W36" s="174"/>
      <c r="X36" s="482"/>
      <c r="Y36" s="483"/>
      <c r="Z36" s="147"/>
    </row>
    <row r="37" spans="1:27" s="2" customFormat="1" ht="29.25" customHeight="1">
      <c r="A37" s="600"/>
      <c r="B37" s="563"/>
      <c r="C37" s="211"/>
      <c r="D37" s="1401" t="s">
        <v>217</v>
      </c>
      <c r="E37" s="1402"/>
      <c r="F37" s="1402"/>
      <c r="G37" s="1332"/>
      <c r="H37" s="1332"/>
      <c r="I37" s="1332"/>
      <c r="J37" s="1333"/>
      <c r="K37" s="1333"/>
      <c r="L37" s="1333"/>
      <c r="M37" s="1333"/>
      <c r="N37" s="1333"/>
      <c r="O37" s="1333"/>
      <c r="P37" s="1333"/>
      <c r="Q37" s="1333"/>
      <c r="R37" s="1333"/>
      <c r="S37" s="1333"/>
      <c r="T37" s="212"/>
      <c r="U37" s="563"/>
      <c r="V37" s="1403"/>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7" t="s">
        <v>415</v>
      </c>
      <c r="E39" s="1397"/>
      <c r="F39" s="1397"/>
      <c r="G39" s="120"/>
      <c r="H39" s="1359" t="s">
        <v>0</v>
      </c>
      <c r="I39" s="1383"/>
      <c r="J39" s="1341" t="s">
        <v>37</v>
      </c>
      <c r="K39" s="1342"/>
      <c r="L39" s="1342"/>
      <c r="M39" s="1342"/>
      <c r="N39" s="1342"/>
      <c r="O39" s="1342"/>
      <c r="P39" s="1342"/>
      <c r="Q39" s="1342"/>
      <c r="R39" s="1342"/>
      <c r="S39" s="1343"/>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60" t="s">
        <v>0</v>
      </c>
      <c r="E44" s="1261"/>
      <c r="F44" s="1261"/>
      <c r="G44" s="1261"/>
      <c r="H44" s="1261"/>
      <c r="I44" s="1261"/>
      <c r="J44" s="1261"/>
      <c r="K44" s="1261"/>
      <c r="L44" s="1261"/>
      <c r="M44" s="1261"/>
      <c r="N44" s="1261"/>
      <c r="O44" s="1261"/>
      <c r="P44" s="1261"/>
      <c r="Q44" s="1261"/>
      <c r="R44" s="1261"/>
      <c r="S44" s="1262"/>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56" t="s">
        <v>0</v>
      </c>
      <c r="E46" s="1357"/>
      <c r="F46" s="1357"/>
      <c r="G46" s="1357"/>
      <c r="H46" s="1357"/>
      <c r="I46" s="1357"/>
      <c r="J46" s="1357"/>
      <c r="K46" s="1357"/>
      <c r="L46" s="1357"/>
      <c r="M46" s="1357"/>
      <c r="N46" s="1357"/>
      <c r="O46" s="1357"/>
      <c r="P46" s="1357"/>
      <c r="Q46" s="1357"/>
      <c r="R46" s="1357"/>
      <c r="S46" s="1358"/>
      <c r="T46" s="201"/>
      <c r="U46" s="563"/>
      <c r="W46" s="161"/>
      <c r="X46" s="122"/>
      <c r="Y46" s="147"/>
      <c r="Z46" s="55"/>
    </row>
    <row r="47" spans="1:27">
      <c r="B47" s="563"/>
      <c r="C47" s="293"/>
      <c r="D47" s="294"/>
      <c r="E47" s="294"/>
      <c r="F47" s="294"/>
      <c r="G47" s="1272">
        <f ca="1">TODAY()</f>
        <v>41780</v>
      </c>
      <c r="H47" s="1272"/>
      <c r="I47" s="1272"/>
      <c r="J47" s="1272"/>
      <c r="K47" s="1272"/>
      <c r="L47" s="1272"/>
      <c r="M47" s="1272"/>
      <c r="N47" s="1272"/>
      <c r="O47" s="1272"/>
      <c r="P47" s="1272"/>
      <c r="Q47" s="1272"/>
      <c r="R47" s="1272"/>
      <c r="S47" s="1272"/>
      <c r="T47" s="1273"/>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306" priority="95" stopIfTrue="1">
      <formula>IF($X$40&lt;10,TRUE,)</formula>
    </cfRule>
  </conditionalFormatting>
  <conditionalFormatting sqref="J40">
    <cfRule type="expression" dxfId="305" priority="96" stopIfTrue="1">
      <formula>IF($X$40&lt;1,TRUE,)</formula>
    </cfRule>
  </conditionalFormatting>
  <conditionalFormatting sqref="K40">
    <cfRule type="expression" dxfId="304" priority="97" stopIfTrue="1">
      <formula>IF($X$40&lt;2,TRUE,)</formula>
    </cfRule>
  </conditionalFormatting>
  <conditionalFormatting sqref="M40">
    <cfRule type="expression" dxfId="303" priority="99" stopIfTrue="1">
      <formula>IF($X40&lt;4,TRUE,)</formula>
    </cfRule>
  </conditionalFormatting>
  <conditionalFormatting sqref="N40">
    <cfRule type="expression" dxfId="302" priority="100" stopIfTrue="1">
      <formula>IF($X$40&lt;5,TRUE,)</formula>
    </cfRule>
  </conditionalFormatting>
  <conditionalFormatting sqref="O40">
    <cfRule type="expression" dxfId="301" priority="101" stopIfTrue="1">
      <formula>IF($X$40&lt;6,TRUE,)</formula>
    </cfRule>
  </conditionalFormatting>
  <conditionalFormatting sqref="P40">
    <cfRule type="expression" dxfId="300" priority="102" stopIfTrue="1">
      <formula>IF($X$40&lt;7,TRUE,)</formula>
    </cfRule>
  </conditionalFormatting>
  <conditionalFormatting sqref="Q40">
    <cfRule type="expression" dxfId="299" priority="103" stopIfTrue="1">
      <formula>IF($X$40&lt;8,TRUE,)</formula>
    </cfRule>
  </conditionalFormatting>
  <conditionalFormatting sqref="R40">
    <cfRule type="expression" dxfId="298" priority="104" stopIfTrue="1">
      <formula>IF($X$40&lt;9,TRUE,)</formula>
    </cfRule>
  </conditionalFormatting>
  <conditionalFormatting sqref="L40">
    <cfRule type="expression" dxfId="297" priority="98" stopIfTrue="1">
      <formula>IF($X$40&lt;3,TRUE,)</formula>
    </cfRule>
  </conditionalFormatting>
  <conditionalFormatting sqref="W7">
    <cfRule type="expression" dxfId="296" priority="33" stopIfTrue="1">
      <formula>IF(AND(#REF!="H",#REF!&lt;10),TRUE,)</formula>
    </cfRule>
  </conditionalFormatting>
  <conditionalFormatting sqref="T7">
    <cfRule type="expression" dxfId="295" priority="32" stopIfTrue="1">
      <formula>IF(AND(#REF!="H",#REF!&lt;7),TRUE,)</formula>
    </cfRule>
  </conditionalFormatting>
  <conditionalFormatting sqref="R7">
    <cfRule type="expression" dxfId="294" priority="4" stopIfTrue="1">
      <formula>IF($X$6&lt;10,TRUE,)</formula>
    </cfRule>
  </conditionalFormatting>
  <conditionalFormatting sqref="I7">
    <cfRule type="expression" dxfId="293" priority="5" stopIfTrue="1">
      <formula>IF($X$6&lt;1,TRUE,)</formula>
    </cfRule>
  </conditionalFormatting>
  <conditionalFormatting sqref="J7">
    <cfRule type="expression" dxfId="292" priority="6" stopIfTrue="1">
      <formula>IF($X$6&lt;2,TRUE,)</formula>
    </cfRule>
  </conditionalFormatting>
  <conditionalFormatting sqref="L7">
    <cfRule type="expression" dxfId="291" priority="8" stopIfTrue="1">
      <formula>IF($X$6&lt;4,TRUE,)</formula>
    </cfRule>
  </conditionalFormatting>
  <conditionalFormatting sqref="M7">
    <cfRule type="expression" dxfId="290" priority="9" stopIfTrue="1">
      <formula>IF($X$6&lt;5,TRUE,)</formula>
    </cfRule>
  </conditionalFormatting>
  <conditionalFormatting sqref="N7">
    <cfRule type="expression" dxfId="289" priority="10" stopIfTrue="1">
      <formula>IF($X$6&lt;6,TRUE,)</formula>
    </cfRule>
  </conditionalFormatting>
  <conditionalFormatting sqref="O7">
    <cfRule type="expression" dxfId="288" priority="11" stopIfTrue="1">
      <formula>IF($X$6&lt;7,TRUE,)</formula>
    </cfRule>
  </conditionalFormatting>
  <conditionalFormatting sqref="P7">
    <cfRule type="expression" dxfId="287" priority="12" stopIfTrue="1">
      <formula>IF($X$6&lt;8,TRUE,)</formula>
    </cfRule>
  </conditionalFormatting>
  <conditionalFormatting sqref="Q7">
    <cfRule type="expression" dxfId="286" priority="13" stopIfTrue="1">
      <formula>IF($X$6&lt;9,TRUE,)</formula>
    </cfRule>
  </conditionalFormatting>
  <conditionalFormatting sqref="K7">
    <cfRule type="expression" dxfId="285" priority="7" stopIfTrue="1">
      <formula>IF($X$6&lt;3,TRUE,)</formula>
    </cfRule>
  </conditionalFormatting>
  <conditionalFormatting sqref="L45">
    <cfRule type="expression" dxfId="284" priority="3" stopIfTrue="1">
      <formula>IF(AND(#REF!="H",$X45&lt;3),TRUE,)</formula>
    </cfRule>
  </conditionalFormatting>
  <conditionalFormatting sqref="L2">
    <cfRule type="expression" dxfId="283"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Blank</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62F7E852-25D3-4CAB-9E80-A904CC87C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2012-10-11T16:49:36Z</cp:lastPrinted>
  <dcterms:created xsi:type="dcterms:W3CDTF">2012-04-11T21:44:01Z</dcterms:created>
  <dcterms:modified xsi:type="dcterms:W3CDTF">2014-05-21T15:35:54Z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